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activeTab="1"/>
  </bookViews>
  <sheets>
    <sheet name="Sprachen" sheetId="11" r:id="rId1"/>
    <sheet name="Herkunftsländer" sheetId="13" r:id="rId2"/>
  </sheets>
  <definedNames>
    <definedName name="_xlnm.Print_Titles" localSheetId="1">Herkunftsländer!$A:$A,Herkunftsländer!$3:$13</definedName>
    <definedName name="_xlnm.Print_Titles" localSheetId="0">Sprachen!$A:$B,Sprachen!$3:$13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Z221" i="13" l="1"/>
  <c r="HY221" i="13"/>
  <c r="HG221" i="13"/>
  <c r="HF221" i="13"/>
  <c r="HE221" i="13"/>
  <c r="HD221" i="13"/>
  <c r="HC221" i="13"/>
  <c r="FD221" i="13"/>
  <c r="EW221" i="13"/>
  <c r="DI221" i="13"/>
  <c r="DH221" i="13"/>
  <c r="DG221" i="13"/>
  <c r="DF221" i="13"/>
  <c r="CK221" i="13"/>
  <c r="CC221" i="13"/>
  <c r="CB221" i="13"/>
  <c r="CA221" i="13"/>
  <c r="BV221" i="13"/>
  <c r="BS221" i="13"/>
  <c r="BB221" i="13"/>
  <c r="BA221" i="13"/>
  <c r="AX221" i="13"/>
  <c r="AW221" i="13"/>
  <c r="JT101" i="13"/>
  <c r="JR101" i="13"/>
  <c r="IY101" i="13"/>
  <c r="IQ101" i="13"/>
  <c r="IK101" i="13"/>
  <c r="HZ101" i="13"/>
  <c r="HY101" i="13"/>
  <c r="HC101" i="13"/>
  <c r="GM101" i="13"/>
  <c r="FW101" i="13"/>
  <c r="FV101" i="13"/>
  <c r="FU101" i="13"/>
  <c r="FT101" i="13"/>
  <c r="FS101" i="13"/>
  <c r="FR101" i="13"/>
  <c r="FP101" i="13"/>
  <c r="FN101" i="13"/>
  <c r="FK101" i="13"/>
  <c r="FE101" i="13"/>
  <c r="FD101" i="13"/>
  <c r="EW101" i="13"/>
  <c r="ER101" i="13"/>
  <c r="EP101" i="13"/>
  <c r="EN101" i="13"/>
  <c r="EM101" i="13"/>
  <c r="EC101" i="13"/>
  <c r="DI101" i="13"/>
  <c r="DH101" i="13"/>
  <c r="DG101" i="13"/>
  <c r="DF101" i="13"/>
  <c r="CR101" i="13"/>
  <c r="CK101" i="13"/>
  <c r="CJ101" i="13"/>
  <c r="CC101" i="13"/>
  <c r="CB101" i="13"/>
  <c r="CA101" i="13"/>
  <c r="BV101" i="13"/>
  <c r="BS101" i="13"/>
  <c r="BB101" i="13"/>
  <c r="BA101" i="13"/>
  <c r="AX101" i="13"/>
  <c r="AW101" i="13"/>
  <c r="JT233" i="13"/>
  <c r="JR233" i="13"/>
  <c r="IY233" i="13"/>
  <c r="IQ233" i="13"/>
  <c r="IK233" i="13"/>
  <c r="HZ233" i="13"/>
  <c r="HY233" i="13"/>
  <c r="HC233" i="13"/>
  <c r="GM233" i="13"/>
  <c r="FW233" i="13"/>
  <c r="FV233" i="13"/>
  <c r="FU233" i="13"/>
  <c r="FT233" i="13"/>
  <c r="FS233" i="13"/>
  <c r="FR233" i="13"/>
  <c r="FP233" i="13"/>
  <c r="FN233" i="13"/>
  <c r="FK233" i="13"/>
  <c r="FE233" i="13"/>
  <c r="FD233" i="13"/>
  <c r="EW233" i="13"/>
  <c r="ER233" i="13"/>
  <c r="EP233" i="13"/>
  <c r="EN233" i="13"/>
  <c r="EM233" i="13"/>
  <c r="EC233" i="13"/>
  <c r="DI233" i="13"/>
  <c r="DH233" i="13"/>
  <c r="DG233" i="13"/>
  <c r="DF233" i="13"/>
  <c r="CR233" i="13"/>
  <c r="CK233" i="13"/>
  <c r="CJ233" i="13"/>
  <c r="CC233" i="13"/>
  <c r="CB233" i="13"/>
  <c r="CA233" i="13"/>
  <c r="BV233" i="13"/>
  <c r="BS233" i="13"/>
  <c r="BB233" i="13"/>
  <c r="BA233" i="13"/>
  <c r="AX233" i="13"/>
  <c r="AW233" i="13"/>
  <c r="HZ222" i="13"/>
  <c r="HY222" i="13"/>
  <c r="HG222" i="13"/>
  <c r="HF222" i="13"/>
  <c r="HE222" i="13"/>
  <c r="HD222" i="13"/>
  <c r="HC222" i="13"/>
  <c r="FD222" i="13"/>
  <c r="EW222" i="13"/>
  <c r="DI222" i="13"/>
  <c r="DH222" i="13"/>
  <c r="DG222" i="13"/>
  <c r="DF222" i="13"/>
  <c r="CK222" i="13"/>
  <c r="CC222" i="13"/>
  <c r="CB222" i="13"/>
  <c r="CA222" i="13"/>
  <c r="BV222" i="13"/>
  <c r="BS222" i="13"/>
  <c r="BB222" i="13"/>
  <c r="BA222" i="13"/>
  <c r="AX222" i="13"/>
  <c r="AW222" i="13"/>
  <c r="HZ209" i="13"/>
  <c r="HY209" i="13"/>
  <c r="HG209" i="13"/>
  <c r="HF209" i="13"/>
  <c r="HE209" i="13"/>
  <c r="HD209" i="13"/>
  <c r="HC209" i="13"/>
  <c r="FD209" i="13"/>
  <c r="EW209" i="13"/>
  <c r="DI209" i="13"/>
  <c r="DH209" i="13"/>
  <c r="DG209" i="13"/>
  <c r="DF209" i="13"/>
  <c r="CK209" i="13"/>
  <c r="CC209" i="13"/>
  <c r="CB209" i="13"/>
  <c r="CA209" i="13"/>
  <c r="BV209" i="13"/>
  <c r="BS209" i="13"/>
  <c r="BB209" i="13"/>
  <c r="BA209" i="13"/>
  <c r="AX209" i="13"/>
  <c r="AW209" i="13"/>
  <c r="HZ111" i="13"/>
  <c r="HY111" i="13"/>
  <c r="HG111" i="13"/>
  <c r="HF111" i="13"/>
  <c r="HE111" i="13"/>
  <c r="HD111" i="13"/>
  <c r="HC111" i="13"/>
  <c r="FD111" i="13"/>
  <c r="EW111" i="13"/>
  <c r="DI111" i="13"/>
  <c r="DH111" i="13"/>
  <c r="DG111" i="13"/>
  <c r="DF111" i="13"/>
  <c r="CK111" i="13"/>
  <c r="CC111" i="13"/>
  <c r="CB111" i="13"/>
  <c r="CA111" i="13"/>
  <c r="BV111" i="13"/>
  <c r="BS111" i="13"/>
  <c r="BB111" i="13"/>
  <c r="BA111" i="13"/>
  <c r="AX111" i="13"/>
  <c r="AW111" i="13"/>
  <c r="HZ105" i="13"/>
  <c r="HY105" i="13"/>
  <c r="HG105" i="13"/>
  <c r="HF105" i="13"/>
  <c r="HE105" i="13"/>
  <c r="HD105" i="13"/>
  <c r="HC105" i="13"/>
  <c r="FD105" i="13"/>
  <c r="EW105" i="13"/>
  <c r="DI105" i="13"/>
  <c r="DH105" i="13"/>
  <c r="DG105" i="13"/>
  <c r="DF105" i="13"/>
  <c r="CK105" i="13"/>
  <c r="CC105" i="13"/>
  <c r="CB105" i="13"/>
  <c r="CA105" i="13"/>
  <c r="BV105" i="13"/>
  <c r="BS105" i="13"/>
  <c r="BB105" i="13"/>
  <c r="BA105" i="13"/>
  <c r="AX105" i="13"/>
  <c r="AW105" i="13"/>
  <c r="HZ51" i="13"/>
  <c r="HY51" i="13"/>
  <c r="HG51" i="13"/>
  <c r="HF51" i="13"/>
  <c r="HE51" i="13"/>
  <c r="HD51" i="13"/>
  <c r="HC51" i="13"/>
  <c r="FD51" i="13"/>
  <c r="EW51" i="13"/>
  <c r="DI51" i="13"/>
  <c r="DH51" i="13"/>
  <c r="DG51" i="13"/>
  <c r="DF51" i="13"/>
  <c r="CK51" i="13"/>
  <c r="CC51" i="13"/>
  <c r="CB51" i="13"/>
  <c r="CA51" i="13"/>
  <c r="BV51" i="13"/>
  <c r="BS51" i="13"/>
  <c r="BB51" i="13"/>
  <c r="BA51" i="13"/>
  <c r="AX51" i="13"/>
  <c r="AW51" i="13"/>
  <c r="HZ16" i="13"/>
  <c r="HY16" i="13"/>
  <c r="HG16" i="13"/>
  <c r="HF16" i="13"/>
  <c r="HE16" i="13"/>
  <c r="HD16" i="13"/>
  <c r="HC16" i="13"/>
  <c r="FD16" i="13"/>
  <c r="EW16" i="13"/>
  <c r="DI16" i="13"/>
  <c r="DH16" i="13"/>
  <c r="DG16" i="13"/>
  <c r="DF16" i="13"/>
  <c r="CK16" i="13"/>
  <c r="CC16" i="13"/>
  <c r="CB16" i="13"/>
  <c r="CA16" i="13"/>
  <c r="BV16" i="13"/>
  <c r="BS16" i="13"/>
  <c r="BB16" i="13"/>
  <c r="BA16" i="13"/>
  <c r="AX16" i="13"/>
  <c r="AW16" i="13"/>
  <c r="HZ231" i="13"/>
  <c r="HY231" i="13"/>
  <c r="HG231" i="13"/>
  <c r="HF231" i="13"/>
  <c r="HE231" i="13"/>
  <c r="HD231" i="13"/>
  <c r="HC231" i="13"/>
  <c r="FD231" i="13"/>
  <c r="EW231" i="13"/>
  <c r="DI231" i="13"/>
  <c r="DH231" i="13"/>
  <c r="DG231" i="13"/>
  <c r="DF231" i="13"/>
  <c r="CK231" i="13"/>
  <c r="CC231" i="13"/>
  <c r="CB231" i="13"/>
  <c r="CA231" i="13"/>
  <c r="BV231" i="13"/>
  <c r="BS231" i="13"/>
  <c r="BB231" i="13"/>
  <c r="BA231" i="13"/>
  <c r="AX231" i="13"/>
  <c r="AW231" i="13"/>
  <c r="HZ199" i="13"/>
  <c r="HY199" i="13"/>
  <c r="HC199" i="13"/>
  <c r="FD199" i="13"/>
  <c r="EW199" i="13"/>
  <c r="DI199" i="13"/>
  <c r="DH199" i="13"/>
  <c r="DG199" i="13"/>
  <c r="DF199" i="13"/>
  <c r="CK199" i="13"/>
  <c r="CC199" i="13"/>
  <c r="CB199" i="13"/>
  <c r="CA199" i="13"/>
  <c r="BV199" i="13"/>
  <c r="BS199" i="13"/>
  <c r="BB199" i="13"/>
  <c r="BA199" i="13"/>
  <c r="AX199" i="13"/>
  <c r="AW199" i="13"/>
  <c r="AL199" i="13"/>
  <c r="AK199" i="13"/>
  <c r="HZ191" i="13"/>
  <c r="HY191" i="13"/>
  <c r="HC191" i="13"/>
  <c r="FD191" i="13"/>
  <c r="EW191" i="13"/>
  <c r="DI191" i="13"/>
  <c r="DH191" i="13"/>
  <c r="DG191" i="13"/>
  <c r="DF191" i="13"/>
  <c r="CK191" i="13"/>
  <c r="CC191" i="13"/>
  <c r="CB191" i="13"/>
  <c r="CA191" i="13"/>
  <c r="BV191" i="13"/>
  <c r="BS191" i="13"/>
  <c r="BB191" i="13"/>
  <c r="BA191" i="13"/>
  <c r="AX191" i="13"/>
  <c r="AW191" i="13"/>
  <c r="AL191" i="13"/>
  <c r="AK191" i="13"/>
  <c r="HZ148" i="13"/>
  <c r="HY148" i="13"/>
  <c r="HC148" i="13"/>
  <c r="FD148" i="13"/>
  <c r="EW148" i="13"/>
  <c r="DI148" i="13"/>
  <c r="DH148" i="13"/>
  <c r="DG148" i="13"/>
  <c r="DF148" i="13"/>
  <c r="CK148" i="13"/>
  <c r="CC148" i="13"/>
  <c r="CB148" i="13"/>
  <c r="CA148" i="13"/>
  <c r="BV148" i="13"/>
  <c r="BS148" i="13"/>
  <c r="BB148" i="13"/>
  <c r="BA148" i="13"/>
  <c r="AX148" i="13"/>
  <c r="AW148" i="13"/>
  <c r="AL148" i="13"/>
  <c r="AK148" i="13"/>
  <c r="HZ227" i="13"/>
  <c r="HY227" i="13"/>
  <c r="HC227" i="13"/>
  <c r="FD227" i="13"/>
  <c r="EW227" i="13"/>
  <c r="DI227" i="13"/>
  <c r="DH227" i="13"/>
  <c r="DG227" i="13"/>
  <c r="DF227" i="13"/>
  <c r="CK227" i="13"/>
  <c r="CC227" i="13"/>
  <c r="CB227" i="13"/>
  <c r="CA227" i="13"/>
  <c r="BV227" i="13"/>
  <c r="BS227" i="13"/>
  <c r="BB227" i="13"/>
  <c r="BA227" i="13"/>
  <c r="AX227" i="13"/>
  <c r="AW227" i="13"/>
  <c r="AL227" i="13"/>
  <c r="AK227" i="13"/>
  <c r="KE162" i="13"/>
  <c r="KB162" i="13"/>
  <c r="IL162" i="13"/>
  <c r="HZ162" i="13"/>
  <c r="HY162" i="13"/>
  <c r="HC162" i="13"/>
  <c r="GR162" i="13"/>
  <c r="GP162" i="13"/>
  <c r="GM162" i="13"/>
  <c r="FW162" i="13"/>
  <c r="FV162" i="13"/>
  <c r="FU162" i="13"/>
  <c r="FT162" i="13"/>
  <c r="FS162" i="13"/>
  <c r="FR162" i="13"/>
  <c r="FP162" i="13"/>
  <c r="FN162" i="13"/>
  <c r="FK162" i="13"/>
  <c r="FG162" i="13"/>
  <c r="FE162" i="13"/>
  <c r="FD162" i="13"/>
  <c r="EW162" i="13"/>
  <c r="ER162" i="13"/>
  <c r="EP162" i="13"/>
  <c r="EM162" i="13"/>
  <c r="DI162" i="13"/>
  <c r="DH162" i="13"/>
  <c r="DG162" i="13"/>
  <c r="DF162" i="13"/>
  <c r="CK162" i="13"/>
  <c r="CC162" i="13"/>
  <c r="CB162" i="13"/>
  <c r="CA162" i="13"/>
  <c r="BZ162" i="13"/>
  <c r="BW162" i="13"/>
  <c r="BV162" i="13"/>
  <c r="BS162" i="13"/>
  <c r="BI162" i="13"/>
  <c r="BH162" i="13"/>
  <c r="BB162" i="13"/>
  <c r="BA162" i="13"/>
  <c r="AX162" i="13"/>
  <c r="AW162" i="13"/>
  <c r="KE84" i="13"/>
  <c r="KB84" i="13"/>
  <c r="IL84" i="13"/>
  <c r="HZ84" i="13"/>
  <c r="HY84" i="13"/>
  <c r="HC84" i="13"/>
  <c r="GR84" i="13"/>
  <c r="GP84" i="13"/>
  <c r="GM84" i="13"/>
  <c r="FW84" i="13"/>
  <c r="FV84" i="13"/>
  <c r="FU84" i="13"/>
  <c r="FT84" i="13"/>
  <c r="FS84" i="13"/>
  <c r="FR84" i="13"/>
  <c r="FP84" i="13"/>
  <c r="FN84" i="13"/>
  <c r="FK84" i="13"/>
  <c r="FG84" i="13"/>
  <c r="FE84" i="13"/>
  <c r="FD84" i="13"/>
  <c r="EW84" i="13"/>
  <c r="ER84" i="13"/>
  <c r="EP84" i="13"/>
  <c r="EM84" i="13"/>
  <c r="DI84" i="13"/>
  <c r="DH84" i="13"/>
  <c r="DG84" i="13"/>
  <c r="DF84" i="13"/>
  <c r="CK84" i="13"/>
  <c r="CC84" i="13"/>
  <c r="CB84" i="13"/>
  <c r="CA84" i="13"/>
  <c r="BZ84" i="13"/>
  <c r="BW84" i="13"/>
  <c r="BV84" i="13"/>
  <c r="BS84" i="13"/>
  <c r="BI84" i="13"/>
  <c r="BH84" i="13"/>
  <c r="BB84" i="13"/>
  <c r="BA84" i="13"/>
  <c r="AX84" i="13"/>
  <c r="AW84" i="13"/>
  <c r="JR198" i="13"/>
  <c r="HZ198" i="13"/>
  <c r="HY198" i="13"/>
  <c r="HC198" i="13"/>
  <c r="FE198" i="13"/>
  <c r="FD198" i="13"/>
  <c r="EW198" i="13"/>
  <c r="EQ198" i="13"/>
  <c r="DI198" i="13"/>
  <c r="DH198" i="13"/>
  <c r="DG198" i="13"/>
  <c r="DF198" i="13"/>
  <c r="CK198" i="13"/>
  <c r="CC198" i="13"/>
  <c r="CB198" i="13"/>
  <c r="CA198" i="13"/>
  <c r="BV198" i="13"/>
  <c r="BS198" i="13"/>
  <c r="BB198" i="13"/>
  <c r="BA198" i="13"/>
  <c r="AX198" i="13"/>
  <c r="AW198" i="13"/>
  <c r="JR190" i="13"/>
  <c r="HZ190" i="13"/>
  <c r="HY190" i="13"/>
  <c r="HC190" i="13"/>
  <c r="FE190" i="13"/>
  <c r="FD190" i="13"/>
  <c r="EW190" i="13"/>
  <c r="EQ190" i="13"/>
  <c r="DI190" i="13"/>
  <c r="DH190" i="13"/>
  <c r="DG190" i="13"/>
  <c r="DF190" i="13"/>
  <c r="CK190" i="13"/>
  <c r="CC190" i="13"/>
  <c r="CB190" i="13"/>
  <c r="CA190" i="13"/>
  <c r="BV190" i="13"/>
  <c r="BS190" i="13"/>
  <c r="BB190" i="13"/>
  <c r="BA190" i="13"/>
  <c r="AX190" i="13"/>
  <c r="AW190" i="13"/>
  <c r="JR174" i="13"/>
  <c r="HZ174" i="13"/>
  <c r="HY174" i="13"/>
  <c r="HC174" i="13"/>
  <c r="FE174" i="13"/>
  <c r="FD174" i="13"/>
  <c r="EW174" i="13"/>
  <c r="EQ174" i="13"/>
  <c r="DI174" i="13"/>
  <c r="DH174" i="13"/>
  <c r="DG174" i="13"/>
  <c r="DF174" i="13"/>
  <c r="CK174" i="13"/>
  <c r="CC174" i="13"/>
  <c r="CB174" i="13"/>
  <c r="CA174" i="13"/>
  <c r="BV174" i="13"/>
  <c r="BS174" i="13"/>
  <c r="BB174" i="13"/>
  <c r="BA174" i="13"/>
  <c r="AX174" i="13"/>
  <c r="AW174" i="13"/>
  <c r="JR229" i="13"/>
  <c r="HZ229" i="13"/>
  <c r="HY229" i="13"/>
  <c r="HC229" i="13"/>
  <c r="FE229" i="13"/>
  <c r="FD229" i="13"/>
  <c r="EW229" i="13"/>
  <c r="EQ229" i="13"/>
  <c r="DI229" i="13"/>
  <c r="DH229" i="13"/>
  <c r="DG229" i="13"/>
  <c r="DF229" i="13"/>
  <c r="CK229" i="13"/>
  <c r="CC229" i="13"/>
  <c r="CB229" i="13"/>
  <c r="CA229" i="13"/>
  <c r="BV229" i="13"/>
  <c r="BS229" i="13"/>
  <c r="BB229" i="13"/>
  <c r="BA229" i="13"/>
  <c r="AX229" i="13"/>
  <c r="AW229" i="13"/>
  <c r="HZ71" i="13"/>
  <c r="HY71" i="13"/>
  <c r="HC71" i="13"/>
  <c r="FD71" i="13"/>
  <c r="EW71" i="13"/>
  <c r="DI71" i="13"/>
  <c r="DH71" i="13"/>
  <c r="DG71" i="13"/>
  <c r="DF71" i="13"/>
  <c r="CK71" i="13"/>
  <c r="CC71" i="13"/>
  <c r="CB71" i="13"/>
  <c r="CA71" i="13"/>
  <c r="BW71" i="13"/>
  <c r="BV71" i="13"/>
  <c r="BS71" i="13"/>
  <c r="BB71" i="13"/>
  <c r="BA71" i="13"/>
  <c r="AX71" i="13"/>
  <c r="AW71" i="13"/>
  <c r="MI236" i="13"/>
  <c r="MD236" i="13"/>
  <c r="KD236" i="13"/>
  <c r="KC236" i="13"/>
  <c r="KB236" i="13"/>
  <c r="JR236" i="13"/>
  <c r="JM236" i="13"/>
  <c r="JG236" i="13"/>
  <c r="IY236" i="13"/>
  <c r="IX236" i="13"/>
  <c r="IV236" i="13"/>
  <c r="IQ236" i="13"/>
  <c r="IN236" i="13"/>
  <c r="IK236" i="13"/>
  <c r="IJ236" i="13"/>
  <c r="II236" i="13"/>
  <c r="IH236" i="13"/>
  <c r="IE236" i="13"/>
  <c r="HZ236" i="13"/>
  <c r="HY236" i="13"/>
  <c r="HX236" i="13"/>
  <c r="HW236" i="13"/>
  <c r="HV236" i="13"/>
  <c r="HU236" i="13"/>
  <c r="HS236" i="13"/>
  <c r="HR236" i="13"/>
  <c r="HQ236" i="13"/>
  <c r="HP236" i="13"/>
  <c r="HO236" i="13"/>
  <c r="HN236" i="13"/>
  <c r="HM236" i="13"/>
  <c r="HL236" i="13"/>
  <c r="HK236" i="13"/>
  <c r="HJ236" i="13"/>
  <c r="HI236" i="13"/>
  <c r="HG236" i="13"/>
  <c r="HF236" i="13"/>
  <c r="HE236" i="13"/>
  <c r="HD236" i="13"/>
  <c r="HC236" i="13"/>
  <c r="HA236" i="13"/>
  <c r="GZ236" i="13"/>
  <c r="GY236" i="13"/>
  <c r="GX236" i="13"/>
  <c r="GW236" i="13"/>
  <c r="GU236" i="13"/>
  <c r="GT236" i="13"/>
  <c r="GP236" i="13"/>
  <c r="GN236" i="13"/>
  <c r="GM236" i="13"/>
  <c r="GJ236" i="13"/>
  <c r="GI236" i="13"/>
  <c r="GG236" i="13"/>
  <c r="GE236" i="13"/>
  <c r="GD236" i="13"/>
  <c r="GC236" i="13"/>
  <c r="FZ236" i="13"/>
  <c r="FX236" i="13"/>
  <c r="FW236" i="13"/>
  <c r="FV236" i="13"/>
  <c r="FU236" i="13"/>
  <c r="FT236" i="13"/>
  <c r="FS236" i="13"/>
  <c r="FR236" i="13"/>
  <c r="FP236" i="13"/>
  <c r="FN236" i="13"/>
  <c r="FL236" i="13"/>
  <c r="FK236" i="13"/>
  <c r="FF236" i="13"/>
  <c r="FE236" i="13"/>
  <c r="FD236" i="13"/>
  <c r="EZ236" i="13"/>
  <c r="EY236" i="13"/>
  <c r="EX236" i="13"/>
  <c r="EW236" i="13"/>
  <c r="EV236" i="13"/>
  <c r="ER236" i="13"/>
  <c r="EQ236" i="13"/>
  <c r="EP236" i="13"/>
  <c r="EN236" i="13"/>
  <c r="EM236" i="13"/>
  <c r="EC236" i="13"/>
  <c r="EB236" i="13"/>
  <c r="EA236" i="13"/>
  <c r="DZ236" i="13"/>
  <c r="DV236" i="13"/>
  <c r="DT236" i="13"/>
  <c r="DS236" i="13"/>
  <c r="DR236" i="13"/>
  <c r="DQ236" i="13"/>
  <c r="DJ236" i="13"/>
  <c r="DI236" i="13"/>
  <c r="DH236" i="13"/>
  <c r="DG236" i="13"/>
  <c r="DF236" i="13"/>
  <c r="DC236" i="13"/>
  <c r="CZ236" i="13"/>
  <c r="CY236" i="13"/>
  <c r="CX236" i="13"/>
  <c r="CW236" i="13"/>
  <c r="CV236" i="13"/>
  <c r="CU236" i="13"/>
  <c r="CR236" i="13"/>
  <c r="CP236" i="13"/>
  <c r="CL236" i="13"/>
  <c r="CK236" i="13"/>
  <c r="CJ236" i="13"/>
  <c r="CI236" i="13"/>
  <c r="CH236" i="13"/>
  <c r="CG236" i="13"/>
  <c r="CC236" i="13"/>
  <c r="CB236" i="13"/>
  <c r="CA236" i="13"/>
  <c r="BW236" i="13"/>
  <c r="BV236" i="13"/>
  <c r="BS236" i="13"/>
  <c r="BH236" i="13"/>
  <c r="BB236" i="13"/>
  <c r="BA236" i="13"/>
  <c r="AX236" i="13"/>
  <c r="AW236" i="13"/>
  <c r="AF236" i="13"/>
  <c r="AD236" i="13"/>
  <c r="P236" i="13"/>
  <c r="N236" i="13"/>
  <c r="MI173" i="13"/>
  <c r="MD173" i="13"/>
  <c r="KD173" i="13"/>
  <c r="KC173" i="13"/>
  <c r="KB173" i="13"/>
  <c r="JR173" i="13"/>
  <c r="JM173" i="13"/>
  <c r="JG173" i="13"/>
  <c r="IY173" i="13"/>
  <c r="IX173" i="13"/>
  <c r="IV173" i="13"/>
  <c r="IQ173" i="13"/>
  <c r="IN173" i="13"/>
  <c r="IK173" i="13"/>
  <c r="IJ173" i="13"/>
  <c r="II173" i="13"/>
  <c r="IH173" i="13"/>
  <c r="IE173" i="13"/>
  <c r="HZ173" i="13"/>
  <c r="HY173" i="13"/>
  <c r="HX173" i="13"/>
  <c r="HW173" i="13"/>
  <c r="HV173" i="13"/>
  <c r="HU173" i="13"/>
  <c r="HS173" i="13"/>
  <c r="HR173" i="13"/>
  <c r="HQ173" i="13"/>
  <c r="HP173" i="13"/>
  <c r="HO173" i="13"/>
  <c r="HN173" i="13"/>
  <c r="HM173" i="13"/>
  <c r="HL173" i="13"/>
  <c r="HK173" i="13"/>
  <c r="HJ173" i="13"/>
  <c r="HI173" i="13"/>
  <c r="HG173" i="13"/>
  <c r="HF173" i="13"/>
  <c r="HE173" i="13"/>
  <c r="HD173" i="13"/>
  <c r="HC173" i="13"/>
  <c r="HA173" i="13"/>
  <c r="GZ173" i="13"/>
  <c r="GY173" i="13"/>
  <c r="GX173" i="13"/>
  <c r="GW173" i="13"/>
  <c r="GU173" i="13"/>
  <c r="GT173" i="13"/>
  <c r="GP173" i="13"/>
  <c r="GN173" i="13"/>
  <c r="GM173" i="13"/>
  <c r="GJ173" i="13"/>
  <c r="GI173" i="13"/>
  <c r="GG173" i="13"/>
  <c r="GE173" i="13"/>
  <c r="GD173" i="13"/>
  <c r="GC173" i="13"/>
  <c r="FZ173" i="13"/>
  <c r="FX173" i="13"/>
  <c r="FW173" i="13"/>
  <c r="FV173" i="13"/>
  <c r="FU173" i="13"/>
  <c r="FT173" i="13"/>
  <c r="FS173" i="13"/>
  <c r="FR173" i="13"/>
  <c r="FP173" i="13"/>
  <c r="FN173" i="13"/>
  <c r="FL173" i="13"/>
  <c r="FK173" i="13"/>
  <c r="FF173" i="13"/>
  <c r="FE173" i="13"/>
  <c r="FD173" i="13"/>
  <c r="EZ173" i="13"/>
  <c r="EY173" i="13"/>
  <c r="EX173" i="13"/>
  <c r="EW173" i="13"/>
  <c r="EV173" i="13"/>
  <c r="ER173" i="13"/>
  <c r="EQ173" i="13"/>
  <c r="EP173" i="13"/>
  <c r="EN173" i="13"/>
  <c r="EM173" i="13"/>
  <c r="EC173" i="13"/>
  <c r="EB173" i="13"/>
  <c r="EA173" i="13"/>
  <c r="DZ173" i="13"/>
  <c r="DV173" i="13"/>
  <c r="DT173" i="13"/>
  <c r="DS173" i="13"/>
  <c r="DR173" i="13"/>
  <c r="DQ173" i="13"/>
  <c r="DJ173" i="13"/>
  <c r="DI173" i="13"/>
  <c r="DH173" i="13"/>
  <c r="DG173" i="13"/>
  <c r="DF173" i="13"/>
  <c r="DC173" i="13"/>
  <c r="CZ173" i="13"/>
  <c r="CY173" i="13"/>
  <c r="CX173" i="13"/>
  <c r="CW173" i="13"/>
  <c r="CV173" i="13"/>
  <c r="CU173" i="13"/>
  <c r="CR173" i="13"/>
  <c r="CP173" i="13"/>
  <c r="CL173" i="13"/>
  <c r="CK173" i="13"/>
  <c r="CJ173" i="13"/>
  <c r="CI173" i="13"/>
  <c r="CH173" i="13"/>
  <c r="CG173" i="13"/>
  <c r="CC173" i="13"/>
  <c r="CB173" i="13"/>
  <c r="CA173" i="13"/>
  <c r="BW173" i="13"/>
  <c r="BV173" i="13"/>
  <c r="BS173" i="13"/>
  <c r="BH173" i="13"/>
  <c r="BB173" i="13"/>
  <c r="BA173" i="13"/>
  <c r="AX173" i="13"/>
  <c r="AW173" i="13"/>
  <c r="AF173" i="13"/>
  <c r="AD173" i="13"/>
  <c r="P173" i="13"/>
  <c r="N173" i="13"/>
  <c r="MI144" i="13"/>
  <c r="MD144" i="13"/>
  <c r="KD144" i="13"/>
  <c r="KC144" i="13"/>
  <c r="KB144" i="13"/>
  <c r="JR144" i="13"/>
  <c r="JM144" i="13"/>
  <c r="JG144" i="13"/>
  <c r="IY144" i="13"/>
  <c r="IX144" i="13"/>
  <c r="IV144" i="13"/>
  <c r="IQ144" i="13"/>
  <c r="IN144" i="13"/>
  <c r="IK144" i="13"/>
  <c r="IJ144" i="13"/>
  <c r="II144" i="13"/>
  <c r="IH144" i="13"/>
  <c r="IE144" i="13"/>
  <c r="HZ144" i="13"/>
  <c r="HY144" i="13"/>
  <c r="HX144" i="13"/>
  <c r="HW144" i="13"/>
  <c r="HV144" i="13"/>
  <c r="HU144" i="13"/>
  <c r="HS144" i="13"/>
  <c r="HR144" i="13"/>
  <c r="HQ144" i="13"/>
  <c r="HP144" i="13"/>
  <c r="HO144" i="13"/>
  <c r="HN144" i="13"/>
  <c r="HM144" i="13"/>
  <c r="HL144" i="13"/>
  <c r="HK144" i="13"/>
  <c r="HJ144" i="13"/>
  <c r="HI144" i="13"/>
  <c r="HG144" i="13"/>
  <c r="HF144" i="13"/>
  <c r="HE144" i="13"/>
  <c r="HD144" i="13"/>
  <c r="HC144" i="13"/>
  <c r="HA144" i="13"/>
  <c r="GZ144" i="13"/>
  <c r="GY144" i="13"/>
  <c r="GX144" i="13"/>
  <c r="GW144" i="13"/>
  <c r="GU144" i="13"/>
  <c r="GT144" i="13"/>
  <c r="GP144" i="13"/>
  <c r="GN144" i="13"/>
  <c r="GM144" i="13"/>
  <c r="GJ144" i="13"/>
  <c r="GI144" i="13"/>
  <c r="GG144" i="13"/>
  <c r="GE144" i="13"/>
  <c r="GD144" i="13"/>
  <c r="GC144" i="13"/>
  <c r="FZ144" i="13"/>
  <c r="FX144" i="13"/>
  <c r="FW144" i="13"/>
  <c r="FV144" i="13"/>
  <c r="FU144" i="13"/>
  <c r="FT144" i="13"/>
  <c r="FS144" i="13"/>
  <c r="FR144" i="13"/>
  <c r="FP144" i="13"/>
  <c r="FN144" i="13"/>
  <c r="FL144" i="13"/>
  <c r="FK144" i="13"/>
  <c r="FF144" i="13"/>
  <c r="FE144" i="13"/>
  <c r="FD144" i="13"/>
  <c r="EZ144" i="13"/>
  <c r="EY144" i="13"/>
  <c r="EX144" i="13"/>
  <c r="EW144" i="13"/>
  <c r="EV144" i="13"/>
  <c r="ER144" i="13"/>
  <c r="EQ144" i="13"/>
  <c r="EP144" i="13"/>
  <c r="EN144" i="13"/>
  <c r="EM144" i="13"/>
  <c r="EC144" i="13"/>
  <c r="EB144" i="13"/>
  <c r="EA144" i="13"/>
  <c r="DZ144" i="13"/>
  <c r="DV144" i="13"/>
  <c r="DT144" i="13"/>
  <c r="DS144" i="13"/>
  <c r="DR144" i="13"/>
  <c r="DQ144" i="13"/>
  <c r="DJ144" i="13"/>
  <c r="DI144" i="13"/>
  <c r="DH144" i="13"/>
  <c r="DG144" i="13"/>
  <c r="DF144" i="13"/>
  <c r="DC144" i="13"/>
  <c r="CZ144" i="13"/>
  <c r="CY144" i="13"/>
  <c r="CX144" i="13"/>
  <c r="CW144" i="13"/>
  <c r="CV144" i="13"/>
  <c r="CU144" i="13"/>
  <c r="CR144" i="13"/>
  <c r="CP144" i="13"/>
  <c r="CL144" i="13"/>
  <c r="CK144" i="13"/>
  <c r="CJ144" i="13"/>
  <c r="CI144" i="13"/>
  <c r="CH144" i="13"/>
  <c r="CG144" i="13"/>
  <c r="CC144" i="13"/>
  <c r="CB144" i="13"/>
  <c r="CA144" i="13"/>
  <c r="BW144" i="13"/>
  <c r="BV144" i="13"/>
  <c r="BS144" i="13"/>
  <c r="BH144" i="13"/>
  <c r="BB144" i="13"/>
  <c r="BA144" i="13"/>
  <c r="AX144" i="13"/>
  <c r="AW144" i="13"/>
  <c r="AF144" i="13"/>
  <c r="AD144" i="13"/>
  <c r="P144" i="13"/>
  <c r="N144" i="13"/>
  <c r="MI120" i="13"/>
  <c r="MD120" i="13"/>
  <c r="KD120" i="13"/>
  <c r="KC120" i="13"/>
  <c r="KB120" i="13"/>
  <c r="JR120" i="13"/>
  <c r="JM120" i="13"/>
  <c r="JG120" i="13"/>
  <c r="IY120" i="13"/>
  <c r="IX120" i="13"/>
  <c r="IV120" i="13"/>
  <c r="IQ120" i="13"/>
  <c r="IN120" i="13"/>
  <c r="IK120" i="13"/>
  <c r="IJ120" i="13"/>
  <c r="II120" i="13"/>
  <c r="IH120" i="13"/>
  <c r="IE120" i="13"/>
  <c r="HZ120" i="13"/>
  <c r="HY120" i="13"/>
  <c r="HX120" i="13"/>
  <c r="HW120" i="13"/>
  <c r="HV120" i="13"/>
  <c r="HU120" i="13"/>
  <c r="HS120" i="13"/>
  <c r="HR120" i="13"/>
  <c r="HQ120" i="13"/>
  <c r="HP120" i="13"/>
  <c r="HO120" i="13"/>
  <c r="HN120" i="13"/>
  <c r="HM120" i="13"/>
  <c r="HL120" i="13"/>
  <c r="HK120" i="13"/>
  <c r="HJ120" i="13"/>
  <c r="HI120" i="13"/>
  <c r="HG120" i="13"/>
  <c r="HF120" i="13"/>
  <c r="HE120" i="13"/>
  <c r="HD120" i="13"/>
  <c r="HC120" i="13"/>
  <c r="HA120" i="13"/>
  <c r="GZ120" i="13"/>
  <c r="GY120" i="13"/>
  <c r="GX120" i="13"/>
  <c r="GW120" i="13"/>
  <c r="GU120" i="13"/>
  <c r="GT120" i="13"/>
  <c r="GP120" i="13"/>
  <c r="GN120" i="13"/>
  <c r="GM120" i="13"/>
  <c r="GJ120" i="13"/>
  <c r="GI120" i="13"/>
  <c r="GG120" i="13"/>
  <c r="GE120" i="13"/>
  <c r="GD120" i="13"/>
  <c r="GC120" i="13"/>
  <c r="FZ120" i="13"/>
  <c r="FX120" i="13"/>
  <c r="FW120" i="13"/>
  <c r="FV120" i="13"/>
  <c r="FU120" i="13"/>
  <c r="FT120" i="13"/>
  <c r="FS120" i="13"/>
  <c r="FR120" i="13"/>
  <c r="FP120" i="13"/>
  <c r="FN120" i="13"/>
  <c r="FL120" i="13"/>
  <c r="FK120" i="13"/>
  <c r="FF120" i="13"/>
  <c r="FE120" i="13"/>
  <c r="FD120" i="13"/>
  <c r="EZ120" i="13"/>
  <c r="EY120" i="13"/>
  <c r="EX120" i="13"/>
  <c r="EW120" i="13"/>
  <c r="EV120" i="13"/>
  <c r="ER120" i="13"/>
  <c r="EQ120" i="13"/>
  <c r="EP120" i="13"/>
  <c r="EN120" i="13"/>
  <c r="EM120" i="13"/>
  <c r="EC120" i="13"/>
  <c r="EB120" i="13"/>
  <c r="EA120" i="13"/>
  <c r="DZ120" i="13"/>
  <c r="DV120" i="13"/>
  <c r="DT120" i="13"/>
  <c r="DS120" i="13"/>
  <c r="DR120" i="13"/>
  <c r="DQ120" i="13"/>
  <c r="DJ120" i="13"/>
  <c r="DI120" i="13"/>
  <c r="DH120" i="13"/>
  <c r="DG120" i="13"/>
  <c r="DF120" i="13"/>
  <c r="DC120" i="13"/>
  <c r="CZ120" i="13"/>
  <c r="CY120" i="13"/>
  <c r="CX120" i="13"/>
  <c r="CW120" i="13"/>
  <c r="CV120" i="13"/>
  <c r="CU120" i="13"/>
  <c r="CR120" i="13"/>
  <c r="CP120" i="13"/>
  <c r="CL120" i="13"/>
  <c r="CK120" i="13"/>
  <c r="CJ120" i="13"/>
  <c r="CI120" i="13"/>
  <c r="CH120" i="13"/>
  <c r="CG120" i="13"/>
  <c r="CC120" i="13"/>
  <c r="CB120" i="13"/>
  <c r="CA120" i="13"/>
  <c r="BW120" i="13"/>
  <c r="BV120" i="13"/>
  <c r="BS120" i="13"/>
  <c r="BH120" i="13"/>
  <c r="BB120" i="13"/>
  <c r="BA120" i="13"/>
  <c r="AX120" i="13"/>
  <c r="AW120" i="13"/>
  <c r="AF120" i="13"/>
  <c r="AD120" i="13"/>
  <c r="P120" i="13"/>
  <c r="N120" i="13"/>
  <c r="MI79" i="13"/>
  <c r="MD79" i="13"/>
  <c r="KD79" i="13"/>
  <c r="KC79" i="13"/>
  <c r="KB79" i="13"/>
  <c r="JR79" i="13"/>
  <c r="JM79" i="13"/>
  <c r="JG79" i="13"/>
  <c r="IY79" i="13"/>
  <c r="IX79" i="13"/>
  <c r="IV79" i="13"/>
  <c r="IQ79" i="13"/>
  <c r="IN79" i="13"/>
  <c r="IK79" i="13"/>
  <c r="IJ79" i="13"/>
  <c r="II79" i="13"/>
  <c r="IH79" i="13"/>
  <c r="IE79" i="13"/>
  <c r="HZ79" i="13"/>
  <c r="HY79" i="13"/>
  <c r="HX79" i="13"/>
  <c r="HW79" i="13"/>
  <c r="HV79" i="13"/>
  <c r="HU79" i="13"/>
  <c r="HS79" i="13"/>
  <c r="HR79" i="13"/>
  <c r="HQ79" i="13"/>
  <c r="HP79" i="13"/>
  <c r="HO79" i="13"/>
  <c r="HN79" i="13"/>
  <c r="HM79" i="13"/>
  <c r="HL79" i="13"/>
  <c r="HK79" i="13"/>
  <c r="HJ79" i="13"/>
  <c r="HI79" i="13"/>
  <c r="HG79" i="13"/>
  <c r="HF79" i="13"/>
  <c r="HE79" i="13"/>
  <c r="HD79" i="13"/>
  <c r="HC79" i="13"/>
  <c r="HA79" i="13"/>
  <c r="GZ79" i="13"/>
  <c r="GY79" i="13"/>
  <c r="GX79" i="13"/>
  <c r="GW79" i="13"/>
  <c r="GU79" i="13"/>
  <c r="GT79" i="13"/>
  <c r="GP79" i="13"/>
  <c r="GN79" i="13"/>
  <c r="GM79" i="13"/>
  <c r="GJ79" i="13"/>
  <c r="GI79" i="13"/>
  <c r="GG79" i="13"/>
  <c r="GE79" i="13"/>
  <c r="GD79" i="13"/>
  <c r="GC79" i="13"/>
  <c r="FZ79" i="13"/>
  <c r="FX79" i="13"/>
  <c r="FW79" i="13"/>
  <c r="FV79" i="13"/>
  <c r="FU79" i="13"/>
  <c r="FT79" i="13"/>
  <c r="FS79" i="13"/>
  <c r="FR79" i="13"/>
  <c r="FP79" i="13"/>
  <c r="FN79" i="13"/>
  <c r="FL79" i="13"/>
  <c r="FK79" i="13"/>
  <c r="FF79" i="13"/>
  <c r="FE79" i="13"/>
  <c r="FD79" i="13"/>
  <c r="EZ79" i="13"/>
  <c r="EY79" i="13"/>
  <c r="EX79" i="13"/>
  <c r="EW79" i="13"/>
  <c r="EV79" i="13"/>
  <c r="ER79" i="13"/>
  <c r="EQ79" i="13"/>
  <c r="EP79" i="13"/>
  <c r="EN79" i="13"/>
  <c r="EM79" i="13"/>
  <c r="EC79" i="13"/>
  <c r="EB79" i="13"/>
  <c r="EA79" i="13"/>
  <c r="DZ79" i="13"/>
  <c r="DV79" i="13"/>
  <c r="DT79" i="13"/>
  <c r="DS79" i="13"/>
  <c r="DR79" i="13"/>
  <c r="DQ79" i="13"/>
  <c r="DJ79" i="13"/>
  <c r="DI79" i="13"/>
  <c r="DH79" i="13"/>
  <c r="DG79" i="13"/>
  <c r="DF79" i="13"/>
  <c r="DC79" i="13"/>
  <c r="CZ79" i="13"/>
  <c r="CY79" i="13"/>
  <c r="CX79" i="13"/>
  <c r="CW79" i="13"/>
  <c r="CV79" i="13"/>
  <c r="CU79" i="13"/>
  <c r="CR79" i="13"/>
  <c r="CP79" i="13"/>
  <c r="CL79" i="13"/>
  <c r="CK79" i="13"/>
  <c r="CJ79" i="13"/>
  <c r="CI79" i="13"/>
  <c r="CH79" i="13"/>
  <c r="CG79" i="13"/>
  <c r="CC79" i="13"/>
  <c r="CB79" i="13"/>
  <c r="CA79" i="13"/>
  <c r="BW79" i="13"/>
  <c r="BV79" i="13"/>
  <c r="BS79" i="13"/>
  <c r="BH79" i="13"/>
  <c r="BB79" i="13"/>
  <c r="BA79" i="13"/>
  <c r="AX79" i="13"/>
  <c r="AW79" i="13"/>
  <c r="AF79" i="13"/>
  <c r="AD79" i="13"/>
  <c r="P79" i="13"/>
  <c r="N79" i="13"/>
  <c r="MI47" i="13"/>
  <c r="MD47" i="13"/>
  <c r="KD47" i="13"/>
  <c r="KC47" i="13"/>
  <c r="KB47" i="13"/>
  <c r="JR47" i="13"/>
  <c r="JM47" i="13"/>
  <c r="JG47" i="13"/>
  <c r="IY47" i="13"/>
  <c r="IX47" i="13"/>
  <c r="IV47" i="13"/>
  <c r="IQ47" i="13"/>
  <c r="IN47" i="13"/>
  <c r="IK47" i="13"/>
  <c r="IJ47" i="13"/>
  <c r="II47" i="13"/>
  <c r="IH47" i="13"/>
  <c r="IE47" i="13"/>
  <c r="HZ47" i="13"/>
  <c r="HY47" i="13"/>
  <c r="HX47" i="13"/>
  <c r="HW47" i="13"/>
  <c r="HV47" i="13"/>
  <c r="HU47" i="13"/>
  <c r="HS47" i="13"/>
  <c r="HR47" i="13"/>
  <c r="HQ47" i="13"/>
  <c r="HP47" i="13"/>
  <c r="HO47" i="13"/>
  <c r="HN47" i="13"/>
  <c r="HM47" i="13"/>
  <c r="HL47" i="13"/>
  <c r="HK47" i="13"/>
  <c r="HJ47" i="13"/>
  <c r="HI47" i="13"/>
  <c r="HG47" i="13"/>
  <c r="HF47" i="13"/>
  <c r="HE47" i="13"/>
  <c r="HD47" i="13"/>
  <c r="HC47" i="13"/>
  <c r="HA47" i="13"/>
  <c r="GZ47" i="13"/>
  <c r="GY47" i="13"/>
  <c r="GX47" i="13"/>
  <c r="GW47" i="13"/>
  <c r="GU47" i="13"/>
  <c r="GT47" i="13"/>
  <c r="GP47" i="13"/>
  <c r="GN47" i="13"/>
  <c r="GM47" i="13"/>
  <c r="GJ47" i="13"/>
  <c r="GI47" i="13"/>
  <c r="GG47" i="13"/>
  <c r="GE47" i="13"/>
  <c r="GD47" i="13"/>
  <c r="GC47" i="13"/>
  <c r="FZ47" i="13"/>
  <c r="FX47" i="13"/>
  <c r="FW47" i="13"/>
  <c r="FV47" i="13"/>
  <c r="FU47" i="13"/>
  <c r="FT47" i="13"/>
  <c r="FS47" i="13"/>
  <c r="FR47" i="13"/>
  <c r="FP47" i="13"/>
  <c r="FN47" i="13"/>
  <c r="FL47" i="13"/>
  <c r="FK47" i="13"/>
  <c r="FF47" i="13"/>
  <c r="FE47" i="13"/>
  <c r="FD47" i="13"/>
  <c r="EZ47" i="13"/>
  <c r="EY47" i="13"/>
  <c r="EX47" i="13"/>
  <c r="EW47" i="13"/>
  <c r="EV47" i="13"/>
  <c r="ER47" i="13"/>
  <c r="EQ47" i="13"/>
  <c r="EP47" i="13"/>
  <c r="EN47" i="13"/>
  <c r="EM47" i="13"/>
  <c r="EC47" i="13"/>
  <c r="EB47" i="13"/>
  <c r="EA47" i="13"/>
  <c r="DZ47" i="13"/>
  <c r="DV47" i="13"/>
  <c r="DT47" i="13"/>
  <c r="DS47" i="13"/>
  <c r="DR47" i="13"/>
  <c r="DQ47" i="13"/>
  <c r="DJ47" i="13"/>
  <c r="DI47" i="13"/>
  <c r="DH47" i="13"/>
  <c r="DG47" i="13"/>
  <c r="DF47" i="13"/>
  <c r="DC47" i="13"/>
  <c r="CZ47" i="13"/>
  <c r="CY47" i="13"/>
  <c r="CX47" i="13"/>
  <c r="CW47" i="13"/>
  <c r="CV47" i="13"/>
  <c r="CU47" i="13"/>
  <c r="CR47" i="13"/>
  <c r="CP47" i="13"/>
  <c r="CL47" i="13"/>
  <c r="CK47" i="13"/>
  <c r="CJ47" i="13"/>
  <c r="CI47" i="13"/>
  <c r="CH47" i="13"/>
  <c r="CG47" i="13"/>
  <c r="CC47" i="13"/>
  <c r="CB47" i="13"/>
  <c r="CA47" i="13"/>
  <c r="BW47" i="13"/>
  <c r="BV47" i="13"/>
  <c r="BS47" i="13"/>
  <c r="BH47" i="13"/>
  <c r="BB47" i="13"/>
  <c r="BA47" i="13"/>
  <c r="AX47" i="13"/>
  <c r="AW47" i="13"/>
  <c r="AF47" i="13"/>
  <c r="AD47" i="13"/>
  <c r="P47" i="13"/>
  <c r="N47" i="13"/>
  <c r="MI43" i="13"/>
  <c r="MD43" i="13"/>
  <c r="KD43" i="13"/>
  <c r="KC43" i="13"/>
  <c r="KB43" i="13"/>
  <c r="JR43" i="13"/>
  <c r="JM43" i="13"/>
  <c r="JG43" i="13"/>
  <c r="IY43" i="13"/>
  <c r="IX43" i="13"/>
  <c r="IV43" i="13"/>
  <c r="IQ43" i="13"/>
  <c r="IN43" i="13"/>
  <c r="IK43" i="13"/>
  <c r="IJ43" i="13"/>
  <c r="II43" i="13"/>
  <c r="IH43" i="13"/>
  <c r="IE43" i="13"/>
  <c r="HZ43" i="13"/>
  <c r="HY43" i="13"/>
  <c r="HX43" i="13"/>
  <c r="HW43" i="13"/>
  <c r="HV43" i="13"/>
  <c r="HU43" i="13"/>
  <c r="HS43" i="13"/>
  <c r="HR43" i="13"/>
  <c r="HQ43" i="13"/>
  <c r="HP43" i="13"/>
  <c r="HO43" i="13"/>
  <c r="HN43" i="13"/>
  <c r="HM43" i="13"/>
  <c r="HL43" i="13"/>
  <c r="HK43" i="13"/>
  <c r="HJ43" i="13"/>
  <c r="HI43" i="13"/>
  <c r="HG43" i="13"/>
  <c r="HF43" i="13"/>
  <c r="HE43" i="13"/>
  <c r="HD43" i="13"/>
  <c r="HC43" i="13"/>
  <c r="HA43" i="13"/>
  <c r="GZ43" i="13"/>
  <c r="GY43" i="13"/>
  <c r="GX43" i="13"/>
  <c r="GW43" i="13"/>
  <c r="GU43" i="13"/>
  <c r="GT43" i="13"/>
  <c r="GP43" i="13"/>
  <c r="GN43" i="13"/>
  <c r="GM43" i="13"/>
  <c r="GJ43" i="13"/>
  <c r="GI43" i="13"/>
  <c r="GG43" i="13"/>
  <c r="GE43" i="13"/>
  <c r="GD43" i="13"/>
  <c r="GC43" i="13"/>
  <c r="FZ43" i="13"/>
  <c r="FX43" i="13"/>
  <c r="FW43" i="13"/>
  <c r="FV43" i="13"/>
  <c r="FU43" i="13"/>
  <c r="FT43" i="13"/>
  <c r="FS43" i="13"/>
  <c r="FR43" i="13"/>
  <c r="FP43" i="13"/>
  <c r="FN43" i="13"/>
  <c r="FL43" i="13"/>
  <c r="FK43" i="13"/>
  <c r="FF43" i="13"/>
  <c r="FE43" i="13"/>
  <c r="FD43" i="13"/>
  <c r="EZ43" i="13"/>
  <c r="EY43" i="13"/>
  <c r="EX43" i="13"/>
  <c r="EW43" i="13"/>
  <c r="EV43" i="13"/>
  <c r="ER43" i="13"/>
  <c r="EQ43" i="13"/>
  <c r="EP43" i="13"/>
  <c r="EN43" i="13"/>
  <c r="EM43" i="13"/>
  <c r="EC43" i="13"/>
  <c r="EB43" i="13"/>
  <c r="EA43" i="13"/>
  <c r="DZ43" i="13"/>
  <c r="DV43" i="13"/>
  <c r="DT43" i="13"/>
  <c r="DS43" i="13"/>
  <c r="DR43" i="13"/>
  <c r="DQ43" i="13"/>
  <c r="DJ43" i="13"/>
  <c r="DI43" i="13"/>
  <c r="DH43" i="13"/>
  <c r="DG43" i="13"/>
  <c r="DF43" i="13"/>
  <c r="DC43" i="13"/>
  <c r="CZ43" i="13"/>
  <c r="CY43" i="13"/>
  <c r="CX43" i="13"/>
  <c r="CW43" i="13"/>
  <c r="CV43" i="13"/>
  <c r="CU43" i="13"/>
  <c r="CR43" i="13"/>
  <c r="CP43" i="13"/>
  <c r="CL43" i="13"/>
  <c r="CK43" i="13"/>
  <c r="CJ43" i="13"/>
  <c r="CI43" i="13"/>
  <c r="CH43" i="13"/>
  <c r="CG43" i="13"/>
  <c r="CC43" i="13"/>
  <c r="CB43" i="13"/>
  <c r="CA43" i="13"/>
  <c r="BW43" i="13"/>
  <c r="BV43" i="13"/>
  <c r="BS43" i="13"/>
  <c r="BH43" i="13"/>
  <c r="BB43" i="13"/>
  <c r="BA43" i="13"/>
  <c r="AX43" i="13"/>
  <c r="AW43" i="13"/>
  <c r="AF43" i="13"/>
  <c r="AD43" i="13"/>
  <c r="P43" i="13"/>
  <c r="N43" i="13"/>
  <c r="MI220" i="13"/>
  <c r="MD220" i="13"/>
  <c r="KD220" i="13"/>
  <c r="KC220" i="13"/>
  <c r="KB220" i="13"/>
  <c r="JR220" i="13"/>
  <c r="JM220" i="13"/>
  <c r="JG220" i="13"/>
  <c r="IY220" i="13"/>
  <c r="IX220" i="13"/>
  <c r="IV220" i="13"/>
  <c r="IQ220" i="13"/>
  <c r="IN220" i="13"/>
  <c r="IK220" i="13"/>
  <c r="IJ220" i="13"/>
  <c r="II220" i="13"/>
  <c r="IH220" i="13"/>
  <c r="IE220" i="13"/>
  <c r="HZ220" i="13"/>
  <c r="HY220" i="13"/>
  <c r="HX220" i="13"/>
  <c r="HW220" i="13"/>
  <c r="HV220" i="13"/>
  <c r="HU220" i="13"/>
  <c r="HS220" i="13"/>
  <c r="HR220" i="13"/>
  <c r="HQ220" i="13"/>
  <c r="HP220" i="13"/>
  <c r="HO220" i="13"/>
  <c r="HN220" i="13"/>
  <c r="HM220" i="13"/>
  <c r="HL220" i="13"/>
  <c r="HK220" i="13"/>
  <c r="HJ220" i="13"/>
  <c r="HI220" i="13"/>
  <c r="HG220" i="13"/>
  <c r="HF220" i="13"/>
  <c r="HE220" i="13"/>
  <c r="HD220" i="13"/>
  <c r="HC220" i="13"/>
  <c r="HA220" i="13"/>
  <c r="GZ220" i="13"/>
  <c r="GY220" i="13"/>
  <c r="GX220" i="13"/>
  <c r="GW220" i="13"/>
  <c r="GU220" i="13"/>
  <c r="GT220" i="13"/>
  <c r="GP220" i="13"/>
  <c r="GN220" i="13"/>
  <c r="GM220" i="13"/>
  <c r="GJ220" i="13"/>
  <c r="GI220" i="13"/>
  <c r="GG220" i="13"/>
  <c r="GE220" i="13"/>
  <c r="GD220" i="13"/>
  <c r="GC220" i="13"/>
  <c r="FZ220" i="13"/>
  <c r="FX220" i="13"/>
  <c r="FW220" i="13"/>
  <c r="FV220" i="13"/>
  <c r="FU220" i="13"/>
  <c r="FT220" i="13"/>
  <c r="FS220" i="13"/>
  <c r="FR220" i="13"/>
  <c r="FP220" i="13"/>
  <c r="FN220" i="13"/>
  <c r="FL220" i="13"/>
  <c r="FK220" i="13"/>
  <c r="FF220" i="13"/>
  <c r="FE220" i="13"/>
  <c r="FD220" i="13"/>
  <c r="EZ220" i="13"/>
  <c r="EY220" i="13"/>
  <c r="EX220" i="13"/>
  <c r="EW220" i="13"/>
  <c r="EV220" i="13"/>
  <c r="ER220" i="13"/>
  <c r="EQ220" i="13"/>
  <c r="EP220" i="13"/>
  <c r="EN220" i="13"/>
  <c r="EM220" i="13"/>
  <c r="EC220" i="13"/>
  <c r="EB220" i="13"/>
  <c r="EA220" i="13"/>
  <c r="DZ220" i="13"/>
  <c r="DV220" i="13"/>
  <c r="DT220" i="13"/>
  <c r="DS220" i="13"/>
  <c r="DR220" i="13"/>
  <c r="DQ220" i="13"/>
  <c r="DJ220" i="13"/>
  <c r="DI220" i="13"/>
  <c r="DH220" i="13"/>
  <c r="DG220" i="13"/>
  <c r="DF220" i="13"/>
  <c r="DC220" i="13"/>
  <c r="CZ220" i="13"/>
  <c r="CY220" i="13"/>
  <c r="CX220" i="13"/>
  <c r="CW220" i="13"/>
  <c r="CV220" i="13"/>
  <c r="CU220" i="13"/>
  <c r="CR220" i="13"/>
  <c r="CP220" i="13"/>
  <c r="CL220" i="13"/>
  <c r="CK220" i="13"/>
  <c r="CJ220" i="13"/>
  <c r="CI220" i="13"/>
  <c r="CH220" i="13"/>
  <c r="CG220" i="13"/>
  <c r="CC220" i="13"/>
  <c r="CB220" i="13"/>
  <c r="CA220" i="13"/>
  <c r="BW220" i="13"/>
  <c r="BV220" i="13"/>
  <c r="BS220" i="13"/>
  <c r="BH220" i="13"/>
  <c r="BB220" i="13"/>
  <c r="BA220" i="13"/>
  <c r="AX220" i="13"/>
  <c r="AW220" i="13"/>
  <c r="AF220" i="13"/>
  <c r="AD220" i="13"/>
  <c r="P220" i="13"/>
  <c r="N220" i="13"/>
  <c r="JR197" i="13"/>
  <c r="IQ197" i="13"/>
  <c r="IK197" i="13"/>
  <c r="HZ197" i="13"/>
  <c r="HY197" i="13"/>
  <c r="HC197" i="13"/>
  <c r="FD197" i="13"/>
  <c r="EW197" i="13"/>
  <c r="EC197" i="13"/>
  <c r="DI197" i="13"/>
  <c r="DH197" i="13"/>
  <c r="DG197" i="13"/>
  <c r="DF197" i="13"/>
  <c r="CK197" i="13"/>
  <c r="CC197" i="13"/>
  <c r="CB197" i="13"/>
  <c r="CA197" i="13"/>
  <c r="BV197" i="13"/>
  <c r="BS197" i="13"/>
  <c r="BB197" i="13"/>
  <c r="BA197" i="13"/>
  <c r="AX197" i="13"/>
  <c r="AW197" i="13"/>
  <c r="JR217" i="13"/>
  <c r="IQ217" i="13"/>
  <c r="IK217" i="13"/>
  <c r="HZ217" i="13"/>
  <c r="HY217" i="13"/>
  <c r="HC217" i="13"/>
  <c r="FD217" i="13"/>
  <c r="EW217" i="13"/>
  <c r="EC217" i="13"/>
  <c r="DI217" i="13"/>
  <c r="DH217" i="13"/>
  <c r="DG217" i="13"/>
  <c r="DF217" i="13"/>
  <c r="CK217" i="13"/>
  <c r="CC217" i="13"/>
  <c r="CB217" i="13"/>
  <c r="CA217" i="13"/>
  <c r="BV217" i="13"/>
  <c r="BS217" i="13"/>
  <c r="BB217" i="13"/>
  <c r="BA217" i="13"/>
  <c r="AX217" i="13"/>
  <c r="AW217" i="13"/>
  <c r="KB61" i="13"/>
  <c r="IY61" i="13"/>
  <c r="IL61" i="13"/>
  <c r="HZ61" i="13"/>
  <c r="HY61" i="13"/>
  <c r="HC61" i="13"/>
  <c r="GS61" i="13"/>
  <c r="GR61" i="13"/>
  <c r="GP61" i="13"/>
  <c r="GM61" i="13"/>
  <c r="FW61" i="13"/>
  <c r="FV61" i="13"/>
  <c r="FU61" i="13"/>
  <c r="FT61" i="13"/>
  <c r="FS61" i="13"/>
  <c r="FR61" i="13"/>
  <c r="FP61" i="13"/>
  <c r="FK61" i="13"/>
  <c r="FG61" i="13"/>
  <c r="FD61" i="13"/>
  <c r="EW61" i="13"/>
  <c r="ER61" i="13"/>
  <c r="EP61" i="13"/>
  <c r="EM61" i="13"/>
  <c r="DI61" i="13"/>
  <c r="DH61" i="13"/>
  <c r="DG61" i="13"/>
  <c r="DF61" i="13"/>
  <c r="CK61" i="13"/>
  <c r="CC61" i="13"/>
  <c r="CB61" i="13"/>
  <c r="CA61" i="13"/>
  <c r="BY61" i="13"/>
  <c r="BW61" i="13"/>
  <c r="BV61" i="13"/>
  <c r="BU61" i="13"/>
  <c r="BS61" i="13"/>
  <c r="BI61" i="13"/>
  <c r="BB61" i="13"/>
  <c r="BA61" i="13"/>
  <c r="AX61" i="13"/>
  <c r="AW61" i="13"/>
  <c r="AH61" i="13"/>
  <c r="KB31" i="13"/>
  <c r="IY31" i="13"/>
  <c r="IL31" i="13"/>
  <c r="HZ31" i="13"/>
  <c r="HY31" i="13"/>
  <c r="HC31" i="13"/>
  <c r="GS31" i="13"/>
  <c r="GR31" i="13"/>
  <c r="GP31" i="13"/>
  <c r="GM31" i="13"/>
  <c r="FW31" i="13"/>
  <c r="FV31" i="13"/>
  <c r="FU31" i="13"/>
  <c r="FT31" i="13"/>
  <c r="FS31" i="13"/>
  <c r="FR31" i="13"/>
  <c r="FP31" i="13"/>
  <c r="FK31" i="13"/>
  <c r="FG31" i="13"/>
  <c r="FD31" i="13"/>
  <c r="EW31" i="13"/>
  <c r="ER31" i="13"/>
  <c r="EP31" i="13"/>
  <c r="EM31" i="13"/>
  <c r="DI31" i="13"/>
  <c r="DH31" i="13"/>
  <c r="DG31" i="13"/>
  <c r="DF31" i="13"/>
  <c r="CK31" i="13"/>
  <c r="CC31" i="13"/>
  <c r="CB31" i="13"/>
  <c r="CA31" i="13"/>
  <c r="BY31" i="13"/>
  <c r="BW31" i="13"/>
  <c r="BV31" i="13"/>
  <c r="BU31" i="13"/>
  <c r="BS31" i="13"/>
  <c r="BI31" i="13"/>
  <c r="BB31" i="13"/>
  <c r="BA31" i="13"/>
  <c r="AX31" i="13"/>
  <c r="AW31" i="13"/>
  <c r="AH31" i="13"/>
  <c r="JR195" i="13"/>
  <c r="IY195" i="13"/>
  <c r="HZ195" i="13"/>
  <c r="HY195" i="13"/>
  <c r="HC195" i="13"/>
  <c r="FD195" i="13"/>
  <c r="EW195" i="13"/>
  <c r="DJ195" i="13"/>
  <c r="DI195" i="13"/>
  <c r="DH195" i="13"/>
  <c r="DG195" i="13"/>
  <c r="DF195" i="13"/>
  <c r="CK195" i="13"/>
  <c r="CC195" i="13"/>
  <c r="CB195" i="13"/>
  <c r="CA195" i="13"/>
  <c r="BV195" i="13"/>
  <c r="BS195" i="13"/>
  <c r="BB195" i="13"/>
  <c r="BA195" i="13"/>
  <c r="AX195" i="13"/>
  <c r="AW195" i="13"/>
  <c r="JR134" i="13"/>
  <c r="IY134" i="13"/>
  <c r="HZ134" i="13"/>
  <c r="HY134" i="13"/>
  <c r="HC134" i="13"/>
  <c r="FD134" i="13"/>
  <c r="EW134" i="13"/>
  <c r="DJ134" i="13"/>
  <c r="DI134" i="13"/>
  <c r="DH134" i="13"/>
  <c r="DG134" i="13"/>
  <c r="DF134" i="13"/>
  <c r="CK134" i="13"/>
  <c r="CC134" i="13"/>
  <c r="CB134" i="13"/>
  <c r="CA134" i="13"/>
  <c r="BV134" i="13"/>
  <c r="BS134" i="13"/>
  <c r="BB134" i="13"/>
  <c r="BA134" i="13"/>
  <c r="AX134" i="13"/>
  <c r="AW134" i="13"/>
  <c r="JR83" i="13"/>
  <c r="IY83" i="13"/>
  <c r="HZ83" i="13"/>
  <c r="HY83" i="13"/>
  <c r="HC83" i="13"/>
  <c r="FD83" i="13"/>
  <c r="EW83" i="13"/>
  <c r="DJ83" i="13"/>
  <c r="DI83" i="13"/>
  <c r="DH83" i="13"/>
  <c r="DG83" i="13"/>
  <c r="DF83" i="13"/>
  <c r="CK83" i="13"/>
  <c r="CC83" i="13"/>
  <c r="CB83" i="13"/>
  <c r="CA83" i="13"/>
  <c r="BV83" i="13"/>
  <c r="BS83" i="13"/>
  <c r="BB83" i="13"/>
  <c r="BA83" i="13"/>
  <c r="AX83" i="13"/>
  <c r="AW83" i="13"/>
  <c r="JR203" i="13"/>
  <c r="IY203" i="13"/>
  <c r="HZ203" i="13"/>
  <c r="HY203" i="13"/>
  <c r="HC203" i="13"/>
  <c r="FD203" i="13"/>
  <c r="EW203" i="13"/>
  <c r="DJ203" i="13"/>
  <c r="DI203" i="13"/>
  <c r="DH203" i="13"/>
  <c r="DG203" i="13"/>
  <c r="DF203" i="13"/>
  <c r="CK203" i="13"/>
  <c r="CC203" i="13"/>
  <c r="CB203" i="13"/>
  <c r="CA203" i="13"/>
  <c r="BV203" i="13"/>
  <c r="BS203" i="13"/>
  <c r="BB203" i="13"/>
  <c r="BA203" i="13"/>
  <c r="AX203" i="13"/>
  <c r="AW203" i="13"/>
  <c r="MD138" i="13"/>
  <c r="KD138" i="13"/>
  <c r="JM138" i="13"/>
  <c r="JL138" i="13"/>
  <c r="IY138" i="13"/>
  <c r="IX138" i="13"/>
  <c r="IQ138" i="13"/>
  <c r="IN138" i="13"/>
  <c r="IK138" i="13"/>
  <c r="II138" i="13"/>
  <c r="HZ138" i="13"/>
  <c r="HY138" i="13"/>
  <c r="HC138" i="13"/>
  <c r="GM138" i="13"/>
  <c r="GK138" i="13"/>
  <c r="GD138" i="13"/>
  <c r="FW138" i="13"/>
  <c r="FV138" i="13"/>
  <c r="FU138" i="13"/>
  <c r="FT138" i="13"/>
  <c r="FS138" i="13"/>
  <c r="FR138" i="13"/>
  <c r="FP138" i="13"/>
  <c r="FN138" i="13"/>
  <c r="FL138" i="13"/>
  <c r="FK138" i="13"/>
  <c r="FE138" i="13"/>
  <c r="FD138" i="13"/>
  <c r="EX138" i="13"/>
  <c r="EW138" i="13"/>
  <c r="ER138" i="13"/>
  <c r="EQ138" i="13"/>
  <c r="EP138" i="13"/>
  <c r="EM138" i="13"/>
  <c r="EC138" i="13"/>
  <c r="EA138" i="13"/>
  <c r="DZ138" i="13"/>
  <c r="DY138" i="13"/>
  <c r="DV138" i="13"/>
  <c r="DT138" i="13"/>
  <c r="DS138" i="13"/>
  <c r="DI138" i="13"/>
  <c r="DH138" i="13"/>
  <c r="DG138" i="13"/>
  <c r="DF138" i="13"/>
  <c r="DC138" i="13"/>
  <c r="CY138" i="13"/>
  <c r="CW138" i="13"/>
  <c r="CV138" i="13"/>
  <c r="CU138" i="13"/>
  <c r="CP138" i="13"/>
  <c r="CL138" i="13"/>
  <c r="CK138" i="13"/>
  <c r="CJ138" i="13"/>
  <c r="CH138" i="13"/>
  <c r="CC138" i="13"/>
  <c r="CB138" i="13"/>
  <c r="CA138" i="13"/>
  <c r="BW138" i="13"/>
  <c r="BV138" i="13"/>
  <c r="BS138" i="13"/>
  <c r="BB138" i="13"/>
  <c r="BA138" i="13"/>
  <c r="AX138" i="13"/>
  <c r="AW138" i="13"/>
  <c r="AF138" i="13"/>
  <c r="AD138" i="13"/>
  <c r="MD202" i="13"/>
  <c r="KD202" i="13"/>
  <c r="JM202" i="13"/>
  <c r="JL202" i="13"/>
  <c r="IY202" i="13"/>
  <c r="IX202" i="13"/>
  <c r="IQ202" i="13"/>
  <c r="IN202" i="13"/>
  <c r="IK202" i="13"/>
  <c r="II202" i="13"/>
  <c r="HZ202" i="13"/>
  <c r="HY202" i="13"/>
  <c r="HC202" i="13"/>
  <c r="GM202" i="13"/>
  <c r="GK202" i="13"/>
  <c r="GD202" i="13"/>
  <c r="FW202" i="13"/>
  <c r="FV202" i="13"/>
  <c r="FU202" i="13"/>
  <c r="FT202" i="13"/>
  <c r="FS202" i="13"/>
  <c r="FR202" i="13"/>
  <c r="FP202" i="13"/>
  <c r="FN202" i="13"/>
  <c r="FL202" i="13"/>
  <c r="FK202" i="13"/>
  <c r="FE202" i="13"/>
  <c r="FD202" i="13"/>
  <c r="EX202" i="13"/>
  <c r="EW202" i="13"/>
  <c r="ER202" i="13"/>
  <c r="EQ202" i="13"/>
  <c r="EP202" i="13"/>
  <c r="EM202" i="13"/>
  <c r="EC202" i="13"/>
  <c r="EA202" i="13"/>
  <c r="DZ202" i="13"/>
  <c r="DY202" i="13"/>
  <c r="DV202" i="13"/>
  <c r="DT202" i="13"/>
  <c r="DS202" i="13"/>
  <c r="DI202" i="13"/>
  <c r="DH202" i="13"/>
  <c r="DG202" i="13"/>
  <c r="DF202" i="13"/>
  <c r="DC202" i="13"/>
  <c r="CY202" i="13"/>
  <c r="CW202" i="13"/>
  <c r="CV202" i="13"/>
  <c r="CU202" i="13"/>
  <c r="CP202" i="13"/>
  <c r="CL202" i="13"/>
  <c r="CK202" i="13"/>
  <c r="CJ202" i="13"/>
  <c r="CH202" i="13"/>
  <c r="CC202" i="13"/>
  <c r="CB202" i="13"/>
  <c r="CA202" i="13"/>
  <c r="BW202" i="13"/>
  <c r="BV202" i="13"/>
  <c r="BS202" i="13"/>
  <c r="BB202" i="13"/>
  <c r="BA202" i="13"/>
  <c r="AX202" i="13"/>
  <c r="AW202" i="13"/>
  <c r="AF202" i="13"/>
  <c r="AD202" i="13"/>
  <c r="JT109" i="13"/>
  <c r="JA109" i="13"/>
  <c r="IL109" i="13"/>
  <c r="HZ109" i="13"/>
  <c r="HY109" i="13"/>
  <c r="HC109" i="13"/>
  <c r="FD109" i="13"/>
  <c r="EW109" i="13"/>
  <c r="DI109" i="13"/>
  <c r="DH109" i="13"/>
  <c r="DG109" i="13"/>
  <c r="DF109" i="13"/>
  <c r="DA109" i="13"/>
  <c r="CK109" i="13"/>
  <c r="CC109" i="13"/>
  <c r="CB109" i="13"/>
  <c r="CA109" i="13"/>
  <c r="BW109" i="13"/>
  <c r="BV109" i="13"/>
  <c r="BS109" i="13"/>
  <c r="BB109" i="13"/>
  <c r="BA109" i="13"/>
  <c r="AX109" i="13"/>
  <c r="AW109" i="13"/>
  <c r="JT57" i="13"/>
  <c r="JA57" i="13"/>
  <c r="IL57" i="13"/>
  <c r="HZ57" i="13"/>
  <c r="HY57" i="13"/>
  <c r="HC57" i="13"/>
  <c r="FD57" i="13"/>
  <c r="EW57" i="13"/>
  <c r="DI57" i="13"/>
  <c r="DH57" i="13"/>
  <c r="DG57" i="13"/>
  <c r="DF57" i="13"/>
  <c r="DA57" i="13"/>
  <c r="CK57" i="13"/>
  <c r="CC57" i="13"/>
  <c r="CB57" i="13"/>
  <c r="CA57" i="13"/>
  <c r="BW57" i="13"/>
  <c r="BV57" i="13"/>
  <c r="BS57" i="13"/>
  <c r="BB57" i="13"/>
  <c r="BA57" i="13"/>
  <c r="AX57" i="13"/>
  <c r="AW57" i="13"/>
  <c r="JT30" i="13"/>
  <c r="JA30" i="13"/>
  <c r="IL30" i="13"/>
  <c r="HZ30" i="13"/>
  <c r="HY30" i="13"/>
  <c r="HC30" i="13"/>
  <c r="FD30" i="13"/>
  <c r="EW30" i="13"/>
  <c r="DI30" i="13"/>
  <c r="DH30" i="13"/>
  <c r="DG30" i="13"/>
  <c r="DF30" i="13"/>
  <c r="DA30" i="13"/>
  <c r="CK30" i="13"/>
  <c r="CC30" i="13"/>
  <c r="CB30" i="13"/>
  <c r="CA30" i="13"/>
  <c r="BW30" i="13"/>
  <c r="BV30" i="13"/>
  <c r="BS30" i="13"/>
  <c r="BB30" i="13"/>
  <c r="BA30" i="13"/>
  <c r="AX30" i="13"/>
  <c r="AW30" i="13"/>
  <c r="JT201" i="13"/>
  <c r="JA201" i="13"/>
  <c r="IL201" i="13"/>
  <c r="HZ201" i="13"/>
  <c r="HY201" i="13"/>
  <c r="HC201" i="13"/>
  <c r="FD201" i="13"/>
  <c r="EW201" i="13"/>
  <c r="DI201" i="13"/>
  <c r="DH201" i="13"/>
  <c r="DG201" i="13"/>
  <c r="DF201" i="13"/>
  <c r="DA201" i="13"/>
  <c r="CK201" i="13"/>
  <c r="CC201" i="13"/>
  <c r="CB201" i="13"/>
  <c r="CA201" i="13"/>
  <c r="BW201" i="13"/>
  <c r="BV201" i="13"/>
  <c r="BS201" i="13"/>
  <c r="BB201" i="13"/>
  <c r="BA201" i="13"/>
  <c r="AX201" i="13"/>
  <c r="AW201" i="13"/>
  <c r="JR189" i="13"/>
  <c r="HZ189" i="13"/>
  <c r="HY189" i="13"/>
  <c r="HC189" i="13"/>
  <c r="FE189" i="13"/>
  <c r="FD189" i="13"/>
  <c r="EW189" i="13"/>
  <c r="DI189" i="13"/>
  <c r="DH189" i="13"/>
  <c r="DG189" i="13"/>
  <c r="DF189" i="13"/>
  <c r="CK189" i="13"/>
  <c r="CC189" i="13"/>
  <c r="CB189" i="13"/>
  <c r="CA189" i="13"/>
  <c r="BV189" i="13"/>
  <c r="BS189" i="13"/>
  <c r="BB189" i="13"/>
  <c r="BA189" i="13"/>
  <c r="AX189" i="13"/>
  <c r="AW189" i="13"/>
  <c r="JR188" i="13"/>
  <c r="HZ188" i="13"/>
  <c r="HY188" i="13"/>
  <c r="HC188" i="13"/>
  <c r="FE188" i="13"/>
  <c r="FD188" i="13"/>
  <c r="EW188" i="13"/>
  <c r="DI188" i="13"/>
  <c r="DH188" i="13"/>
  <c r="DG188" i="13"/>
  <c r="DF188" i="13"/>
  <c r="CK188" i="13"/>
  <c r="CC188" i="13"/>
  <c r="CB188" i="13"/>
  <c r="CA188" i="13"/>
  <c r="BV188" i="13"/>
  <c r="BS188" i="13"/>
  <c r="BB188" i="13"/>
  <c r="BA188" i="13"/>
  <c r="AX188" i="13"/>
  <c r="AW188" i="13"/>
  <c r="JR196" i="13"/>
  <c r="HZ196" i="13"/>
  <c r="HY196" i="13"/>
  <c r="HC196" i="13"/>
  <c r="FE196" i="13"/>
  <c r="FD196" i="13"/>
  <c r="EW196" i="13"/>
  <c r="DI196" i="13"/>
  <c r="DH196" i="13"/>
  <c r="DG196" i="13"/>
  <c r="DF196" i="13"/>
  <c r="CK196" i="13"/>
  <c r="CC196" i="13"/>
  <c r="CB196" i="13"/>
  <c r="CA196" i="13"/>
  <c r="BV196" i="13"/>
  <c r="BS196" i="13"/>
  <c r="BB196" i="13"/>
  <c r="BA196" i="13"/>
  <c r="AX196" i="13"/>
  <c r="AW196" i="13"/>
  <c r="KE119" i="13"/>
  <c r="KB119" i="13"/>
  <c r="HZ119" i="13"/>
  <c r="HY119" i="13"/>
  <c r="HG119" i="13"/>
  <c r="HF119" i="13"/>
  <c r="HE119" i="13"/>
  <c r="HD119" i="13"/>
  <c r="HC119" i="13"/>
  <c r="FD119" i="13"/>
  <c r="EW119" i="13"/>
  <c r="DI119" i="13"/>
  <c r="DH119" i="13"/>
  <c r="DG119" i="13"/>
  <c r="DF119" i="13"/>
  <c r="CK119" i="13"/>
  <c r="CC119" i="13"/>
  <c r="CB119" i="13"/>
  <c r="CA119" i="13"/>
  <c r="BW119" i="13"/>
  <c r="BV119" i="13"/>
  <c r="BS119" i="13"/>
  <c r="BB119" i="13"/>
  <c r="BA119" i="13"/>
  <c r="AX119" i="13"/>
  <c r="AW119" i="13"/>
  <c r="KE78" i="13"/>
  <c r="KB78" i="13"/>
  <c r="HZ78" i="13"/>
  <c r="HY78" i="13"/>
  <c r="HG78" i="13"/>
  <c r="HF78" i="13"/>
  <c r="HE78" i="13"/>
  <c r="HD78" i="13"/>
  <c r="HC78" i="13"/>
  <c r="FD78" i="13"/>
  <c r="EW78" i="13"/>
  <c r="DI78" i="13"/>
  <c r="DH78" i="13"/>
  <c r="DG78" i="13"/>
  <c r="DF78" i="13"/>
  <c r="CK78" i="13"/>
  <c r="CC78" i="13"/>
  <c r="CB78" i="13"/>
  <c r="CA78" i="13"/>
  <c r="BW78" i="13"/>
  <c r="BV78" i="13"/>
  <c r="BS78" i="13"/>
  <c r="BB78" i="13"/>
  <c r="BA78" i="13"/>
  <c r="AX78" i="13"/>
  <c r="AW78" i="13"/>
  <c r="KE42" i="13"/>
  <c r="KB42" i="13"/>
  <c r="HZ42" i="13"/>
  <c r="HY42" i="13"/>
  <c r="HG42" i="13"/>
  <c r="HF42" i="13"/>
  <c r="HE42" i="13"/>
  <c r="HD42" i="13"/>
  <c r="HC42" i="13"/>
  <c r="FD42" i="13"/>
  <c r="EW42" i="13"/>
  <c r="DI42" i="13"/>
  <c r="DH42" i="13"/>
  <c r="DG42" i="13"/>
  <c r="DF42" i="13"/>
  <c r="CK42" i="13"/>
  <c r="CC42" i="13"/>
  <c r="CB42" i="13"/>
  <c r="CA42" i="13"/>
  <c r="BW42" i="13"/>
  <c r="BV42" i="13"/>
  <c r="BS42" i="13"/>
  <c r="BB42" i="13"/>
  <c r="BA42" i="13"/>
  <c r="AX42" i="13"/>
  <c r="AW42" i="13"/>
  <c r="KE187" i="13"/>
  <c r="KB187" i="13"/>
  <c r="HZ187" i="13"/>
  <c r="HY187" i="13"/>
  <c r="HG187" i="13"/>
  <c r="HF187" i="13"/>
  <c r="HE187" i="13"/>
  <c r="HD187" i="13"/>
  <c r="HC187" i="13"/>
  <c r="FD187" i="13"/>
  <c r="EW187" i="13"/>
  <c r="DI187" i="13"/>
  <c r="DH187" i="13"/>
  <c r="DG187" i="13"/>
  <c r="DF187" i="13"/>
  <c r="CK187" i="13"/>
  <c r="CC187" i="13"/>
  <c r="CB187" i="13"/>
  <c r="CA187" i="13"/>
  <c r="BW187" i="13"/>
  <c r="BV187" i="13"/>
  <c r="BS187" i="13"/>
  <c r="BB187" i="13"/>
  <c r="BA187" i="13"/>
  <c r="AX187" i="13"/>
  <c r="AW187" i="13"/>
  <c r="KB118" i="13"/>
  <c r="JR118" i="13"/>
  <c r="JM118" i="13"/>
  <c r="JC118" i="13"/>
  <c r="IY118" i="13"/>
  <c r="IX118" i="13"/>
  <c r="HZ118" i="13"/>
  <c r="HY118" i="13"/>
  <c r="HX118" i="13"/>
  <c r="HC118" i="13"/>
  <c r="GS118" i="13"/>
  <c r="GR118" i="13"/>
  <c r="GP118" i="13"/>
  <c r="GM118" i="13"/>
  <c r="GK118" i="13"/>
  <c r="GD118" i="13"/>
  <c r="FW118" i="13"/>
  <c r="FV118" i="13"/>
  <c r="FU118" i="13"/>
  <c r="FT118" i="13"/>
  <c r="FS118" i="13"/>
  <c r="FR118" i="13"/>
  <c r="FP118" i="13"/>
  <c r="FN118" i="13"/>
  <c r="FL118" i="13"/>
  <c r="FK118" i="13"/>
  <c r="FG118" i="13"/>
  <c r="FE118" i="13"/>
  <c r="FD118" i="13"/>
  <c r="EW118" i="13"/>
  <c r="EU118" i="13"/>
  <c r="ER118" i="13"/>
  <c r="EQ118" i="13"/>
  <c r="EP118" i="13"/>
  <c r="EN118" i="13"/>
  <c r="EM118" i="13"/>
  <c r="EK118" i="13"/>
  <c r="DV118" i="13"/>
  <c r="DT118" i="13"/>
  <c r="DS118" i="13"/>
  <c r="DQ118" i="13"/>
  <c r="DL118" i="13"/>
  <c r="DJ118" i="13"/>
  <c r="DI118" i="13"/>
  <c r="DH118" i="13"/>
  <c r="DG118" i="13"/>
  <c r="DF118" i="13"/>
  <c r="DA118" i="13"/>
  <c r="CR118" i="13"/>
  <c r="CP118" i="13"/>
  <c r="CK118" i="13"/>
  <c r="CJ118" i="13"/>
  <c r="CH118" i="13"/>
  <c r="CG118" i="13"/>
  <c r="CC118" i="13"/>
  <c r="CB118" i="13"/>
  <c r="CA118" i="13"/>
  <c r="BW118" i="13"/>
  <c r="BV118" i="13"/>
  <c r="BS118" i="13"/>
  <c r="BM118" i="13"/>
  <c r="BL118" i="13"/>
  <c r="BI118" i="13"/>
  <c r="BH118" i="13"/>
  <c r="BB118" i="13"/>
  <c r="BA118" i="13"/>
  <c r="AX118" i="13"/>
  <c r="AW118" i="13"/>
  <c r="AH118" i="13"/>
  <c r="P118" i="13"/>
  <c r="N118" i="13"/>
  <c r="KB77" i="13"/>
  <c r="JR77" i="13"/>
  <c r="JM77" i="13"/>
  <c r="JC77" i="13"/>
  <c r="IY77" i="13"/>
  <c r="IX77" i="13"/>
  <c r="HZ77" i="13"/>
  <c r="HY77" i="13"/>
  <c r="HX77" i="13"/>
  <c r="HC77" i="13"/>
  <c r="GS77" i="13"/>
  <c r="GR77" i="13"/>
  <c r="GP77" i="13"/>
  <c r="GM77" i="13"/>
  <c r="GK77" i="13"/>
  <c r="GD77" i="13"/>
  <c r="FW77" i="13"/>
  <c r="FV77" i="13"/>
  <c r="FU77" i="13"/>
  <c r="FT77" i="13"/>
  <c r="FS77" i="13"/>
  <c r="FR77" i="13"/>
  <c r="FP77" i="13"/>
  <c r="FN77" i="13"/>
  <c r="FL77" i="13"/>
  <c r="FK77" i="13"/>
  <c r="FG77" i="13"/>
  <c r="FE77" i="13"/>
  <c r="FD77" i="13"/>
  <c r="EW77" i="13"/>
  <c r="EU77" i="13"/>
  <c r="ER77" i="13"/>
  <c r="EQ77" i="13"/>
  <c r="EP77" i="13"/>
  <c r="EN77" i="13"/>
  <c r="EM77" i="13"/>
  <c r="EK77" i="13"/>
  <c r="DV77" i="13"/>
  <c r="DT77" i="13"/>
  <c r="DS77" i="13"/>
  <c r="DQ77" i="13"/>
  <c r="DL77" i="13"/>
  <c r="DJ77" i="13"/>
  <c r="DI77" i="13"/>
  <c r="DH77" i="13"/>
  <c r="DG77" i="13"/>
  <c r="DF77" i="13"/>
  <c r="DA77" i="13"/>
  <c r="CR77" i="13"/>
  <c r="CP77" i="13"/>
  <c r="CK77" i="13"/>
  <c r="CJ77" i="13"/>
  <c r="CH77" i="13"/>
  <c r="CG77" i="13"/>
  <c r="CC77" i="13"/>
  <c r="CB77" i="13"/>
  <c r="CA77" i="13"/>
  <c r="BW77" i="13"/>
  <c r="BV77" i="13"/>
  <c r="BS77" i="13"/>
  <c r="BM77" i="13"/>
  <c r="BL77" i="13"/>
  <c r="BI77" i="13"/>
  <c r="BH77" i="13"/>
  <c r="BB77" i="13"/>
  <c r="BA77" i="13"/>
  <c r="AX77" i="13"/>
  <c r="AW77" i="13"/>
  <c r="AH77" i="13"/>
  <c r="P77" i="13"/>
  <c r="N77" i="13"/>
  <c r="KB41" i="13"/>
  <c r="JR41" i="13"/>
  <c r="JM41" i="13"/>
  <c r="JC41" i="13"/>
  <c r="IY41" i="13"/>
  <c r="IX41" i="13"/>
  <c r="HZ41" i="13"/>
  <c r="HY41" i="13"/>
  <c r="HX41" i="13"/>
  <c r="HC41" i="13"/>
  <c r="GS41" i="13"/>
  <c r="GR41" i="13"/>
  <c r="GP41" i="13"/>
  <c r="GM41" i="13"/>
  <c r="GK41" i="13"/>
  <c r="GD41" i="13"/>
  <c r="FW41" i="13"/>
  <c r="FV41" i="13"/>
  <c r="FU41" i="13"/>
  <c r="FT41" i="13"/>
  <c r="FS41" i="13"/>
  <c r="FR41" i="13"/>
  <c r="FP41" i="13"/>
  <c r="FN41" i="13"/>
  <c r="FL41" i="13"/>
  <c r="FK41" i="13"/>
  <c r="FG41" i="13"/>
  <c r="FE41" i="13"/>
  <c r="FD41" i="13"/>
  <c r="EW41" i="13"/>
  <c r="EU41" i="13"/>
  <c r="ER41" i="13"/>
  <c r="EQ41" i="13"/>
  <c r="EP41" i="13"/>
  <c r="EN41" i="13"/>
  <c r="EM41" i="13"/>
  <c r="EK41" i="13"/>
  <c r="DV41" i="13"/>
  <c r="DT41" i="13"/>
  <c r="DS41" i="13"/>
  <c r="DQ41" i="13"/>
  <c r="DL41" i="13"/>
  <c r="DJ41" i="13"/>
  <c r="DI41" i="13"/>
  <c r="DH41" i="13"/>
  <c r="DG41" i="13"/>
  <c r="DF41" i="13"/>
  <c r="DA41" i="13"/>
  <c r="CR41" i="13"/>
  <c r="CP41" i="13"/>
  <c r="CK41" i="13"/>
  <c r="CJ41" i="13"/>
  <c r="CH41" i="13"/>
  <c r="CG41" i="13"/>
  <c r="CC41" i="13"/>
  <c r="CB41" i="13"/>
  <c r="CA41" i="13"/>
  <c r="BW41" i="13"/>
  <c r="BV41" i="13"/>
  <c r="BS41" i="13"/>
  <c r="BM41" i="13"/>
  <c r="BL41" i="13"/>
  <c r="BI41" i="13"/>
  <c r="BH41" i="13"/>
  <c r="BB41" i="13"/>
  <c r="BA41" i="13"/>
  <c r="AX41" i="13"/>
  <c r="AW41" i="13"/>
  <c r="AH41" i="13"/>
  <c r="P41" i="13"/>
  <c r="N41" i="13"/>
  <c r="KB186" i="13"/>
  <c r="JR186" i="13"/>
  <c r="JM186" i="13"/>
  <c r="JC186" i="13"/>
  <c r="IY186" i="13"/>
  <c r="IX186" i="13"/>
  <c r="HZ186" i="13"/>
  <c r="HY186" i="13"/>
  <c r="HX186" i="13"/>
  <c r="HC186" i="13"/>
  <c r="GS186" i="13"/>
  <c r="GR186" i="13"/>
  <c r="GP186" i="13"/>
  <c r="GM186" i="13"/>
  <c r="GK186" i="13"/>
  <c r="GD186" i="13"/>
  <c r="FW186" i="13"/>
  <c r="FV186" i="13"/>
  <c r="FU186" i="13"/>
  <c r="FT186" i="13"/>
  <c r="FS186" i="13"/>
  <c r="FR186" i="13"/>
  <c r="FP186" i="13"/>
  <c r="FN186" i="13"/>
  <c r="FL186" i="13"/>
  <c r="FK186" i="13"/>
  <c r="FG186" i="13"/>
  <c r="FE186" i="13"/>
  <c r="FD186" i="13"/>
  <c r="EW186" i="13"/>
  <c r="EU186" i="13"/>
  <c r="ER186" i="13"/>
  <c r="EQ186" i="13"/>
  <c r="EP186" i="13"/>
  <c r="EN186" i="13"/>
  <c r="EM186" i="13"/>
  <c r="EK186" i="13"/>
  <c r="DV186" i="13"/>
  <c r="DT186" i="13"/>
  <c r="DS186" i="13"/>
  <c r="DQ186" i="13"/>
  <c r="DL186" i="13"/>
  <c r="DJ186" i="13"/>
  <c r="DI186" i="13"/>
  <c r="DH186" i="13"/>
  <c r="DG186" i="13"/>
  <c r="DF186" i="13"/>
  <c r="DA186" i="13"/>
  <c r="CR186" i="13"/>
  <c r="CP186" i="13"/>
  <c r="CK186" i="13"/>
  <c r="CJ186" i="13"/>
  <c r="CH186" i="13"/>
  <c r="CG186" i="13"/>
  <c r="CC186" i="13"/>
  <c r="CB186" i="13"/>
  <c r="CA186" i="13"/>
  <c r="BW186" i="13"/>
  <c r="BV186" i="13"/>
  <c r="BS186" i="13"/>
  <c r="BM186" i="13"/>
  <c r="BL186" i="13"/>
  <c r="BI186" i="13"/>
  <c r="BH186" i="13"/>
  <c r="BB186" i="13"/>
  <c r="BA186" i="13"/>
  <c r="AX186" i="13"/>
  <c r="AW186" i="13"/>
  <c r="AH186" i="13"/>
  <c r="P186" i="13"/>
  <c r="N186" i="13"/>
  <c r="IA63" i="13"/>
  <c r="HZ63" i="13"/>
  <c r="HY63" i="13"/>
  <c r="HC63" i="13"/>
  <c r="FE63" i="13"/>
  <c r="FD63" i="13"/>
  <c r="EW63" i="13"/>
  <c r="DI63" i="13"/>
  <c r="DH63" i="13"/>
  <c r="DG63" i="13"/>
  <c r="DF63" i="13"/>
  <c r="CK63" i="13"/>
  <c r="CC63" i="13"/>
  <c r="CB63" i="13"/>
  <c r="CA63" i="13"/>
  <c r="BV63" i="13"/>
  <c r="BS63" i="13"/>
  <c r="BM63" i="13"/>
  <c r="BB63" i="13"/>
  <c r="BA63" i="13"/>
  <c r="AX63" i="13"/>
  <c r="AW63" i="13"/>
  <c r="IA178" i="13"/>
  <c r="HZ178" i="13"/>
  <c r="HY178" i="13"/>
  <c r="HC178" i="13"/>
  <c r="FE178" i="13"/>
  <c r="FD178" i="13"/>
  <c r="EW178" i="13"/>
  <c r="DI178" i="13"/>
  <c r="DH178" i="13"/>
  <c r="DG178" i="13"/>
  <c r="DF178" i="13"/>
  <c r="CK178" i="13"/>
  <c r="CC178" i="13"/>
  <c r="CB178" i="13"/>
  <c r="CA178" i="13"/>
  <c r="BV178" i="13"/>
  <c r="BS178" i="13"/>
  <c r="BM178" i="13"/>
  <c r="BB178" i="13"/>
  <c r="BA178" i="13"/>
  <c r="AX178" i="13"/>
  <c r="AW178" i="13"/>
  <c r="MI230" i="13"/>
  <c r="MD230" i="13"/>
  <c r="KF230" i="13"/>
  <c r="KD230" i="13"/>
  <c r="KB230" i="13"/>
  <c r="JT230" i="13"/>
  <c r="JR230" i="13"/>
  <c r="JM230" i="13"/>
  <c r="JL230" i="13"/>
  <c r="JG230" i="13"/>
  <c r="JA230" i="13"/>
  <c r="IY230" i="13"/>
  <c r="IX230" i="13"/>
  <c r="IV230" i="13"/>
  <c r="IQ230" i="13"/>
  <c r="IN230" i="13"/>
  <c r="IL230" i="13"/>
  <c r="IK230" i="13"/>
  <c r="IJ230" i="13"/>
  <c r="II230" i="13"/>
  <c r="IH230" i="13"/>
  <c r="HZ230" i="13"/>
  <c r="HY230" i="13"/>
  <c r="HX230" i="13"/>
  <c r="HW230" i="13"/>
  <c r="HL230" i="13"/>
  <c r="HI230" i="13"/>
  <c r="HC230" i="13"/>
  <c r="HB230" i="13"/>
  <c r="HA230" i="13"/>
  <c r="GZ230" i="13"/>
  <c r="GY230" i="13"/>
  <c r="GX230" i="13"/>
  <c r="GW230" i="13"/>
  <c r="GV230" i="13"/>
  <c r="GU230" i="13"/>
  <c r="GT230" i="13"/>
  <c r="GS230" i="13"/>
  <c r="GR230" i="13"/>
  <c r="GQ230" i="13"/>
  <c r="GP230" i="13"/>
  <c r="GN230" i="13"/>
  <c r="GM230" i="13"/>
  <c r="GK230" i="13"/>
  <c r="GJ230" i="13"/>
  <c r="GI230" i="13"/>
  <c r="GH230" i="13"/>
  <c r="GG230" i="13"/>
  <c r="GF230" i="13"/>
  <c r="GE230" i="13"/>
  <c r="GD230" i="13"/>
  <c r="GC230" i="13"/>
  <c r="GB230" i="13"/>
  <c r="GA230" i="13"/>
  <c r="FZ230" i="13"/>
  <c r="FY230" i="13"/>
  <c r="FX230" i="13"/>
  <c r="FW230" i="13"/>
  <c r="FV230" i="13"/>
  <c r="FU230" i="13"/>
  <c r="FT230" i="13"/>
  <c r="FS230" i="13"/>
  <c r="FR230" i="13"/>
  <c r="FP230" i="13"/>
  <c r="FO230" i="13"/>
  <c r="FN230" i="13"/>
  <c r="FL230" i="13"/>
  <c r="FK230" i="13"/>
  <c r="FG230" i="13"/>
  <c r="FE230" i="13"/>
  <c r="FD230" i="13"/>
  <c r="EZ230" i="13"/>
  <c r="EY230" i="13"/>
  <c r="EX230" i="13"/>
  <c r="EW230" i="13"/>
  <c r="ER230" i="13"/>
  <c r="EQ230" i="13"/>
  <c r="EP230" i="13"/>
  <c r="EN230" i="13"/>
  <c r="EM230" i="13"/>
  <c r="EC230" i="13"/>
  <c r="EB230" i="13"/>
  <c r="EA230" i="13"/>
  <c r="DZ230" i="13"/>
  <c r="DY230" i="13"/>
  <c r="DV230" i="13"/>
  <c r="DT230" i="13"/>
  <c r="DS230" i="13"/>
  <c r="DR230" i="13"/>
  <c r="DQ230" i="13"/>
  <c r="DJ230" i="13"/>
  <c r="DI230" i="13"/>
  <c r="DH230" i="13"/>
  <c r="DG230" i="13"/>
  <c r="DF230" i="13"/>
  <c r="DC230" i="13"/>
  <c r="CZ230" i="13"/>
  <c r="CY230" i="13"/>
  <c r="CX230" i="13"/>
  <c r="CW230" i="13"/>
  <c r="CV230" i="13"/>
  <c r="CU230" i="13"/>
  <c r="CR230" i="13"/>
  <c r="CP230" i="13"/>
  <c r="CL230" i="13"/>
  <c r="CK230" i="13"/>
  <c r="CJ230" i="13"/>
  <c r="CI230" i="13"/>
  <c r="CH230" i="13"/>
  <c r="CG230" i="13"/>
  <c r="CF230" i="13"/>
  <c r="CC230" i="13"/>
  <c r="CB230" i="13"/>
  <c r="CA230" i="13"/>
  <c r="BW230" i="13"/>
  <c r="BV230" i="13"/>
  <c r="BS230" i="13"/>
  <c r="BM230" i="13"/>
  <c r="BK230" i="13"/>
  <c r="BB230" i="13"/>
  <c r="BA230" i="13"/>
  <c r="AX230" i="13"/>
  <c r="AW230" i="13"/>
  <c r="AH230" i="13"/>
  <c r="AF230" i="13"/>
  <c r="AD230" i="13"/>
  <c r="P230" i="13"/>
  <c r="N230" i="13"/>
  <c r="MI226" i="13"/>
  <c r="MD226" i="13"/>
  <c r="KF226" i="13"/>
  <c r="KD226" i="13"/>
  <c r="KB226" i="13"/>
  <c r="JT226" i="13"/>
  <c r="JR226" i="13"/>
  <c r="JM226" i="13"/>
  <c r="JL226" i="13"/>
  <c r="JG226" i="13"/>
  <c r="JA226" i="13"/>
  <c r="IY226" i="13"/>
  <c r="IX226" i="13"/>
  <c r="IV226" i="13"/>
  <c r="IQ226" i="13"/>
  <c r="IN226" i="13"/>
  <c r="IL226" i="13"/>
  <c r="IK226" i="13"/>
  <c r="IJ226" i="13"/>
  <c r="II226" i="13"/>
  <c r="IH226" i="13"/>
  <c r="HZ226" i="13"/>
  <c r="HY226" i="13"/>
  <c r="HX226" i="13"/>
  <c r="HW226" i="13"/>
  <c r="HL226" i="13"/>
  <c r="HI226" i="13"/>
  <c r="HC226" i="13"/>
  <c r="HB226" i="13"/>
  <c r="HA226" i="13"/>
  <c r="GZ226" i="13"/>
  <c r="GY226" i="13"/>
  <c r="GX226" i="13"/>
  <c r="GW226" i="13"/>
  <c r="GV226" i="13"/>
  <c r="GU226" i="13"/>
  <c r="GT226" i="13"/>
  <c r="GS226" i="13"/>
  <c r="GR226" i="13"/>
  <c r="GQ226" i="13"/>
  <c r="GP226" i="13"/>
  <c r="GN226" i="13"/>
  <c r="GM226" i="13"/>
  <c r="GK226" i="13"/>
  <c r="GJ226" i="13"/>
  <c r="GI226" i="13"/>
  <c r="GH226" i="13"/>
  <c r="GG226" i="13"/>
  <c r="GF226" i="13"/>
  <c r="GE226" i="13"/>
  <c r="GD226" i="13"/>
  <c r="GC226" i="13"/>
  <c r="GB226" i="13"/>
  <c r="GA226" i="13"/>
  <c r="FZ226" i="13"/>
  <c r="FY226" i="13"/>
  <c r="FX226" i="13"/>
  <c r="FW226" i="13"/>
  <c r="FV226" i="13"/>
  <c r="FU226" i="13"/>
  <c r="FT226" i="13"/>
  <c r="FS226" i="13"/>
  <c r="FR226" i="13"/>
  <c r="FP226" i="13"/>
  <c r="FO226" i="13"/>
  <c r="FN226" i="13"/>
  <c r="FL226" i="13"/>
  <c r="FK226" i="13"/>
  <c r="FG226" i="13"/>
  <c r="FE226" i="13"/>
  <c r="FD226" i="13"/>
  <c r="EZ226" i="13"/>
  <c r="EY226" i="13"/>
  <c r="EX226" i="13"/>
  <c r="EW226" i="13"/>
  <c r="ER226" i="13"/>
  <c r="EQ226" i="13"/>
  <c r="EP226" i="13"/>
  <c r="EN226" i="13"/>
  <c r="EM226" i="13"/>
  <c r="EC226" i="13"/>
  <c r="EB226" i="13"/>
  <c r="EA226" i="13"/>
  <c r="DZ226" i="13"/>
  <c r="DY226" i="13"/>
  <c r="DV226" i="13"/>
  <c r="DT226" i="13"/>
  <c r="DS226" i="13"/>
  <c r="DR226" i="13"/>
  <c r="DQ226" i="13"/>
  <c r="DJ226" i="13"/>
  <c r="DI226" i="13"/>
  <c r="DH226" i="13"/>
  <c r="DG226" i="13"/>
  <c r="DF226" i="13"/>
  <c r="DC226" i="13"/>
  <c r="CZ226" i="13"/>
  <c r="CY226" i="13"/>
  <c r="CX226" i="13"/>
  <c r="CW226" i="13"/>
  <c r="CV226" i="13"/>
  <c r="CU226" i="13"/>
  <c r="CR226" i="13"/>
  <c r="CP226" i="13"/>
  <c r="CL226" i="13"/>
  <c r="CK226" i="13"/>
  <c r="CJ226" i="13"/>
  <c r="CI226" i="13"/>
  <c r="CH226" i="13"/>
  <c r="CG226" i="13"/>
  <c r="CF226" i="13"/>
  <c r="CC226" i="13"/>
  <c r="CB226" i="13"/>
  <c r="CA226" i="13"/>
  <c r="BW226" i="13"/>
  <c r="BV226" i="13"/>
  <c r="BS226" i="13"/>
  <c r="BM226" i="13"/>
  <c r="BK226" i="13"/>
  <c r="BB226" i="13"/>
  <c r="BA226" i="13"/>
  <c r="AX226" i="13"/>
  <c r="AW226" i="13"/>
  <c r="AH226" i="13"/>
  <c r="AF226" i="13"/>
  <c r="AD226" i="13"/>
  <c r="P226" i="13"/>
  <c r="N226" i="13"/>
  <c r="MI208" i="13"/>
  <c r="MD208" i="13"/>
  <c r="KF208" i="13"/>
  <c r="KD208" i="13"/>
  <c r="KB208" i="13"/>
  <c r="JT208" i="13"/>
  <c r="JR208" i="13"/>
  <c r="JM208" i="13"/>
  <c r="JL208" i="13"/>
  <c r="JG208" i="13"/>
  <c r="JA208" i="13"/>
  <c r="IY208" i="13"/>
  <c r="IX208" i="13"/>
  <c r="IV208" i="13"/>
  <c r="IQ208" i="13"/>
  <c r="IN208" i="13"/>
  <c r="IL208" i="13"/>
  <c r="IK208" i="13"/>
  <c r="IJ208" i="13"/>
  <c r="II208" i="13"/>
  <c r="IH208" i="13"/>
  <c r="HZ208" i="13"/>
  <c r="HY208" i="13"/>
  <c r="HX208" i="13"/>
  <c r="HW208" i="13"/>
  <c r="HL208" i="13"/>
  <c r="HI208" i="13"/>
  <c r="HC208" i="13"/>
  <c r="HB208" i="13"/>
  <c r="HA208" i="13"/>
  <c r="GZ208" i="13"/>
  <c r="GY208" i="13"/>
  <c r="GX208" i="13"/>
  <c r="GW208" i="13"/>
  <c r="GV208" i="13"/>
  <c r="GU208" i="13"/>
  <c r="GT208" i="13"/>
  <c r="GS208" i="13"/>
  <c r="GR208" i="13"/>
  <c r="GQ208" i="13"/>
  <c r="GP208" i="13"/>
  <c r="GN208" i="13"/>
  <c r="GM208" i="13"/>
  <c r="GK208" i="13"/>
  <c r="GJ208" i="13"/>
  <c r="GI208" i="13"/>
  <c r="GH208" i="13"/>
  <c r="GG208" i="13"/>
  <c r="GF208" i="13"/>
  <c r="GE208" i="13"/>
  <c r="GD208" i="13"/>
  <c r="GC208" i="13"/>
  <c r="GB208" i="13"/>
  <c r="GA208" i="13"/>
  <c r="FZ208" i="13"/>
  <c r="FY208" i="13"/>
  <c r="FX208" i="13"/>
  <c r="FW208" i="13"/>
  <c r="FV208" i="13"/>
  <c r="FU208" i="13"/>
  <c r="FT208" i="13"/>
  <c r="FS208" i="13"/>
  <c r="FR208" i="13"/>
  <c r="FP208" i="13"/>
  <c r="FO208" i="13"/>
  <c r="FN208" i="13"/>
  <c r="FL208" i="13"/>
  <c r="FK208" i="13"/>
  <c r="FG208" i="13"/>
  <c r="FE208" i="13"/>
  <c r="FD208" i="13"/>
  <c r="EZ208" i="13"/>
  <c r="EY208" i="13"/>
  <c r="EX208" i="13"/>
  <c r="EW208" i="13"/>
  <c r="ER208" i="13"/>
  <c r="EQ208" i="13"/>
  <c r="EP208" i="13"/>
  <c r="EN208" i="13"/>
  <c r="EM208" i="13"/>
  <c r="EC208" i="13"/>
  <c r="EB208" i="13"/>
  <c r="EA208" i="13"/>
  <c r="DZ208" i="13"/>
  <c r="DY208" i="13"/>
  <c r="DV208" i="13"/>
  <c r="DT208" i="13"/>
  <c r="DS208" i="13"/>
  <c r="DR208" i="13"/>
  <c r="DQ208" i="13"/>
  <c r="DJ208" i="13"/>
  <c r="DI208" i="13"/>
  <c r="DH208" i="13"/>
  <c r="DG208" i="13"/>
  <c r="DF208" i="13"/>
  <c r="DC208" i="13"/>
  <c r="CZ208" i="13"/>
  <c r="CY208" i="13"/>
  <c r="CX208" i="13"/>
  <c r="CW208" i="13"/>
  <c r="CV208" i="13"/>
  <c r="CU208" i="13"/>
  <c r="CR208" i="13"/>
  <c r="CP208" i="13"/>
  <c r="CL208" i="13"/>
  <c r="CK208" i="13"/>
  <c r="CJ208" i="13"/>
  <c r="CI208" i="13"/>
  <c r="CH208" i="13"/>
  <c r="CG208" i="13"/>
  <c r="CF208" i="13"/>
  <c r="CC208" i="13"/>
  <c r="CB208" i="13"/>
  <c r="CA208" i="13"/>
  <c r="BW208" i="13"/>
  <c r="BV208" i="13"/>
  <c r="BS208" i="13"/>
  <c r="BM208" i="13"/>
  <c r="BK208" i="13"/>
  <c r="BB208" i="13"/>
  <c r="BA208" i="13"/>
  <c r="AX208" i="13"/>
  <c r="AW208" i="13"/>
  <c r="AH208" i="13"/>
  <c r="AF208" i="13"/>
  <c r="AD208" i="13"/>
  <c r="P208" i="13"/>
  <c r="N208" i="13"/>
  <c r="MI147" i="13"/>
  <c r="MD147" i="13"/>
  <c r="KF147" i="13"/>
  <c r="KD147" i="13"/>
  <c r="KB147" i="13"/>
  <c r="JT147" i="13"/>
  <c r="JR147" i="13"/>
  <c r="JM147" i="13"/>
  <c r="JL147" i="13"/>
  <c r="JG147" i="13"/>
  <c r="JA147" i="13"/>
  <c r="IY147" i="13"/>
  <c r="IX147" i="13"/>
  <c r="IV147" i="13"/>
  <c r="IQ147" i="13"/>
  <c r="IN147" i="13"/>
  <c r="IL147" i="13"/>
  <c r="IK147" i="13"/>
  <c r="IJ147" i="13"/>
  <c r="II147" i="13"/>
  <c r="IH147" i="13"/>
  <c r="HZ147" i="13"/>
  <c r="HY147" i="13"/>
  <c r="HX147" i="13"/>
  <c r="HW147" i="13"/>
  <c r="HL147" i="13"/>
  <c r="HI147" i="13"/>
  <c r="HC147" i="13"/>
  <c r="HB147" i="13"/>
  <c r="HA147" i="13"/>
  <c r="GZ147" i="13"/>
  <c r="GY147" i="13"/>
  <c r="GX147" i="13"/>
  <c r="GW147" i="13"/>
  <c r="GV147" i="13"/>
  <c r="GU147" i="13"/>
  <c r="GT147" i="13"/>
  <c r="GS147" i="13"/>
  <c r="GR147" i="13"/>
  <c r="GQ147" i="13"/>
  <c r="GP147" i="13"/>
  <c r="GN147" i="13"/>
  <c r="GM147" i="13"/>
  <c r="GK147" i="13"/>
  <c r="GJ147" i="13"/>
  <c r="GI147" i="13"/>
  <c r="GH147" i="13"/>
  <c r="GG147" i="13"/>
  <c r="GF147" i="13"/>
  <c r="GE147" i="13"/>
  <c r="GD147" i="13"/>
  <c r="GC147" i="13"/>
  <c r="GB147" i="13"/>
  <c r="GA147" i="13"/>
  <c r="FZ147" i="13"/>
  <c r="FY147" i="13"/>
  <c r="FX147" i="13"/>
  <c r="FW147" i="13"/>
  <c r="FV147" i="13"/>
  <c r="FU147" i="13"/>
  <c r="FT147" i="13"/>
  <c r="FS147" i="13"/>
  <c r="FR147" i="13"/>
  <c r="FP147" i="13"/>
  <c r="FO147" i="13"/>
  <c r="FN147" i="13"/>
  <c r="FL147" i="13"/>
  <c r="FK147" i="13"/>
  <c r="FG147" i="13"/>
  <c r="FE147" i="13"/>
  <c r="FD147" i="13"/>
  <c r="EZ147" i="13"/>
  <c r="EY147" i="13"/>
  <c r="EX147" i="13"/>
  <c r="EW147" i="13"/>
  <c r="ER147" i="13"/>
  <c r="EQ147" i="13"/>
  <c r="EP147" i="13"/>
  <c r="EN147" i="13"/>
  <c r="EM147" i="13"/>
  <c r="EC147" i="13"/>
  <c r="EB147" i="13"/>
  <c r="EA147" i="13"/>
  <c r="DZ147" i="13"/>
  <c r="DY147" i="13"/>
  <c r="DV147" i="13"/>
  <c r="DT147" i="13"/>
  <c r="DS147" i="13"/>
  <c r="DR147" i="13"/>
  <c r="DQ147" i="13"/>
  <c r="DJ147" i="13"/>
  <c r="DI147" i="13"/>
  <c r="DH147" i="13"/>
  <c r="DG147" i="13"/>
  <c r="DF147" i="13"/>
  <c r="DC147" i="13"/>
  <c r="CZ147" i="13"/>
  <c r="CY147" i="13"/>
  <c r="CX147" i="13"/>
  <c r="CW147" i="13"/>
  <c r="CV147" i="13"/>
  <c r="CU147" i="13"/>
  <c r="CR147" i="13"/>
  <c r="CP147" i="13"/>
  <c r="CL147" i="13"/>
  <c r="CK147" i="13"/>
  <c r="CJ147" i="13"/>
  <c r="CI147" i="13"/>
  <c r="CH147" i="13"/>
  <c r="CG147" i="13"/>
  <c r="CF147" i="13"/>
  <c r="CC147" i="13"/>
  <c r="CB147" i="13"/>
  <c r="CA147" i="13"/>
  <c r="BW147" i="13"/>
  <c r="BV147" i="13"/>
  <c r="BS147" i="13"/>
  <c r="BM147" i="13"/>
  <c r="BK147" i="13"/>
  <c r="BB147" i="13"/>
  <c r="BA147" i="13"/>
  <c r="AX147" i="13"/>
  <c r="AW147" i="13"/>
  <c r="AH147" i="13"/>
  <c r="AF147" i="13"/>
  <c r="AD147" i="13"/>
  <c r="P147" i="13"/>
  <c r="N147" i="13"/>
  <c r="MI126" i="13"/>
  <c r="MD126" i="13"/>
  <c r="KF126" i="13"/>
  <c r="KD126" i="13"/>
  <c r="KB126" i="13"/>
  <c r="JT126" i="13"/>
  <c r="JR126" i="13"/>
  <c r="JM126" i="13"/>
  <c r="JL126" i="13"/>
  <c r="JG126" i="13"/>
  <c r="JA126" i="13"/>
  <c r="IY126" i="13"/>
  <c r="IX126" i="13"/>
  <c r="IV126" i="13"/>
  <c r="IQ126" i="13"/>
  <c r="IN126" i="13"/>
  <c r="IL126" i="13"/>
  <c r="IK126" i="13"/>
  <c r="IJ126" i="13"/>
  <c r="II126" i="13"/>
  <c r="IH126" i="13"/>
  <c r="HZ126" i="13"/>
  <c r="HY126" i="13"/>
  <c r="HX126" i="13"/>
  <c r="HW126" i="13"/>
  <c r="HL126" i="13"/>
  <c r="HI126" i="13"/>
  <c r="HC126" i="13"/>
  <c r="HB126" i="13"/>
  <c r="HA126" i="13"/>
  <c r="GZ126" i="13"/>
  <c r="GY126" i="13"/>
  <c r="GX126" i="13"/>
  <c r="GW126" i="13"/>
  <c r="GV126" i="13"/>
  <c r="GU126" i="13"/>
  <c r="GT126" i="13"/>
  <c r="GS126" i="13"/>
  <c r="GR126" i="13"/>
  <c r="GQ126" i="13"/>
  <c r="GP126" i="13"/>
  <c r="GN126" i="13"/>
  <c r="GM126" i="13"/>
  <c r="GK126" i="13"/>
  <c r="GJ126" i="13"/>
  <c r="GI126" i="13"/>
  <c r="GH126" i="13"/>
  <c r="GG126" i="13"/>
  <c r="GF126" i="13"/>
  <c r="GE126" i="13"/>
  <c r="GD126" i="13"/>
  <c r="GC126" i="13"/>
  <c r="GB126" i="13"/>
  <c r="GA126" i="13"/>
  <c r="FZ126" i="13"/>
  <c r="FY126" i="13"/>
  <c r="FX126" i="13"/>
  <c r="FW126" i="13"/>
  <c r="FV126" i="13"/>
  <c r="FU126" i="13"/>
  <c r="FT126" i="13"/>
  <c r="FS126" i="13"/>
  <c r="FR126" i="13"/>
  <c r="FP126" i="13"/>
  <c r="FO126" i="13"/>
  <c r="FN126" i="13"/>
  <c r="FL126" i="13"/>
  <c r="FK126" i="13"/>
  <c r="FG126" i="13"/>
  <c r="FE126" i="13"/>
  <c r="FD126" i="13"/>
  <c r="EZ126" i="13"/>
  <c r="EY126" i="13"/>
  <c r="EX126" i="13"/>
  <c r="EW126" i="13"/>
  <c r="ER126" i="13"/>
  <c r="EQ126" i="13"/>
  <c r="EP126" i="13"/>
  <c r="EN126" i="13"/>
  <c r="EM126" i="13"/>
  <c r="EC126" i="13"/>
  <c r="EB126" i="13"/>
  <c r="EA126" i="13"/>
  <c r="DZ126" i="13"/>
  <c r="DY126" i="13"/>
  <c r="DV126" i="13"/>
  <c r="DT126" i="13"/>
  <c r="DS126" i="13"/>
  <c r="DR126" i="13"/>
  <c r="DQ126" i="13"/>
  <c r="DJ126" i="13"/>
  <c r="DI126" i="13"/>
  <c r="DH126" i="13"/>
  <c r="DG126" i="13"/>
  <c r="DF126" i="13"/>
  <c r="DC126" i="13"/>
  <c r="CZ126" i="13"/>
  <c r="CY126" i="13"/>
  <c r="CX126" i="13"/>
  <c r="CW126" i="13"/>
  <c r="CV126" i="13"/>
  <c r="CU126" i="13"/>
  <c r="CR126" i="13"/>
  <c r="CP126" i="13"/>
  <c r="CL126" i="13"/>
  <c r="CK126" i="13"/>
  <c r="CJ126" i="13"/>
  <c r="CI126" i="13"/>
  <c r="CH126" i="13"/>
  <c r="CG126" i="13"/>
  <c r="CF126" i="13"/>
  <c r="CC126" i="13"/>
  <c r="CB126" i="13"/>
  <c r="CA126" i="13"/>
  <c r="BW126" i="13"/>
  <c r="BV126" i="13"/>
  <c r="BS126" i="13"/>
  <c r="BM126" i="13"/>
  <c r="BK126" i="13"/>
  <c r="BB126" i="13"/>
  <c r="BA126" i="13"/>
  <c r="AX126" i="13"/>
  <c r="AW126" i="13"/>
  <c r="AH126" i="13"/>
  <c r="AF126" i="13"/>
  <c r="AD126" i="13"/>
  <c r="P126" i="13"/>
  <c r="N126" i="13"/>
  <c r="MI110" i="13"/>
  <c r="MD110" i="13"/>
  <c r="KF110" i="13"/>
  <c r="KD110" i="13"/>
  <c r="KB110" i="13"/>
  <c r="JT110" i="13"/>
  <c r="JR110" i="13"/>
  <c r="JM110" i="13"/>
  <c r="JL110" i="13"/>
  <c r="JG110" i="13"/>
  <c r="JA110" i="13"/>
  <c r="IY110" i="13"/>
  <c r="IX110" i="13"/>
  <c r="IV110" i="13"/>
  <c r="IQ110" i="13"/>
  <c r="IN110" i="13"/>
  <c r="IL110" i="13"/>
  <c r="IK110" i="13"/>
  <c r="IJ110" i="13"/>
  <c r="II110" i="13"/>
  <c r="IH110" i="13"/>
  <c r="HZ110" i="13"/>
  <c r="HY110" i="13"/>
  <c r="HX110" i="13"/>
  <c r="HW110" i="13"/>
  <c r="HL110" i="13"/>
  <c r="HI110" i="13"/>
  <c r="HC110" i="13"/>
  <c r="HB110" i="13"/>
  <c r="HA110" i="13"/>
  <c r="GZ110" i="13"/>
  <c r="GY110" i="13"/>
  <c r="GX110" i="13"/>
  <c r="GW110" i="13"/>
  <c r="GV110" i="13"/>
  <c r="GU110" i="13"/>
  <c r="GT110" i="13"/>
  <c r="GS110" i="13"/>
  <c r="GR110" i="13"/>
  <c r="GQ110" i="13"/>
  <c r="GP110" i="13"/>
  <c r="GN110" i="13"/>
  <c r="GM110" i="13"/>
  <c r="GK110" i="13"/>
  <c r="GJ110" i="13"/>
  <c r="GI110" i="13"/>
  <c r="GH110" i="13"/>
  <c r="GG110" i="13"/>
  <c r="GF110" i="13"/>
  <c r="GE110" i="13"/>
  <c r="GD110" i="13"/>
  <c r="GC110" i="13"/>
  <c r="GB110" i="13"/>
  <c r="GA110" i="13"/>
  <c r="FZ110" i="13"/>
  <c r="FY110" i="13"/>
  <c r="FX110" i="13"/>
  <c r="FW110" i="13"/>
  <c r="FV110" i="13"/>
  <c r="FU110" i="13"/>
  <c r="FT110" i="13"/>
  <c r="FS110" i="13"/>
  <c r="FR110" i="13"/>
  <c r="FP110" i="13"/>
  <c r="FO110" i="13"/>
  <c r="FN110" i="13"/>
  <c r="FL110" i="13"/>
  <c r="FK110" i="13"/>
  <c r="FG110" i="13"/>
  <c r="FE110" i="13"/>
  <c r="FD110" i="13"/>
  <c r="EZ110" i="13"/>
  <c r="EY110" i="13"/>
  <c r="EX110" i="13"/>
  <c r="EW110" i="13"/>
  <c r="ER110" i="13"/>
  <c r="EQ110" i="13"/>
  <c r="EP110" i="13"/>
  <c r="EN110" i="13"/>
  <c r="EM110" i="13"/>
  <c r="EC110" i="13"/>
  <c r="EB110" i="13"/>
  <c r="EA110" i="13"/>
  <c r="DZ110" i="13"/>
  <c r="DY110" i="13"/>
  <c r="DV110" i="13"/>
  <c r="DT110" i="13"/>
  <c r="DS110" i="13"/>
  <c r="DR110" i="13"/>
  <c r="DQ110" i="13"/>
  <c r="DJ110" i="13"/>
  <c r="DI110" i="13"/>
  <c r="DH110" i="13"/>
  <c r="DG110" i="13"/>
  <c r="DF110" i="13"/>
  <c r="DC110" i="13"/>
  <c r="CZ110" i="13"/>
  <c r="CY110" i="13"/>
  <c r="CX110" i="13"/>
  <c r="CW110" i="13"/>
  <c r="CV110" i="13"/>
  <c r="CU110" i="13"/>
  <c r="CR110" i="13"/>
  <c r="CP110" i="13"/>
  <c r="CL110" i="13"/>
  <c r="CK110" i="13"/>
  <c r="CJ110" i="13"/>
  <c r="CI110" i="13"/>
  <c r="CH110" i="13"/>
  <c r="CG110" i="13"/>
  <c r="CF110" i="13"/>
  <c r="CC110" i="13"/>
  <c r="CB110" i="13"/>
  <c r="CA110" i="13"/>
  <c r="BW110" i="13"/>
  <c r="BV110" i="13"/>
  <c r="BS110" i="13"/>
  <c r="BM110" i="13"/>
  <c r="BK110" i="13"/>
  <c r="BB110" i="13"/>
  <c r="BA110" i="13"/>
  <c r="AX110" i="13"/>
  <c r="AW110" i="13"/>
  <c r="AH110" i="13"/>
  <c r="AF110" i="13"/>
  <c r="AD110" i="13"/>
  <c r="P110" i="13"/>
  <c r="N110" i="13"/>
  <c r="MI104" i="13"/>
  <c r="MD104" i="13"/>
  <c r="KF104" i="13"/>
  <c r="KD104" i="13"/>
  <c r="KB104" i="13"/>
  <c r="JT104" i="13"/>
  <c r="JR104" i="13"/>
  <c r="JM104" i="13"/>
  <c r="JL104" i="13"/>
  <c r="JG104" i="13"/>
  <c r="JA104" i="13"/>
  <c r="IY104" i="13"/>
  <c r="IX104" i="13"/>
  <c r="IV104" i="13"/>
  <c r="IQ104" i="13"/>
  <c r="IN104" i="13"/>
  <c r="IL104" i="13"/>
  <c r="IK104" i="13"/>
  <c r="IJ104" i="13"/>
  <c r="II104" i="13"/>
  <c r="IH104" i="13"/>
  <c r="HZ104" i="13"/>
  <c r="HY104" i="13"/>
  <c r="HX104" i="13"/>
  <c r="HW104" i="13"/>
  <c r="HL104" i="13"/>
  <c r="HI104" i="13"/>
  <c r="HC104" i="13"/>
  <c r="HB104" i="13"/>
  <c r="HA104" i="13"/>
  <c r="GZ104" i="13"/>
  <c r="GY104" i="13"/>
  <c r="GX104" i="13"/>
  <c r="GW104" i="13"/>
  <c r="GV104" i="13"/>
  <c r="GU104" i="13"/>
  <c r="GT104" i="13"/>
  <c r="GS104" i="13"/>
  <c r="GR104" i="13"/>
  <c r="GQ104" i="13"/>
  <c r="GP104" i="13"/>
  <c r="GN104" i="13"/>
  <c r="GM104" i="13"/>
  <c r="GK104" i="13"/>
  <c r="GJ104" i="13"/>
  <c r="GI104" i="13"/>
  <c r="GH104" i="13"/>
  <c r="GG104" i="13"/>
  <c r="GF104" i="13"/>
  <c r="GE104" i="13"/>
  <c r="GD104" i="13"/>
  <c r="GC104" i="13"/>
  <c r="GB104" i="13"/>
  <c r="GA104" i="13"/>
  <c r="FZ104" i="13"/>
  <c r="FY104" i="13"/>
  <c r="FX104" i="13"/>
  <c r="FW104" i="13"/>
  <c r="FV104" i="13"/>
  <c r="FU104" i="13"/>
  <c r="FT104" i="13"/>
  <c r="FS104" i="13"/>
  <c r="FR104" i="13"/>
  <c r="FP104" i="13"/>
  <c r="FO104" i="13"/>
  <c r="FN104" i="13"/>
  <c r="FL104" i="13"/>
  <c r="FK104" i="13"/>
  <c r="FG104" i="13"/>
  <c r="FE104" i="13"/>
  <c r="FD104" i="13"/>
  <c r="EZ104" i="13"/>
  <c r="EY104" i="13"/>
  <c r="EX104" i="13"/>
  <c r="EW104" i="13"/>
  <c r="ER104" i="13"/>
  <c r="EQ104" i="13"/>
  <c r="EP104" i="13"/>
  <c r="EN104" i="13"/>
  <c r="EM104" i="13"/>
  <c r="EC104" i="13"/>
  <c r="EB104" i="13"/>
  <c r="EA104" i="13"/>
  <c r="DZ104" i="13"/>
  <c r="DY104" i="13"/>
  <c r="DV104" i="13"/>
  <c r="DT104" i="13"/>
  <c r="DS104" i="13"/>
  <c r="DR104" i="13"/>
  <c r="DQ104" i="13"/>
  <c r="DJ104" i="13"/>
  <c r="DI104" i="13"/>
  <c r="DH104" i="13"/>
  <c r="DG104" i="13"/>
  <c r="DF104" i="13"/>
  <c r="DC104" i="13"/>
  <c r="CZ104" i="13"/>
  <c r="CY104" i="13"/>
  <c r="CX104" i="13"/>
  <c r="CW104" i="13"/>
  <c r="CV104" i="13"/>
  <c r="CU104" i="13"/>
  <c r="CR104" i="13"/>
  <c r="CP104" i="13"/>
  <c r="CL104" i="13"/>
  <c r="CK104" i="13"/>
  <c r="CJ104" i="13"/>
  <c r="CI104" i="13"/>
  <c r="CH104" i="13"/>
  <c r="CG104" i="13"/>
  <c r="CF104" i="13"/>
  <c r="CC104" i="13"/>
  <c r="CB104" i="13"/>
  <c r="CA104" i="13"/>
  <c r="BW104" i="13"/>
  <c r="BV104" i="13"/>
  <c r="BS104" i="13"/>
  <c r="BM104" i="13"/>
  <c r="BK104" i="13"/>
  <c r="BB104" i="13"/>
  <c r="BA104" i="13"/>
  <c r="AX104" i="13"/>
  <c r="AW104" i="13"/>
  <c r="AH104" i="13"/>
  <c r="AF104" i="13"/>
  <c r="AD104" i="13"/>
  <c r="P104" i="13"/>
  <c r="N104" i="13"/>
  <c r="MI62" i="13"/>
  <c r="MD62" i="13"/>
  <c r="KF62" i="13"/>
  <c r="KD62" i="13"/>
  <c r="KB62" i="13"/>
  <c r="JT62" i="13"/>
  <c r="JR62" i="13"/>
  <c r="JM62" i="13"/>
  <c r="JL62" i="13"/>
  <c r="JG62" i="13"/>
  <c r="JA62" i="13"/>
  <c r="IY62" i="13"/>
  <c r="IX62" i="13"/>
  <c r="IV62" i="13"/>
  <c r="IQ62" i="13"/>
  <c r="IN62" i="13"/>
  <c r="IL62" i="13"/>
  <c r="IK62" i="13"/>
  <c r="IJ62" i="13"/>
  <c r="II62" i="13"/>
  <c r="IH62" i="13"/>
  <c r="HZ62" i="13"/>
  <c r="HY62" i="13"/>
  <c r="HX62" i="13"/>
  <c r="HW62" i="13"/>
  <c r="HL62" i="13"/>
  <c r="HI62" i="13"/>
  <c r="HC62" i="13"/>
  <c r="HB62" i="13"/>
  <c r="HA62" i="13"/>
  <c r="GZ62" i="13"/>
  <c r="GY62" i="13"/>
  <c r="GX62" i="13"/>
  <c r="GW62" i="13"/>
  <c r="GV62" i="13"/>
  <c r="GU62" i="13"/>
  <c r="GT62" i="13"/>
  <c r="GS62" i="13"/>
  <c r="GR62" i="13"/>
  <c r="GQ62" i="13"/>
  <c r="GP62" i="13"/>
  <c r="GN62" i="13"/>
  <c r="GM62" i="13"/>
  <c r="GK62" i="13"/>
  <c r="GJ62" i="13"/>
  <c r="GI62" i="13"/>
  <c r="GH62" i="13"/>
  <c r="GG62" i="13"/>
  <c r="GF62" i="13"/>
  <c r="GE62" i="13"/>
  <c r="GD62" i="13"/>
  <c r="GC62" i="13"/>
  <c r="GB62" i="13"/>
  <c r="GA62" i="13"/>
  <c r="FZ62" i="13"/>
  <c r="FY62" i="13"/>
  <c r="FX62" i="13"/>
  <c r="FW62" i="13"/>
  <c r="FV62" i="13"/>
  <c r="FU62" i="13"/>
  <c r="FT62" i="13"/>
  <c r="FS62" i="13"/>
  <c r="FR62" i="13"/>
  <c r="FP62" i="13"/>
  <c r="FO62" i="13"/>
  <c r="FN62" i="13"/>
  <c r="FL62" i="13"/>
  <c r="FK62" i="13"/>
  <c r="FG62" i="13"/>
  <c r="FE62" i="13"/>
  <c r="FD62" i="13"/>
  <c r="EZ62" i="13"/>
  <c r="EY62" i="13"/>
  <c r="EX62" i="13"/>
  <c r="EW62" i="13"/>
  <c r="ER62" i="13"/>
  <c r="EQ62" i="13"/>
  <c r="EP62" i="13"/>
  <c r="EN62" i="13"/>
  <c r="EM62" i="13"/>
  <c r="EC62" i="13"/>
  <c r="EB62" i="13"/>
  <c r="EA62" i="13"/>
  <c r="DZ62" i="13"/>
  <c r="DY62" i="13"/>
  <c r="DV62" i="13"/>
  <c r="DT62" i="13"/>
  <c r="DS62" i="13"/>
  <c r="DR62" i="13"/>
  <c r="DQ62" i="13"/>
  <c r="DJ62" i="13"/>
  <c r="DI62" i="13"/>
  <c r="DH62" i="13"/>
  <c r="DG62" i="13"/>
  <c r="DF62" i="13"/>
  <c r="DC62" i="13"/>
  <c r="CZ62" i="13"/>
  <c r="CY62" i="13"/>
  <c r="CX62" i="13"/>
  <c r="CW62" i="13"/>
  <c r="CV62" i="13"/>
  <c r="CU62" i="13"/>
  <c r="CR62" i="13"/>
  <c r="CP62" i="13"/>
  <c r="CL62" i="13"/>
  <c r="CK62" i="13"/>
  <c r="CJ62" i="13"/>
  <c r="CI62" i="13"/>
  <c r="CH62" i="13"/>
  <c r="CG62" i="13"/>
  <c r="CF62" i="13"/>
  <c r="CC62" i="13"/>
  <c r="CB62" i="13"/>
  <c r="CA62" i="13"/>
  <c r="BW62" i="13"/>
  <c r="BV62" i="13"/>
  <c r="BS62" i="13"/>
  <c r="BM62" i="13"/>
  <c r="BK62" i="13"/>
  <c r="BB62" i="13"/>
  <c r="BA62" i="13"/>
  <c r="AX62" i="13"/>
  <c r="AW62" i="13"/>
  <c r="AH62" i="13"/>
  <c r="AF62" i="13"/>
  <c r="AD62" i="13"/>
  <c r="P62" i="13"/>
  <c r="N62" i="13"/>
  <c r="MI69" i="13"/>
  <c r="MD69" i="13"/>
  <c r="KF69" i="13"/>
  <c r="KD69" i="13"/>
  <c r="KB69" i="13"/>
  <c r="JT69" i="13"/>
  <c r="JR69" i="13"/>
  <c r="JM69" i="13"/>
  <c r="JL69" i="13"/>
  <c r="JG69" i="13"/>
  <c r="JA69" i="13"/>
  <c r="IY69" i="13"/>
  <c r="IX69" i="13"/>
  <c r="IV69" i="13"/>
  <c r="IQ69" i="13"/>
  <c r="IN69" i="13"/>
  <c r="IL69" i="13"/>
  <c r="IK69" i="13"/>
  <c r="IJ69" i="13"/>
  <c r="II69" i="13"/>
  <c r="IH69" i="13"/>
  <c r="HZ69" i="13"/>
  <c r="HY69" i="13"/>
  <c r="HX69" i="13"/>
  <c r="HW69" i="13"/>
  <c r="HL69" i="13"/>
  <c r="HI69" i="13"/>
  <c r="HC69" i="13"/>
  <c r="HB69" i="13"/>
  <c r="HA69" i="13"/>
  <c r="GZ69" i="13"/>
  <c r="GY69" i="13"/>
  <c r="GX69" i="13"/>
  <c r="GW69" i="13"/>
  <c r="GV69" i="13"/>
  <c r="GU69" i="13"/>
  <c r="GT69" i="13"/>
  <c r="GS69" i="13"/>
  <c r="GR69" i="13"/>
  <c r="GQ69" i="13"/>
  <c r="GP69" i="13"/>
  <c r="GN69" i="13"/>
  <c r="GM69" i="13"/>
  <c r="GK69" i="13"/>
  <c r="GJ69" i="13"/>
  <c r="GI69" i="13"/>
  <c r="GH69" i="13"/>
  <c r="GG69" i="13"/>
  <c r="GF69" i="13"/>
  <c r="GE69" i="13"/>
  <c r="GD69" i="13"/>
  <c r="GC69" i="13"/>
  <c r="GB69" i="13"/>
  <c r="GA69" i="13"/>
  <c r="FZ69" i="13"/>
  <c r="FY69" i="13"/>
  <c r="FX69" i="13"/>
  <c r="FW69" i="13"/>
  <c r="FV69" i="13"/>
  <c r="FU69" i="13"/>
  <c r="FT69" i="13"/>
  <c r="FS69" i="13"/>
  <c r="FR69" i="13"/>
  <c r="FP69" i="13"/>
  <c r="FO69" i="13"/>
  <c r="FN69" i="13"/>
  <c r="FL69" i="13"/>
  <c r="FK69" i="13"/>
  <c r="FG69" i="13"/>
  <c r="FE69" i="13"/>
  <c r="FD69" i="13"/>
  <c r="EZ69" i="13"/>
  <c r="EY69" i="13"/>
  <c r="EX69" i="13"/>
  <c r="EW69" i="13"/>
  <c r="ER69" i="13"/>
  <c r="EQ69" i="13"/>
  <c r="EP69" i="13"/>
  <c r="EN69" i="13"/>
  <c r="EM69" i="13"/>
  <c r="EC69" i="13"/>
  <c r="EB69" i="13"/>
  <c r="EA69" i="13"/>
  <c r="DZ69" i="13"/>
  <c r="DY69" i="13"/>
  <c r="DV69" i="13"/>
  <c r="DT69" i="13"/>
  <c r="DS69" i="13"/>
  <c r="DR69" i="13"/>
  <c r="DQ69" i="13"/>
  <c r="DJ69" i="13"/>
  <c r="DI69" i="13"/>
  <c r="DH69" i="13"/>
  <c r="DG69" i="13"/>
  <c r="DF69" i="13"/>
  <c r="DC69" i="13"/>
  <c r="CZ69" i="13"/>
  <c r="CY69" i="13"/>
  <c r="CX69" i="13"/>
  <c r="CW69" i="13"/>
  <c r="CV69" i="13"/>
  <c r="CU69" i="13"/>
  <c r="CR69" i="13"/>
  <c r="CP69" i="13"/>
  <c r="CL69" i="13"/>
  <c r="CK69" i="13"/>
  <c r="CJ69" i="13"/>
  <c r="CI69" i="13"/>
  <c r="CH69" i="13"/>
  <c r="CG69" i="13"/>
  <c r="CF69" i="13"/>
  <c r="CC69" i="13"/>
  <c r="CB69" i="13"/>
  <c r="CA69" i="13"/>
  <c r="BW69" i="13"/>
  <c r="BV69" i="13"/>
  <c r="BS69" i="13"/>
  <c r="BM69" i="13"/>
  <c r="BK69" i="13"/>
  <c r="BB69" i="13"/>
  <c r="BA69" i="13"/>
  <c r="AX69" i="13"/>
  <c r="AW69" i="13"/>
  <c r="AH69" i="13"/>
  <c r="AF69" i="13"/>
  <c r="AD69" i="13"/>
  <c r="P69" i="13"/>
  <c r="N69" i="13"/>
  <c r="MI28" i="13"/>
  <c r="MD28" i="13"/>
  <c r="KF28" i="13"/>
  <c r="KD28" i="13"/>
  <c r="KB28" i="13"/>
  <c r="JT28" i="13"/>
  <c r="JR28" i="13"/>
  <c r="JM28" i="13"/>
  <c r="JL28" i="13"/>
  <c r="JG28" i="13"/>
  <c r="JA28" i="13"/>
  <c r="IY28" i="13"/>
  <c r="IX28" i="13"/>
  <c r="IV28" i="13"/>
  <c r="IQ28" i="13"/>
  <c r="IN28" i="13"/>
  <c r="IL28" i="13"/>
  <c r="IK28" i="13"/>
  <c r="IJ28" i="13"/>
  <c r="II28" i="13"/>
  <c r="IH28" i="13"/>
  <c r="HZ28" i="13"/>
  <c r="HY28" i="13"/>
  <c r="HX28" i="13"/>
  <c r="HW28" i="13"/>
  <c r="HL28" i="13"/>
  <c r="HI28" i="13"/>
  <c r="HC28" i="13"/>
  <c r="HB28" i="13"/>
  <c r="HA28" i="13"/>
  <c r="GZ28" i="13"/>
  <c r="GY28" i="13"/>
  <c r="GX28" i="13"/>
  <c r="GW28" i="13"/>
  <c r="GV28" i="13"/>
  <c r="GU28" i="13"/>
  <c r="GT28" i="13"/>
  <c r="GS28" i="13"/>
  <c r="GR28" i="13"/>
  <c r="GQ28" i="13"/>
  <c r="GP28" i="13"/>
  <c r="GN28" i="13"/>
  <c r="GM28" i="13"/>
  <c r="GK28" i="13"/>
  <c r="GJ28" i="13"/>
  <c r="GI28" i="13"/>
  <c r="GH28" i="13"/>
  <c r="GG28" i="13"/>
  <c r="GF28" i="13"/>
  <c r="GE28" i="13"/>
  <c r="GD28" i="13"/>
  <c r="GC28" i="13"/>
  <c r="GB28" i="13"/>
  <c r="GA28" i="13"/>
  <c r="FZ28" i="13"/>
  <c r="FY28" i="13"/>
  <c r="FX28" i="13"/>
  <c r="FW28" i="13"/>
  <c r="FV28" i="13"/>
  <c r="FU28" i="13"/>
  <c r="FT28" i="13"/>
  <c r="FS28" i="13"/>
  <c r="FR28" i="13"/>
  <c r="FP28" i="13"/>
  <c r="FO28" i="13"/>
  <c r="FN28" i="13"/>
  <c r="FL28" i="13"/>
  <c r="FK28" i="13"/>
  <c r="FG28" i="13"/>
  <c r="FE28" i="13"/>
  <c r="FD28" i="13"/>
  <c r="EZ28" i="13"/>
  <c r="EY28" i="13"/>
  <c r="EX28" i="13"/>
  <c r="EW28" i="13"/>
  <c r="ER28" i="13"/>
  <c r="EQ28" i="13"/>
  <c r="EP28" i="13"/>
  <c r="EN28" i="13"/>
  <c r="EM28" i="13"/>
  <c r="EC28" i="13"/>
  <c r="EB28" i="13"/>
  <c r="EA28" i="13"/>
  <c r="DZ28" i="13"/>
  <c r="DY28" i="13"/>
  <c r="DV28" i="13"/>
  <c r="DT28" i="13"/>
  <c r="DS28" i="13"/>
  <c r="DR28" i="13"/>
  <c r="DQ28" i="13"/>
  <c r="DJ28" i="13"/>
  <c r="DI28" i="13"/>
  <c r="DH28" i="13"/>
  <c r="DG28" i="13"/>
  <c r="DF28" i="13"/>
  <c r="DC28" i="13"/>
  <c r="CZ28" i="13"/>
  <c r="CY28" i="13"/>
  <c r="CX28" i="13"/>
  <c r="CW28" i="13"/>
  <c r="CV28" i="13"/>
  <c r="CU28" i="13"/>
  <c r="CR28" i="13"/>
  <c r="CP28" i="13"/>
  <c r="CL28" i="13"/>
  <c r="CK28" i="13"/>
  <c r="CJ28" i="13"/>
  <c r="CI28" i="13"/>
  <c r="CH28" i="13"/>
  <c r="CG28" i="13"/>
  <c r="CF28" i="13"/>
  <c r="CC28" i="13"/>
  <c r="CB28" i="13"/>
  <c r="CA28" i="13"/>
  <c r="BW28" i="13"/>
  <c r="BV28" i="13"/>
  <c r="BS28" i="13"/>
  <c r="BM28" i="13"/>
  <c r="BK28" i="13"/>
  <c r="BB28" i="13"/>
  <c r="BA28" i="13"/>
  <c r="AX28" i="13"/>
  <c r="AW28" i="13"/>
  <c r="AH28" i="13"/>
  <c r="AF28" i="13"/>
  <c r="AD28" i="13"/>
  <c r="P28" i="13"/>
  <c r="N28" i="13"/>
  <c r="MI27" i="13"/>
  <c r="MD27" i="13"/>
  <c r="KF27" i="13"/>
  <c r="KD27" i="13"/>
  <c r="KB27" i="13"/>
  <c r="JT27" i="13"/>
  <c r="JR27" i="13"/>
  <c r="JM27" i="13"/>
  <c r="JL27" i="13"/>
  <c r="JG27" i="13"/>
  <c r="JA27" i="13"/>
  <c r="IY27" i="13"/>
  <c r="IX27" i="13"/>
  <c r="IV27" i="13"/>
  <c r="IQ27" i="13"/>
  <c r="IN27" i="13"/>
  <c r="IL27" i="13"/>
  <c r="IK27" i="13"/>
  <c r="IJ27" i="13"/>
  <c r="II27" i="13"/>
  <c r="IH27" i="13"/>
  <c r="HZ27" i="13"/>
  <c r="HY27" i="13"/>
  <c r="HX27" i="13"/>
  <c r="HW27" i="13"/>
  <c r="HL27" i="13"/>
  <c r="HI27" i="13"/>
  <c r="HC27" i="13"/>
  <c r="HB27" i="13"/>
  <c r="HA27" i="13"/>
  <c r="GZ27" i="13"/>
  <c r="GY27" i="13"/>
  <c r="GX27" i="13"/>
  <c r="GW27" i="13"/>
  <c r="GV27" i="13"/>
  <c r="GU27" i="13"/>
  <c r="GT27" i="13"/>
  <c r="GS27" i="13"/>
  <c r="GR27" i="13"/>
  <c r="GQ27" i="13"/>
  <c r="GP27" i="13"/>
  <c r="GN27" i="13"/>
  <c r="GM27" i="13"/>
  <c r="GK27" i="13"/>
  <c r="GJ27" i="13"/>
  <c r="GI27" i="13"/>
  <c r="GH27" i="13"/>
  <c r="GG27" i="13"/>
  <c r="GF27" i="13"/>
  <c r="GE27" i="13"/>
  <c r="GD27" i="13"/>
  <c r="GC27" i="13"/>
  <c r="GB27" i="13"/>
  <c r="GA27" i="13"/>
  <c r="FZ27" i="13"/>
  <c r="FY27" i="13"/>
  <c r="FX27" i="13"/>
  <c r="FW27" i="13"/>
  <c r="FV27" i="13"/>
  <c r="FU27" i="13"/>
  <c r="FT27" i="13"/>
  <c r="FS27" i="13"/>
  <c r="FR27" i="13"/>
  <c r="FP27" i="13"/>
  <c r="FO27" i="13"/>
  <c r="FN27" i="13"/>
  <c r="FL27" i="13"/>
  <c r="FK27" i="13"/>
  <c r="FG27" i="13"/>
  <c r="FE27" i="13"/>
  <c r="FD27" i="13"/>
  <c r="EZ27" i="13"/>
  <c r="EY27" i="13"/>
  <c r="EX27" i="13"/>
  <c r="EW27" i="13"/>
  <c r="ER27" i="13"/>
  <c r="EQ27" i="13"/>
  <c r="EP27" i="13"/>
  <c r="EN27" i="13"/>
  <c r="EM27" i="13"/>
  <c r="EC27" i="13"/>
  <c r="EB27" i="13"/>
  <c r="EA27" i="13"/>
  <c r="DZ27" i="13"/>
  <c r="DY27" i="13"/>
  <c r="DV27" i="13"/>
  <c r="DT27" i="13"/>
  <c r="DS27" i="13"/>
  <c r="DR27" i="13"/>
  <c r="DQ27" i="13"/>
  <c r="DJ27" i="13"/>
  <c r="DI27" i="13"/>
  <c r="DH27" i="13"/>
  <c r="DG27" i="13"/>
  <c r="DF27" i="13"/>
  <c r="DC27" i="13"/>
  <c r="CZ27" i="13"/>
  <c r="CY27" i="13"/>
  <c r="CX27" i="13"/>
  <c r="CW27" i="13"/>
  <c r="CV27" i="13"/>
  <c r="CU27" i="13"/>
  <c r="CR27" i="13"/>
  <c r="CP27" i="13"/>
  <c r="CL27" i="13"/>
  <c r="CK27" i="13"/>
  <c r="CJ27" i="13"/>
  <c r="CI27" i="13"/>
  <c r="CH27" i="13"/>
  <c r="CG27" i="13"/>
  <c r="CF27" i="13"/>
  <c r="CC27" i="13"/>
  <c r="CB27" i="13"/>
  <c r="CA27" i="13"/>
  <c r="BW27" i="13"/>
  <c r="BV27" i="13"/>
  <c r="BS27" i="13"/>
  <c r="BM27" i="13"/>
  <c r="BK27" i="13"/>
  <c r="BB27" i="13"/>
  <c r="BA27" i="13"/>
  <c r="AX27" i="13"/>
  <c r="AW27" i="13"/>
  <c r="AH27" i="13"/>
  <c r="AF27" i="13"/>
  <c r="AD27" i="13"/>
  <c r="P27" i="13"/>
  <c r="N27" i="13"/>
  <c r="MI175" i="13"/>
  <c r="MD175" i="13"/>
  <c r="KF175" i="13"/>
  <c r="KD175" i="13"/>
  <c r="KB175" i="13"/>
  <c r="JT175" i="13"/>
  <c r="JR175" i="13"/>
  <c r="JM175" i="13"/>
  <c r="JL175" i="13"/>
  <c r="JG175" i="13"/>
  <c r="JA175" i="13"/>
  <c r="IY175" i="13"/>
  <c r="IX175" i="13"/>
  <c r="IV175" i="13"/>
  <c r="IQ175" i="13"/>
  <c r="IN175" i="13"/>
  <c r="IL175" i="13"/>
  <c r="IK175" i="13"/>
  <c r="IJ175" i="13"/>
  <c r="II175" i="13"/>
  <c r="IH175" i="13"/>
  <c r="HZ175" i="13"/>
  <c r="HY175" i="13"/>
  <c r="HX175" i="13"/>
  <c r="HW175" i="13"/>
  <c r="HL175" i="13"/>
  <c r="HI175" i="13"/>
  <c r="HC175" i="13"/>
  <c r="HB175" i="13"/>
  <c r="HA175" i="13"/>
  <c r="GZ175" i="13"/>
  <c r="GY175" i="13"/>
  <c r="GX175" i="13"/>
  <c r="GW175" i="13"/>
  <c r="GV175" i="13"/>
  <c r="GU175" i="13"/>
  <c r="GT175" i="13"/>
  <c r="GS175" i="13"/>
  <c r="GR175" i="13"/>
  <c r="GQ175" i="13"/>
  <c r="GP175" i="13"/>
  <c r="GN175" i="13"/>
  <c r="GM175" i="13"/>
  <c r="GK175" i="13"/>
  <c r="GJ175" i="13"/>
  <c r="GI175" i="13"/>
  <c r="GH175" i="13"/>
  <c r="GG175" i="13"/>
  <c r="GF175" i="13"/>
  <c r="GE175" i="13"/>
  <c r="GD175" i="13"/>
  <c r="GC175" i="13"/>
  <c r="GB175" i="13"/>
  <c r="GA175" i="13"/>
  <c r="FZ175" i="13"/>
  <c r="FY175" i="13"/>
  <c r="FX175" i="13"/>
  <c r="FW175" i="13"/>
  <c r="FV175" i="13"/>
  <c r="FU175" i="13"/>
  <c r="FT175" i="13"/>
  <c r="FS175" i="13"/>
  <c r="FR175" i="13"/>
  <c r="FP175" i="13"/>
  <c r="FO175" i="13"/>
  <c r="FN175" i="13"/>
  <c r="FL175" i="13"/>
  <c r="FK175" i="13"/>
  <c r="FG175" i="13"/>
  <c r="FE175" i="13"/>
  <c r="FD175" i="13"/>
  <c r="EZ175" i="13"/>
  <c r="EY175" i="13"/>
  <c r="EX175" i="13"/>
  <c r="EW175" i="13"/>
  <c r="ER175" i="13"/>
  <c r="EQ175" i="13"/>
  <c r="EP175" i="13"/>
  <c r="EN175" i="13"/>
  <c r="EM175" i="13"/>
  <c r="EC175" i="13"/>
  <c r="EB175" i="13"/>
  <c r="EA175" i="13"/>
  <c r="DZ175" i="13"/>
  <c r="DY175" i="13"/>
  <c r="DV175" i="13"/>
  <c r="DT175" i="13"/>
  <c r="DS175" i="13"/>
  <c r="DR175" i="13"/>
  <c r="DQ175" i="13"/>
  <c r="DJ175" i="13"/>
  <c r="DI175" i="13"/>
  <c r="DH175" i="13"/>
  <c r="DG175" i="13"/>
  <c r="DF175" i="13"/>
  <c r="DC175" i="13"/>
  <c r="CZ175" i="13"/>
  <c r="CY175" i="13"/>
  <c r="CX175" i="13"/>
  <c r="CW175" i="13"/>
  <c r="CV175" i="13"/>
  <c r="CU175" i="13"/>
  <c r="CR175" i="13"/>
  <c r="CP175" i="13"/>
  <c r="CL175" i="13"/>
  <c r="CK175" i="13"/>
  <c r="CJ175" i="13"/>
  <c r="CI175" i="13"/>
  <c r="CH175" i="13"/>
  <c r="CG175" i="13"/>
  <c r="CF175" i="13"/>
  <c r="CC175" i="13"/>
  <c r="CB175" i="13"/>
  <c r="CA175" i="13"/>
  <c r="BW175" i="13"/>
  <c r="BV175" i="13"/>
  <c r="BS175" i="13"/>
  <c r="BM175" i="13"/>
  <c r="BK175" i="13"/>
  <c r="BB175" i="13"/>
  <c r="BA175" i="13"/>
  <c r="AX175" i="13"/>
  <c r="AW175" i="13"/>
  <c r="AH175" i="13"/>
  <c r="AF175" i="13"/>
  <c r="AD175" i="13"/>
  <c r="P175" i="13"/>
  <c r="N175" i="13"/>
  <c r="JR185" i="13"/>
  <c r="JM185" i="13"/>
  <c r="IQ185" i="13"/>
  <c r="IN185" i="13"/>
  <c r="HZ185" i="13"/>
  <c r="HY185" i="13"/>
  <c r="HC185" i="13"/>
  <c r="GS185" i="13"/>
  <c r="GR185" i="13"/>
  <c r="GP185" i="13"/>
  <c r="GM185" i="13"/>
  <c r="GD185" i="13"/>
  <c r="FW185" i="13"/>
  <c r="FV185" i="13"/>
  <c r="FU185" i="13"/>
  <c r="FT185" i="13"/>
  <c r="FS185" i="13"/>
  <c r="FR185" i="13"/>
  <c r="FP185" i="13"/>
  <c r="FN185" i="13"/>
  <c r="FL185" i="13"/>
  <c r="FK185" i="13"/>
  <c r="FG185" i="13"/>
  <c r="FE185" i="13"/>
  <c r="FD185" i="13"/>
  <c r="EW185" i="13"/>
  <c r="ER185" i="13"/>
  <c r="EQ185" i="13"/>
  <c r="EP185" i="13"/>
  <c r="EM185" i="13"/>
  <c r="EA185" i="13"/>
  <c r="DV185" i="13"/>
  <c r="DT185" i="13"/>
  <c r="DS185" i="13"/>
  <c r="DR185" i="13"/>
  <c r="DQ185" i="13"/>
  <c r="DI185" i="13"/>
  <c r="DH185" i="13"/>
  <c r="DG185" i="13"/>
  <c r="DF185" i="13"/>
  <c r="CU185" i="13"/>
  <c r="CP185" i="13"/>
  <c r="CL185" i="13"/>
  <c r="CK185" i="13"/>
  <c r="CJ185" i="13"/>
  <c r="CI185" i="13"/>
  <c r="CC185" i="13"/>
  <c r="CB185" i="13"/>
  <c r="CA185" i="13"/>
  <c r="BW185" i="13"/>
  <c r="BV185" i="13"/>
  <c r="BS185" i="13"/>
  <c r="BM185" i="13"/>
  <c r="BB185" i="13"/>
  <c r="BA185" i="13"/>
  <c r="AX185" i="13"/>
  <c r="AW185" i="13"/>
  <c r="P185" i="13"/>
  <c r="JR146" i="13"/>
  <c r="JM146" i="13"/>
  <c r="IQ146" i="13"/>
  <c r="IN146" i="13"/>
  <c r="HZ146" i="13"/>
  <c r="HY146" i="13"/>
  <c r="HC146" i="13"/>
  <c r="GS146" i="13"/>
  <c r="GR146" i="13"/>
  <c r="GP146" i="13"/>
  <c r="GM146" i="13"/>
  <c r="GD146" i="13"/>
  <c r="FW146" i="13"/>
  <c r="FV146" i="13"/>
  <c r="FU146" i="13"/>
  <c r="FT146" i="13"/>
  <c r="FS146" i="13"/>
  <c r="FR146" i="13"/>
  <c r="FP146" i="13"/>
  <c r="FN146" i="13"/>
  <c r="FL146" i="13"/>
  <c r="FK146" i="13"/>
  <c r="FG146" i="13"/>
  <c r="FE146" i="13"/>
  <c r="FD146" i="13"/>
  <c r="EW146" i="13"/>
  <c r="ER146" i="13"/>
  <c r="EQ146" i="13"/>
  <c r="EP146" i="13"/>
  <c r="EM146" i="13"/>
  <c r="EA146" i="13"/>
  <c r="DV146" i="13"/>
  <c r="DT146" i="13"/>
  <c r="DS146" i="13"/>
  <c r="DR146" i="13"/>
  <c r="DQ146" i="13"/>
  <c r="DI146" i="13"/>
  <c r="DH146" i="13"/>
  <c r="DG146" i="13"/>
  <c r="DF146" i="13"/>
  <c r="CU146" i="13"/>
  <c r="CP146" i="13"/>
  <c r="CL146" i="13"/>
  <c r="CK146" i="13"/>
  <c r="CJ146" i="13"/>
  <c r="CI146" i="13"/>
  <c r="CC146" i="13"/>
  <c r="CB146" i="13"/>
  <c r="CA146" i="13"/>
  <c r="BW146" i="13"/>
  <c r="BV146" i="13"/>
  <c r="BS146" i="13"/>
  <c r="BM146" i="13"/>
  <c r="BB146" i="13"/>
  <c r="BA146" i="13"/>
  <c r="AX146" i="13"/>
  <c r="AW146" i="13"/>
  <c r="P146" i="13"/>
  <c r="JR172" i="13"/>
  <c r="JM172" i="13"/>
  <c r="IQ172" i="13"/>
  <c r="IN172" i="13"/>
  <c r="HZ172" i="13"/>
  <c r="HY172" i="13"/>
  <c r="HC172" i="13"/>
  <c r="GS172" i="13"/>
  <c r="GR172" i="13"/>
  <c r="GP172" i="13"/>
  <c r="GM172" i="13"/>
  <c r="GD172" i="13"/>
  <c r="FW172" i="13"/>
  <c r="FV172" i="13"/>
  <c r="FU172" i="13"/>
  <c r="FT172" i="13"/>
  <c r="FS172" i="13"/>
  <c r="FR172" i="13"/>
  <c r="FP172" i="13"/>
  <c r="FN172" i="13"/>
  <c r="FL172" i="13"/>
  <c r="FK172" i="13"/>
  <c r="FG172" i="13"/>
  <c r="FE172" i="13"/>
  <c r="FD172" i="13"/>
  <c r="EW172" i="13"/>
  <c r="ER172" i="13"/>
  <c r="EQ172" i="13"/>
  <c r="EP172" i="13"/>
  <c r="EM172" i="13"/>
  <c r="EA172" i="13"/>
  <c r="DV172" i="13"/>
  <c r="DT172" i="13"/>
  <c r="DS172" i="13"/>
  <c r="DR172" i="13"/>
  <c r="DQ172" i="13"/>
  <c r="DI172" i="13"/>
  <c r="DH172" i="13"/>
  <c r="DG172" i="13"/>
  <c r="DF172" i="13"/>
  <c r="CU172" i="13"/>
  <c r="CP172" i="13"/>
  <c r="CL172" i="13"/>
  <c r="CK172" i="13"/>
  <c r="CJ172" i="13"/>
  <c r="CI172" i="13"/>
  <c r="CC172" i="13"/>
  <c r="CB172" i="13"/>
  <c r="CA172" i="13"/>
  <c r="BW172" i="13"/>
  <c r="BV172" i="13"/>
  <c r="BS172" i="13"/>
  <c r="BM172" i="13"/>
  <c r="BB172" i="13"/>
  <c r="BA172" i="13"/>
  <c r="AX172" i="13"/>
  <c r="AW172" i="13"/>
  <c r="P172" i="13"/>
  <c r="HZ228" i="13"/>
  <c r="HY228" i="13"/>
  <c r="HG228" i="13"/>
  <c r="HF228" i="13"/>
  <c r="HE228" i="13"/>
  <c r="HD228" i="13"/>
  <c r="HC228" i="13"/>
  <c r="FD228" i="13"/>
  <c r="EW228" i="13"/>
  <c r="DT228" i="13"/>
  <c r="DS228" i="13"/>
  <c r="DI228" i="13"/>
  <c r="DH228" i="13"/>
  <c r="DG228" i="13"/>
  <c r="DF228" i="13"/>
  <c r="CK228" i="13"/>
  <c r="CC228" i="13"/>
  <c r="CB228" i="13"/>
  <c r="CA228" i="13"/>
  <c r="BV228" i="13"/>
  <c r="BS228" i="13"/>
  <c r="BB228" i="13"/>
  <c r="BA228" i="13"/>
  <c r="AX228" i="13"/>
  <c r="AW228" i="13"/>
  <c r="HZ171" i="13"/>
  <c r="HY171" i="13"/>
  <c r="HG171" i="13"/>
  <c r="HF171" i="13"/>
  <c r="HE171" i="13"/>
  <c r="HD171" i="13"/>
  <c r="HC171" i="13"/>
  <c r="FD171" i="13"/>
  <c r="EW171" i="13"/>
  <c r="DT171" i="13"/>
  <c r="DS171" i="13"/>
  <c r="DI171" i="13"/>
  <c r="DH171" i="13"/>
  <c r="DG171" i="13"/>
  <c r="DF171" i="13"/>
  <c r="CK171" i="13"/>
  <c r="CC171" i="13"/>
  <c r="CB171" i="13"/>
  <c r="CA171" i="13"/>
  <c r="BV171" i="13"/>
  <c r="BS171" i="13"/>
  <c r="BB171" i="13"/>
  <c r="BA171" i="13"/>
  <c r="AX171" i="13"/>
  <c r="AW171" i="13"/>
  <c r="HZ143" i="13"/>
  <c r="HY143" i="13"/>
  <c r="HG143" i="13"/>
  <c r="HF143" i="13"/>
  <c r="HE143" i="13"/>
  <c r="HD143" i="13"/>
  <c r="HC143" i="13"/>
  <c r="FD143" i="13"/>
  <c r="EW143" i="13"/>
  <c r="DT143" i="13"/>
  <c r="DS143" i="13"/>
  <c r="DI143" i="13"/>
  <c r="DH143" i="13"/>
  <c r="DG143" i="13"/>
  <c r="DF143" i="13"/>
  <c r="CK143" i="13"/>
  <c r="CC143" i="13"/>
  <c r="CB143" i="13"/>
  <c r="CA143" i="13"/>
  <c r="BV143" i="13"/>
  <c r="BS143" i="13"/>
  <c r="BB143" i="13"/>
  <c r="BA143" i="13"/>
  <c r="AX143" i="13"/>
  <c r="AW143" i="13"/>
  <c r="HZ117" i="13"/>
  <c r="HY117" i="13"/>
  <c r="HG117" i="13"/>
  <c r="HF117" i="13"/>
  <c r="HE117" i="13"/>
  <c r="HD117" i="13"/>
  <c r="HC117" i="13"/>
  <c r="FD117" i="13"/>
  <c r="EW117" i="13"/>
  <c r="DT117" i="13"/>
  <c r="DS117" i="13"/>
  <c r="DI117" i="13"/>
  <c r="DH117" i="13"/>
  <c r="DG117" i="13"/>
  <c r="DF117" i="13"/>
  <c r="CK117" i="13"/>
  <c r="CC117" i="13"/>
  <c r="CB117" i="13"/>
  <c r="CA117" i="13"/>
  <c r="BV117" i="13"/>
  <c r="BS117" i="13"/>
  <c r="BB117" i="13"/>
  <c r="BA117" i="13"/>
  <c r="AX117" i="13"/>
  <c r="AW117" i="13"/>
  <c r="HZ46" i="13"/>
  <c r="HY46" i="13"/>
  <c r="HG46" i="13"/>
  <c r="HF46" i="13"/>
  <c r="HE46" i="13"/>
  <c r="HD46" i="13"/>
  <c r="HC46" i="13"/>
  <c r="FD46" i="13"/>
  <c r="EW46" i="13"/>
  <c r="DT46" i="13"/>
  <c r="DS46" i="13"/>
  <c r="DI46" i="13"/>
  <c r="DH46" i="13"/>
  <c r="DG46" i="13"/>
  <c r="DF46" i="13"/>
  <c r="CK46" i="13"/>
  <c r="CC46" i="13"/>
  <c r="CB46" i="13"/>
  <c r="CA46" i="13"/>
  <c r="BV46" i="13"/>
  <c r="BS46" i="13"/>
  <c r="BB46" i="13"/>
  <c r="BA46" i="13"/>
  <c r="AX46" i="13"/>
  <c r="AW46" i="13"/>
  <c r="HZ161" i="13"/>
  <c r="HY161" i="13"/>
  <c r="HC161" i="13"/>
  <c r="FD161" i="13"/>
  <c r="EW161" i="13"/>
  <c r="ER161" i="13"/>
  <c r="EM161" i="13"/>
  <c r="DI161" i="13"/>
  <c r="DH161" i="13"/>
  <c r="DG161" i="13"/>
  <c r="DF161" i="13"/>
  <c r="CK161" i="13"/>
  <c r="CC161" i="13"/>
  <c r="CB161" i="13"/>
  <c r="CA161" i="13"/>
  <c r="BV161" i="13"/>
  <c r="BS161" i="13"/>
  <c r="BB161" i="13"/>
  <c r="BA161" i="13"/>
  <c r="AX161" i="13"/>
  <c r="AW161" i="13"/>
  <c r="HZ82" i="13"/>
  <c r="HY82" i="13"/>
  <c r="HC82" i="13"/>
  <c r="FD82" i="13"/>
  <c r="EW82" i="13"/>
  <c r="ER82" i="13"/>
  <c r="EM82" i="13"/>
  <c r="DI82" i="13"/>
  <c r="DH82" i="13"/>
  <c r="DG82" i="13"/>
  <c r="DF82" i="13"/>
  <c r="CK82" i="13"/>
  <c r="CC82" i="13"/>
  <c r="CB82" i="13"/>
  <c r="CA82" i="13"/>
  <c r="BV82" i="13"/>
  <c r="BS82" i="13"/>
  <c r="BB82" i="13"/>
  <c r="BA82" i="13"/>
  <c r="AX82" i="13"/>
  <c r="AW82" i="13"/>
  <c r="JR151" i="13"/>
  <c r="JM151" i="13"/>
  <c r="JL151" i="13"/>
  <c r="IY151" i="13"/>
  <c r="IX151" i="13"/>
  <c r="IN151" i="13"/>
  <c r="IK151" i="13"/>
  <c r="HZ151" i="13"/>
  <c r="HY151" i="13"/>
  <c r="HC151" i="13"/>
  <c r="GK151" i="13"/>
  <c r="FE151" i="13"/>
  <c r="FD151" i="13"/>
  <c r="EW151" i="13"/>
  <c r="ER151" i="13"/>
  <c r="EQ151" i="13"/>
  <c r="EP151" i="13"/>
  <c r="EM151" i="13"/>
  <c r="EC151" i="13"/>
  <c r="EA151" i="13"/>
  <c r="DV151" i="13"/>
  <c r="DT151" i="13"/>
  <c r="DS151" i="13"/>
  <c r="DJ151" i="13"/>
  <c r="DI151" i="13"/>
  <c r="DH151" i="13"/>
  <c r="DG151" i="13"/>
  <c r="DF151" i="13"/>
  <c r="CK151" i="13"/>
  <c r="CJ151" i="13"/>
  <c r="CC151" i="13"/>
  <c r="CB151" i="13"/>
  <c r="CA151" i="13"/>
  <c r="BW151" i="13"/>
  <c r="BV151" i="13"/>
  <c r="BS151" i="13"/>
  <c r="BB151" i="13"/>
  <c r="BA151" i="13"/>
  <c r="AX151" i="13"/>
  <c r="AW151" i="13"/>
  <c r="AF151" i="13"/>
  <c r="JR25" i="13"/>
  <c r="JM25" i="13"/>
  <c r="JL25" i="13"/>
  <c r="IY25" i="13"/>
  <c r="IX25" i="13"/>
  <c r="IN25" i="13"/>
  <c r="IK25" i="13"/>
  <c r="HZ25" i="13"/>
  <c r="HY25" i="13"/>
  <c r="HC25" i="13"/>
  <c r="GK25" i="13"/>
  <c r="FE25" i="13"/>
  <c r="FD25" i="13"/>
  <c r="EW25" i="13"/>
  <c r="ER25" i="13"/>
  <c r="EQ25" i="13"/>
  <c r="EP25" i="13"/>
  <c r="EM25" i="13"/>
  <c r="EC25" i="13"/>
  <c r="EA25" i="13"/>
  <c r="DV25" i="13"/>
  <c r="DT25" i="13"/>
  <c r="DS25" i="13"/>
  <c r="DJ25" i="13"/>
  <c r="DI25" i="13"/>
  <c r="DH25" i="13"/>
  <c r="DG25" i="13"/>
  <c r="DF25" i="13"/>
  <c r="CK25" i="13"/>
  <c r="CJ25" i="13"/>
  <c r="CC25" i="13"/>
  <c r="CB25" i="13"/>
  <c r="CA25" i="13"/>
  <c r="BW25" i="13"/>
  <c r="BV25" i="13"/>
  <c r="BS25" i="13"/>
  <c r="BB25" i="13"/>
  <c r="BA25" i="13"/>
  <c r="AX25" i="13"/>
  <c r="AW25" i="13"/>
  <c r="AF25" i="13"/>
  <c r="JR24" i="13"/>
  <c r="JM24" i="13"/>
  <c r="JL24" i="13"/>
  <c r="IY24" i="13"/>
  <c r="IX24" i="13"/>
  <c r="IN24" i="13"/>
  <c r="IK24" i="13"/>
  <c r="HZ24" i="13"/>
  <c r="HY24" i="13"/>
  <c r="HC24" i="13"/>
  <c r="GK24" i="13"/>
  <c r="FE24" i="13"/>
  <c r="FD24" i="13"/>
  <c r="EW24" i="13"/>
  <c r="ER24" i="13"/>
  <c r="EQ24" i="13"/>
  <c r="EP24" i="13"/>
  <c r="EM24" i="13"/>
  <c r="EC24" i="13"/>
  <c r="EA24" i="13"/>
  <c r="DV24" i="13"/>
  <c r="DT24" i="13"/>
  <c r="DS24" i="13"/>
  <c r="DJ24" i="13"/>
  <c r="DI24" i="13"/>
  <c r="DH24" i="13"/>
  <c r="DG24" i="13"/>
  <c r="DF24" i="13"/>
  <c r="CK24" i="13"/>
  <c r="CJ24" i="13"/>
  <c r="CC24" i="13"/>
  <c r="CB24" i="13"/>
  <c r="CA24" i="13"/>
  <c r="BW24" i="13"/>
  <c r="BV24" i="13"/>
  <c r="BS24" i="13"/>
  <c r="BB24" i="13"/>
  <c r="BA24" i="13"/>
  <c r="AX24" i="13"/>
  <c r="AW24" i="13"/>
  <c r="AF24" i="13"/>
  <c r="JR166" i="13"/>
  <c r="JM166" i="13"/>
  <c r="JL166" i="13"/>
  <c r="IY166" i="13"/>
  <c r="IX166" i="13"/>
  <c r="IN166" i="13"/>
  <c r="IK166" i="13"/>
  <c r="HZ166" i="13"/>
  <c r="HY166" i="13"/>
  <c r="HC166" i="13"/>
  <c r="GK166" i="13"/>
  <c r="FE166" i="13"/>
  <c r="FD166" i="13"/>
  <c r="EW166" i="13"/>
  <c r="ER166" i="13"/>
  <c r="EQ166" i="13"/>
  <c r="EP166" i="13"/>
  <c r="EM166" i="13"/>
  <c r="EC166" i="13"/>
  <c r="EA166" i="13"/>
  <c r="DV166" i="13"/>
  <c r="DT166" i="13"/>
  <c r="DS166" i="13"/>
  <c r="DJ166" i="13"/>
  <c r="DI166" i="13"/>
  <c r="DH166" i="13"/>
  <c r="DG166" i="13"/>
  <c r="DF166" i="13"/>
  <c r="CK166" i="13"/>
  <c r="CJ166" i="13"/>
  <c r="CC166" i="13"/>
  <c r="CB166" i="13"/>
  <c r="CA166" i="13"/>
  <c r="BW166" i="13"/>
  <c r="BV166" i="13"/>
  <c r="BS166" i="13"/>
  <c r="BB166" i="13"/>
  <c r="BA166" i="13"/>
  <c r="AX166" i="13"/>
  <c r="AW166" i="13"/>
  <c r="AF166" i="13"/>
  <c r="MD165" i="13"/>
  <c r="KD165" i="13"/>
  <c r="JR165" i="13"/>
  <c r="JM165" i="13"/>
  <c r="IQ165" i="13"/>
  <c r="IN165" i="13"/>
  <c r="IK165" i="13"/>
  <c r="II165" i="13"/>
  <c r="HZ165" i="13"/>
  <c r="HY165" i="13"/>
  <c r="HX165" i="13"/>
  <c r="HC165" i="13"/>
  <c r="GM165" i="13"/>
  <c r="GD165" i="13"/>
  <c r="FW165" i="13"/>
  <c r="FV165" i="13"/>
  <c r="FU165" i="13"/>
  <c r="FT165" i="13"/>
  <c r="FS165" i="13"/>
  <c r="FR165" i="13"/>
  <c r="FP165" i="13"/>
  <c r="FN165" i="13"/>
  <c r="FL165" i="13"/>
  <c r="FK165" i="13"/>
  <c r="FE165" i="13"/>
  <c r="FD165" i="13"/>
  <c r="EX165" i="13"/>
  <c r="EW165" i="13"/>
  <c r="EQ165" i="13"/>
  <c r="EP165" i="13"/>
  <c r="EC165" i="13"/>
  <c r="EB165" i="13"/>
  <c r="EA165" i="13"/>
  <c r="DZ165" i="13"/>
  <c r="DV165" i="13"/>
  <c r="DT165" i="13"/>
  <c r="DS165" i="13"/>
  <c r="DI165" i="13"/>
  <c r="DH165" i="13"/>
  <c r="DG165" i="13"/>
  <c r="DF165" i="13"/>
  <c r="CZ165" i="13"/>
  <c r="CY165" i="13"/>
  <c r="CX165" i="13"/>
  <c r="CU165" i="13"/>
  <c r="CR165" i="13"/>
  <c r="CP165" i="13"/>
  <c r="CK165" i="13"/>
  <c r="CJ165" i="13"/>
  <c r="CI165" i="13"/>
  <c r="CH165" i="13"/>
  <c r="CG165" i="13"/>
  <c r="CC165" i="13"/>
  <c r="CB165" i="13"/>
  <c r="CA165" i="13"/>
  <c r="BV165" i="13"/>
  <c r="BS165" i="13"/>
  <c r="BB165" i="13"/>
  <c r="BA165" i="13"/>
  <c r="AX165" i="13"/>
  <c r="AW165" i="13"/>
  <c r="AF165" i="13"/>
  <c r="P165" i="13"/>
  <c r="N165" i="13"/>
  <c r="JR93" i="13"/>
  <c r="IY93" i="13"/>
  <c r="IV93" i="13"/>
  <c r="IQ93" i="13"/>
  <c r="HZ93" i="13"/>
  <c r="HY93" i="13"/>
  <c r="HG93" i="13"/>
  <c r="HF93" i="13"/>
  <c r="HE93" i="13"/>
  <c r="HD93" i="13"/>
  <c r="HC93" i="13"/>
  <c r="GM93" i="13"/>
  <c r="FW93" i="13"/>
  <c r="FV93" i="13"/>
  <c r="FU93" i="13"/>
  <c r="FT93" i="13"/>
  <c r="FS93" i="13"/>
  <c r="FR93" i="13"/>
  <c r="FP93" i="13"/>
  <c r="FN93" i="13"/>
  <c r="FL93" i="13"/>
  <c r="FD93" i="13"/>
  <c r="EZ93" i="13"/>
  <c r="EW93" i="13"/>
  <c r="EU93" i="13"/>
  <c r="ET93" i="13"/>
  <c r="EQ93" i="13"/>
  <c r="EN93" i="13"/>
  <c r="EL93" i="13"/>
  <c r="DV93" i="13"/>
  <c r="DT93" i="13"/>
  <c r="DS93" i="13"/>
  <c r="DL93" i="13"/>
  <c r="DI93" i="13"/>
  <c r="DH93" i="13"/>
  <c r="DG93" i="13"/>
  <c r="DF93" i="13"/>
  <c r="CK93" i="13"/>
  <c r="CJ93" i="13"/>
  <c r="CF93" i="13"/>
  <c r="CC93" i="13"/>
  <c r="CB93" i="13"/>
  <c r="CA93" i="13"/>
  <c r="BZ93" i="13"/>
  <c r="BV93" i="13"/>
  <c r="BS93" i="13"/>
  <c r="BK93" i="13"/>
  <c r="BB93" i="13"/>
  <c r="BA93" i="13"/>
  <c r="AX93" i="13"/>
  <c r="AW93" i="13"/>
  <c r="KE160" i="13"/>
  <c r="KB160" i="13"/>
  <c r="IL160" i="13"/>
  <c r="HZ160" i="13"/>
  <c r="HY160" i="13"/>
  <c r="HC160" i="13"/>
  <c r="GM160" i="13"/>
  <c r="FW160" i="13"/>
  <c r="FV160" i="13"/>
  <c r="FU160" i="13"/>
  <c r="FT160" i="13"/>
  <c r="FS160" i="13"/>
  <c r="FR160" i="13"/>
  <c r="FP160" i="13"/>
  <c r="FK160" i="13"/>
  <c r="FJ160" i="13"/>
  <c r="FE160" i="13"/>
  <c r="FD160" i="13"/>
  <c r="EW160" i="13"/>
  <c r="ER160" i="13"/>
  <c r="EM160" i="13"/>
  <c r="DI160" i="13"/>
  <c r="DH160" i="13"/>
  <c r="DG160" i="13"/>
  <c r="DF160" i="13"/>
  <c r="DA160" i="13"/>
  <c r="CK160" i="13"/>
  <c r="CC160" i="13"/>
  <c r="CB160" i="13"/>
  <c r="CA160" i="13"/>
  <c r="BW160" i="13"/>
  <c r="BV160" i="13"/>
  <c r="BS160" i="13"/>
  <c r="BR160" i="13"/>
  <c r="BL160" i="13"/>
  <c r="BB160" i="13"/>
  <c r="BA160" i="13"/>
  <c r="AX160" i="13"/>
  <c r="AW160" i="13"/>
  <c r="AH160" i="13"/>
  <c r="KE15" i="13"/>
  <c r="KB15" i="13"/>
  <c r="IL15" i="13"/>
  <c r="HZ15" i="13"/>
  <c r="HY15" i="13"/>
  <c r="HC15" i="13"/>
  <c r="GM15" i="13"/>
  <c r="FW15" i="13"/>
  <c r="FV15" i="13"/>
  <c r="FU15" i="13"/>
  <c r="FT15" i="13"/>
  <c r="FS15" i="13"/>
  <c r="FR15" i="13"/>
  <c r="FP15" i="13"/>
  <c r="FK15" i="13"/>
  <c r="FJ15" i="13"/>
  <c r="FE15" i="13"/>
  <c r="FD15" i="13"/>
  <c r="EW15" i="13"/>
  <c r="ER15" i="13"/>
  <c r="EM15" i="13"/>
  <c r="DI15" i="13"/>
  <c r="DH15" i="13"/>
  <c r="DG15" i="13"/>
  <c r="DF15" i="13"/>
  <c r="DA15" i="13"/>
  <c r="CK15" i="13"/>
  <c r="CC15" i="13"/>
  <c r="CB15" i="13"/>
  <c r="CA15" i="13"/>
  <c r="BW15" i="13"/>
  <c r="BV15" i="13"/>
  <c r="BS15" i="13"/>
  <c r="BR15" i="13"/>
  <c r="BL15" i="13"/>
  <c r="BB15" i="13"/>
  <c r="BA15" i="13"/>
  <c r="AX15" i="13"/>
  <c r="AW15" i="13"/>
  <c r="AH15" i="13"/>
  <c r="HZ184" i="13"/>
  <c r="HY184" i="13"/>
  <c r="HG184" i="13"/>
  <c r="HF184" i="13"/>
  <c r="HE184" i="13"/>
  <c r="HD184" i="13"/>
  <c r="HC184" i="13"/>
  <c r="FD184" i="13"/>
  <c r="EW184" i="13"/>
  <c r="DI184" i="13"/>
  <c r="DH184" i="13"/>
  <c r="DG184" i="13"/>
  <c r="DF184" i="13"/>
  <c r="CK184" i="13"/>
  <c r="CC184" i="13"/>
  <c r="CB184" i="13"/>
  <c r="CA184" i="13"/>
  <c r="BV184" i="13"/>
  <c r="BS184" i="13"/>
  <c r="BB184" i="13"/>
  <c r="BA184" i="13"/>
  <c r="AX184" i="13"/>
  <c r="AW184" i="13"/>
  <c r="HZ124" i="13"/>
  <c r="HY124" i="13"/>
  <c r="HG124" i="13"/>
  <c r="HF124" i="13"/>
  <c r="HE124" i="13"/>
  <c r="HD124" i="13"/>
  <c r="HC124" i="13"/>
  <c r="FD124" i="13"/>
  <c r="EW124" i="13"/>
  <c r="DI124" i="13"/>
  <c r="DH124" i="13"/>
  <c r="DG124" i="13"/>
  <c r="DF124" i="13"/>
  <c r="CK124" i="13"/>
  <c r="CC124" i="13"/>
  <c r="CB124" i="13"/>
  <c r="CA124" i="13"/>
  <c r="BV124" i="13"/>
  <c r="BS124" i="13"/>
  <c r="BB124" i="13"/>
  <c r="BA124" i="13"/>
  <c r="AX124" i="13"/>
  <c r="AW124" i="13"/>
  <c r="HZ116" i="13"/>
  <c r="HY116" i="13"/>
  <c r="HG116" i="13"/>
  <c r="HF116" i="13"/>
  <c r="HE116" i="13"/>
  <c r="HD116" i="13"/>
  <c r="HC116" i="13"/>
  <c r="FD116" i="13"/>
  <c r="EW116" i="13"/>
  <c r="DI116" i="13"/>
  <c r="DH116" i="13"/>
  <c r="DG116" i="13"/>
  <c r="DF116" i="13"/>
  <c r="CK116" i="13"/>
  <c r="CC116" i="13"/>
  <c r="CB116" i="13"/>
  <c r="CA116" i="13"/>
  <c r="BV116" i="13"/>
  <c r="BS116" i="13"/>
  <c r="BB116" i="13"/>
  <c r="BA116" i="13"/>
  <c r="AX116" i="13"/>
  <c r="AW116" i="13"/>
  <c r="HZ76" i="13"/>
  <c r="HY76" i="13"/>
  <c r="HG76" i="13"/>
  <c r="HF76" i="13"/>
  <c r="HE76" i="13"/>
  <c r="HD76" i="13"/>
  <c r="HC76" i="13"/>
  <c r="FD76" i="13"/>
  <c r="EW76" i="13"/>
  <c r="DI76" i="13"/>
  <c r="DH76" i="13"/>
  <c r="DG76" i="13"/>
  <c r="DF76" i="13"/>
  <c r="CK76" i="13"/>
  <c r="CC76" i="13"/>
  <c r="CB76" i="13"/>
  <c r="CA76" i="13"/>
  <c r="BV76" i="13"/>
  <c r="BS76" i="13"/>
  <c r="BB76" i="13"/>
  <c r="BA76" i="13"/>
  <c r="AX76" i="13"/>
  <c r="AW76" i="13"/>
  <c r="HZ40" i="13"/>
  <c r="HY40" i="13"/>
  <c r="HG40" i="13"/>
  <c r="HF40" i="13"/>
  <c r="HE40" i="13"/>
  <c r="HD40" i="13"/>
  <c r="HC40" i="13"/>
  <c r="FD40" i="13"/>
  <c r="EW40" i="13"/>
  <c r="DI40" i="13"/>
  <c r="DH40" i="13"/>
  <c r="DG40" i="13"/>
  <c r="DF40" i="13"/>
  <c r="CK40" i="13"/>
  <c r="CC40" i="13"/>
  <c r="CB40" i="13"/>
  <c r="CA40" i="13"/>
  <c r="BV40" i="13"/>
  <c r="BS40" i="13"/>
  <c r="BB40" i="13"/>
  <c r="BA40" i="13"/>
  <c r="AX40" i="13"/>
  <c r="AW40" i="13"/>
  <c r="HZ22" i="13"/>
  <c r="HY22" i="13"/>
  <c r="HG22" i="13"/>
  <c r="HF22" i="13"/>
  <c r="HE22" i="13"/>
  <c r="HD22" i="13"/>
  <c r="HC22" i="13"/>
  <c r="FD22" i="13"/>
  <c r="EW22" i="13"/>
  <c r="DI22" i="13"/>
  <c r="DH22" i="13"/>
  <c r="DG22" i="13"/>
  <c r="DF22" i="13"/>
  <c r="CK22" i="13"/>
  <c r="CC22" i="13"/>
  <c r="CB22" i="13"/>
  <c r="CA22" i="13"/>
  <c r="BV22" i="13"/>
  <c r="BS22" i="13"/>
  <c r="BB22" i="13"/>
  <c r="BA22" i="13"/>
  <c r="AX22" i="13"/>
  <c r="AW22" i="13"/>
  <c r="HZ150" i="13"/>
  <c r="HY150" i="13"/>
  <c r="HG150" i="13"/>
  <c r="HF150" i="13"/>
  <c r="HE150" i="13"/>
  <c r="HD150" i="13"/>
  <c r="HC150" i="13"/>
  <c r="FD150" i="13"/>
  <c r="EW150" i="13"/>
  <c r="DI150" i="13"/>
  <c r="DH150" i="13"/>
  <c r="DG150" i="13"/>
  <c r="DF150" i="13"/>
  <c r="CK150" i="13"/>
  <c r="CC150" i="13"/>
  <c r="CB150" i="13"/>
  <c r="CA150" i="13"/>
  <c r="BV150" i="13"/>
  <c r="BS150" i="13"/>
  <c r="BB150" i="13"/>
  <c r="BA150" i="13"/>
  <c r="AX150" i="13"/>
  <c r="AW150" i="13"/>
  <c r="KB183" i="13"/>
  <c r="HZ183" i="13"/>
  <c r="HY183" i="13"/>
  <c r="HG183" i="13"/>
  <c r="HF183" i="13"/>
  <c r="HE183" i="13"/>
  <c r="HD183" i="13"/>
  <c r="HC183" i="13"/>
  <c r="FE183" i="13"/>
  <c r="FD183" i="13"/>
  <c r="EW183" i="13"/>
  <c r="ER183" i="13"/>
  <c r="EM183" i="13"/>
  <c r="DI183" i="13"/>
  <c r="DH183" i="13"/>
  <c r="DG183" i="13"/>
  <c r="DF183" i="13"/>
  <c r="CK183" i="13"/>
  <c r="CC183" i="13"/>
  <c r="CB183" i="13"/>
  <c r="CA183" i="13"/>
  <c r="BV183" i="13"/>
  <c r="BS183" i="13"/>
  <c r="BL183" i="13"/>
  <c r="BB183" i="13"/>
  <c r="BA183" i="13"/>
  <c r="AX183" i="13"/>
  <c r="AW183" i="13"/>
  <c r="KB21" i="13"/>
  <c r="HZ21" i="13"/>
  <c r="HY21" i="13"/>
  <c r="HG21" i="13"/>
  <c r="HF21" i="13"/>
  <c r="HE21" i="13"/>
  <c r="HD21" i="13"/>
  <c r="HC21" i="13"/>
  <c r="FE21" i="13"/>
  <c r="FD21" i="13"/>
  <c r="EW21" i="13"/>
  <c r="ER21" i="13"/>
  <c r="EM21" i="13"/>
  <c r="DI21" i="13"/>
  <c r="DH21" i="13"/>
  <c r="DG21" i="13"/>
  <c r="DF21" i="13"/>
  <c r="CK21" i="13"/>
  <c r="CC21" i="13"/>
  <c r="CB21" i="13"/>
  <c r="CA21" i="13"/>
  <c r="BV21" i="13"/>
  <c r="BS21" i="13"/>
  <c r="BL21" i="13"/>
  <c r="BB21" i="13"/>
  <c r="BA21" i="13"/>
  <c r="AX21" i="13"/>
  <c r="AW21" i="13"/>
  <c r="KB142" i="13"/>
  <c r="HZ142" i="13"/>
  <c r="HY142" i="13"/>
  <c r="HG142" i="13"/>
  <c r="HF142" i="13"/>
  <c r="HE142" i="13"/>
  <c r="HD142" i="13"/>
  <c r="HC142" i="13"/>
  <c r="FE142" i="13"/>
  <c r="FD142" i="13"/>
  <c r="EW142" i="13"/>
  <c r="ER142" i="13"/>
  <c r="EM142" i="13"/>
  <c r="DI142" i="13"/>
  <c r="DH142" i="13"/>
  <c r="DG142" i="13"/>
  <c r="DF142" i="13"/>
  <c r="CK142" i="13"/>
  <c r="CC142" i="13"/>
  <c r="CB142" i="13"/>
  <c r="CA142" i="13"/>
  <c r="BV142" i="13"/>
  <c r="BS142" i="13"/>
  <c r="BL142" i="13"/>
  <c r="BB142" i="13"/>
  <c r="BA142" i="13"/>
  <c r="AX142" i="13"/>
  <c r="AW142" i="13"/>
  <c r="HZ92" i="13"/>
  <c r="HY92" i="13"/>
  <c r="HG92" i="13"/>
  <c r="HF92" i="13"/>
  <c r="HE92" i="13"/>
  <c r="HD92" i="13"/>
  <c r="HC92" i="13"/>
  <c r="FD92" i="13"/>
  <c r="EW92" i="13"/>
  <c r="ER92" i="13"/>
  <c r="EM92" i="13"/>
  <c r="DI92" i="13"/>
  <c r="DH92" i="13"/>
  <c r="DG92" i="13"/>
  <c r="DF92" i="13"/>
  <c r="CK92" i="13"/>
  <c r="CC92" i="13"/>
  <c r="CB92" i="13"/>
  <c r="CA92" i="13"/>
  <c r="BV92" i="13"/>
  <c r="BS92" i="13"/>
  <c r="BB92" i="13"/>
  <c r="BA92" i="13"/>
  <c r="AX92" i="13"/>
  <c r="AW92" i="13"/>
  <c r="HZ32" i="13"/>
  <c r="HY32" i="13"/>
  <c r="HG32" i="13"/>
  <c r="HF32" i="13"/>
  <c r="HE32" i="13"/>
  <c r="HD32" i="13"/>
  <c r="HC32" i="13"/>
  <c r="FD32" i="13"/>
  <c r="EW32" i="13"/>
  <c r="ER32" i="13"/>
  <c r="EM32" i="13"/>
  <c r="DI32" i="13"/>
  <c r="DH32" i="13"/>
  <c r="DG32" i="13"/>
  <c r="DF32" i="13"/>
  <c r="CK32" i="13"/>
  <c r="CC32" i="13"/>
  <c r="CB32" i="13"/>
  <c r="CA32" i="13"/>
  <c r="BV32" i="13"/>
  <c r="BS32" i="13"/>
  <c r="BB32" i="13"/>
  <c r="BA32" i="13"/>
  <c r="AX32" i="13"/>
  <c r="AW32" i="13"/>
  <c r="KD219" i="13"/>
  <c r="KB219" i="13"/>
  <c r="IV219" i="13"/>
  <c r="IQ219" i="13"/>
  <c r="IL219" i="13"/>
  <c r="HZ219" i="13"/>
  <c r="HY219" i="13"/>
  <c r="HG219" i="13"/>
  <c r="HF219" i="13"/>
  <c r="HE219" i="13"/>
  <c r="HD219" i="13"/>
  <c r="HC219" i="13"/>
  <c r="GM219" i="13"/>
  <c r="FW219" i="13"/>
  <c r="FV219" i="13"/>
  <c r="FU219" i="13"/>
  <c r="FT219" i="13"/>
  <c r="FS219" i="13"/>
  <c r="FR219" i="13"/>
  <c r="FP219" i="13"/>
  <c r="FN219" i="13"/>
  <c r="FL219" i="13"/>
  <c r="FK219" i="13"/>
  <c r="FJ219" i="13"/>
  <c r="FE219" i="13"/>
  <c r="FD219" i="13"/>
  <c r="EZ219" i="13"/>
  <c r="EW219" i="13"/>
  <c r="ER219" i="13"/>
  <c r="EQ219" i="13"/>
  <c r="EP219" i="13"/>
  <c r="EM219" i="13"/>
  <c r="DT219" i="13"/>
  <c r="DS219" i="13"/>
  <c r="DO219" i="13"/>
  <c r="DL219" i="13"/>
  <c r="DI219" i="13"/>
  <c r="DH219" i="13"/>
  <c r="DG219" i="13"/>
  <c r="DF219" i="13"/>
  <c r="DA219" i="13"/>
  <c r="CK219" i="13"/>
  <c r="CG219" i="13"/>
  <c r="CC219" i="13"/>
  <c r="CB219" i="13"/>
  <c r="CA219" i="13"/>
  <c r="BV219" i="13"/>
  <c r="BS219" i="13"/>
  <c r="BM219" i="13"/>
  <c r="BI219" i="13"/>
  <c r="BH219" i="13"/>
  <c r="BB219" i="13"/>
  <c r="BA219" i="13"/>
  <c r="AY219" i="13"/>
  <c r="AX219" i="13"/>
  <c r="AW219" i="13"/>
  <c r="AL219" i="13"/>
  <c r="AK219" i="13"/>
  <c r="KD207" i="13"/>
  <c r="KB207" i="13"/>
  <c r="IV207" i="13"/>
  <c r="IQ207" i="13"/>
  <c r="IL207" i="13"/>
  <c r="HZ207" i="13"/>
  <c r="HY207" i="13"/>
  <c r="HG207" i="13"/>
  <c r="HF207" i="13"/>
  <c r="HE207" i="13"/>
  <c r="HD207" i="13"/>
  <c r="HC207" i="13"/>
  <c r="GM207" i="13"/>
  <c r="FW207" i="13"/>
  <c r="FV207" i="13"/>
  <c r="FU207" i="13"/>
  <c r="FT207" i="13"/>
  <c r="FS207" i="13"/>
  <c r="FR207" i="13"/>
  <c r="FP207" i="13"/>
  <c r="FN207" i="13"/>
  <c r="FL207" i="13"/>
  <c r="FK207" i="13"/>
  <c r="FJ207" i="13"/>
  <c r="FE207" i="13"/>
  <c r="FD207" i="13"/>
  <c r="EZ207" i="13"/>
  <c r="EW207" i="13"/>
  <c r="ER207" i="13"/>
  <c r="EQ207" i="13"/>
  <c r="EP207" i="13"/>
  <c r="EM207" i="13"/>
  <c r="DT207" i="13"/>
  <c r="DS207" i="13"/>
  <c r="DO207" i="13"/>
  <c r="DL207" i="13"/>
  <c r="DI207" i="13"/>
  <c r="DH207" i="13"/>
  <c r="DG207" i="13"/>
  <c r="DF207" i="13"/>
  <c r="DA207" i="13"/>
  <c r="CK207" i="13"/>
  <c r="CG207" i="13"/>
  <c r="CC207" i="13"/>
  <c r="CB207" i="13"/>
  <c r="CA207" i="13"/>
  <c r="BV207" i="13"/>
  <c r="BS207" i="13"/>
  <c r="BM207" i="13"/>
  <c r="BI207" i="13"/>
  <c r="BH207" i="13"/>
  <c r="BB207" i="13"/>
  <c r="BA207" i="13"/>
  <c r="AY207" i="13"/>
  <c r="AX207" i="13"/>
  <c r="AW207" i="13"/>
  <c r="AL207" i="13"/>
  <c r="AK207" i="13"/>
  <c r="KD129" i="13"/>
  <c r="KB129" i="13"/>
  <c r="IV129" i="13"/>
  <c r="IQ129" i="13"/>
  <c r="IL129" i="13"/>
  <c r="HZ129" i="13"/>
  <c r="HY129" i="13"/>
  <c r="HG129" i="13"/>
  <c r="HF129" i="13"/>
  <c r="HE129" i="13"/>
  <c r="HD129" i="13"/>
  <c r="HC129" i="13"/>
  <c r="GM129" i="13"/>
  <c r="FW129" i="13"/>
  <c r="FV129" i="13"/>
  <c r="FU129" i="13"/>
  <c r="FT129" i="13"/>
  <c r="FS129" i="13"/>
  <c r="FR129" i="13"/>
  <c r="FP129" i="13"/>
  <c r="FN129" i="13"/>
  <c r="FL129" i="13"/>
  <c r="FK129" i="13"/>
  <c r="FJ129" i="13"/>
  <c r="FE129" i="13"/>
  <c r="FD129" i="13"/>
  <c r="EZ129" i="13"/>
  <c r="EW129" i="13"/>
  <c r="ER129" i="13"/>
  <c r="EQ129" i="13"/>
  <c r="EP129" i="13"/>
  <c r="EM129" i="13"/>
  <c r="DT129" i="13"/>
  <c r="DS129" i="13"/>
  <c r="DO129" i="13"/>
  <c r="DL129" i="13"/>
  <c r="DI129" i="13"/>
  <c r="DH129" i="13"/>
  <c r="DG129" i="13"/>
  <c r="DF129" i="13"/>
  <c r="DA129" i="13"/>
  <c r="CK129" i="13"/>
  <c r="CG129" i="13"/>
  <c r="CC129" i="13"/>
  <c r="CB129" i="13"/>
  <c r="CA129" i="13"/>
  <c r="BV129" i="13"/>
  <c r="BS129" i="13"/>
  <c r="BM129" i="13"/>
  <c r="BI129" i="13"/>
  <c r="BH129" i="13"/>
  <c r="BB129" i="13"/>
  <c r="BA129" i="13"/>
  <c r="AY129" i="13"/>
  <c r="AX129" i="13"/>
  <c r="AW129" i="13"/>
  <c r="AL129" i="13"/>
  <c r="AK129" i="13"/>
  <c r="KD91" i="13"/>
  <c r="KB91" i="13"/>
  <c r="IV91" i="13"/>
  <c r="IQ91" i="13"/>
  <c r="IL91" i="13"/>
  <c r="HZ91" i="13"/>
  <c r="HY91" i="13"/>
  <c r="HG91" i="13"/>
  <c r="HF91" i="13"/>
  <c r="HE91" i="13"/>
  <c r="HD91" i="13"/>
  <c r="HC91" i="13"/>
  <c r="GM91" i="13"/>
  <c r="FW91" i="13"/>
  <c r="FV91" i="13"/>
  <c r="FU91" i="13"/>
  <c r="FT91" i="13"/>
  <c r="FS91" i="13"/>
  <c r="FR91" i="13"/>
  <c r="FP91" i="13"/>
  <c r="FN91" i="13"/>
  <c r="FL91" i="13"/>
  <c r="FK91" i="13"/>
  <c r="FJ91" i="13"/>
  <c r="FE91" i="13"/>
  <c r="FD91" i="13"/>
  <c r="EZ91" i="13"/>
  <c r="EW91" i="13"/>
  <c r="ER91" i="13"/>
  <c r="EQ91" i="13"/>
  <c r="EP91" i="13"/>
  <c r="EM91" i="13"/>
  <c r="DT91" i="13"/>
  <c r="DS91" i="13"/>
  <c r="DO91" i="13"/>
  <c r="DL91" i="13"/>
  <c r="DI91" i="13"/>
  <c r="DH91" i="13"/>
  <c r="DG91" i="13"/>
  <c r="DF91" i="13"/>
  <c r="DA91" i="13"/>
  <c r="CK91" i="13"/>
  <c r="CG91" i="13"/>
  <c r="CC91" i="13"/>
  <c r="CB91" i="13"/>
  <c r="CA91" i="13"/>
  <c r="BV91" i="13"/>
  <c r="BS91" i="13"/>
  <c r="BM91" i="13"/>
  <c r="BI91" i="13"/>
  <c r="BH91" i="13"/>
  <c r="BB91" i="13"/>
  <c r="BA91" i="13"/>
  <c r="AY91" i="13"/>
  <c r="AX91" i="13"/>
  <c r="AW91" i="13"/>
  <c r="AL91" i="13"/>
  <c r="AK91" i="13"/>
  <c r="KD26" i="13"/>
  <c r="KB26" i="13"/>
  <c r="IV26" i="13"/>
  <c r="IQ26" i="13"/>
  <c r="IL26" i="13"/>
  <c r="HZ26" i="13"/>
  <c r="HY26" i="13"/>
  <c r="HG26" i="13"/>
  <c r="HF26" i="13"/>
  <c r="HE26" i="13"/>
  <c r="HD26" i="13"/>
  <c r="HC26" i="13"/>
  <c r="GM26" i="13"/>
  <c r="FW26" i="13"/>
  <c r="FV26" i="13"/>
  <c r="FU26" i="13"/>
  <c r="FT26" i="13"/>
  <c r="FS26" i="13"/>
  <c r="FR26" i="13"/>
  <c r="FP26" i="13"/>
  <c r="FN26" i="13"/>
  <c r="FL26" i="13"/>
  <c r="FK26" i="13"/>
  <c r="FJ26" i="13"/>
  <c r="FE26" i="13"/>
  <c r="FD26" i="13"/>
  <c r="EZ26" i="13"/>
  <c r="EW26" i="13"/>
  <c r="ER26" i="13"/>
  <c r="EQ26" i="13"/>
  <c r="EP26" i="13"/>
  <c r="EM26" i="13"/>
  <c r="DT26" i="13"/>
  <c r="DS26" i="13"/>
  <c r="DO26" i="13"/>
  <c r="DL26" i="13"/>
  <c r="DI26" i="13"/>
  <c r="DH26" i="13"/>
  <c r="DG26" i="13"/>
  <c r="DF26" i="13"/>
  <c r="DA26" i="13"/>
  <c r="CK26" i="13"/>
  <c r="CG26" i="13"/>
  <c r="CC26" i="13"/>
  <c r="CB26" i="13"/>
  <c r="CA26" i="13"/>
  <c r="BV26" i="13"/>
  <c r="BS26" i="13"/>
  <c r="BM26" i="13"/>
  <c r="BI26" i="13"/>
  <c r="BH26" i="13"/>
  <c r="BB26" i="13"/>
  <c r="BA26" i="13"/>
  <c r="AY26" i="13"/>
  <c r="AX26" i="13"/>
  <c r="AW26" i="13"/>
  <c r="AL26" i="13"/>
  <c r="AK26" i="13"/>
  <c r="KD89" i="13"/>
  <c r="KB89" i="13"/>
  <c r="IV89" i="13"/>
  <c r="IQ89" i="13"/>
  <c r="IL89" i="13"/>
  <c r="HZ89" i="13"/>
  <c r="HY89" i="13"/>
  <c r="HG89" i="13"/>
  <c r="HF89" i="13"/>
  <c r="HE89" i="13"/>
  <c r="HD89" i="13"/>
  <c r="HC89" i="13"/>
  <c r="GM89" i="13"/>
  <c r="FW89" i="13"/>
  <c r="FV89" i="13"/>
  <c r="FU89" i="13"/>
  <c r="FT89" i="13"/>
  <c r="FS89" i="13"/>
  <c r="FR89" i="13"/>
  <c r="FP89" i="13"/>
  <c r="FN89" i="13"/>
  <c r="FL89" i="13"/>
  <c r="FK89" i="13"/>
  <c r="FJ89" i="13"/>
  <c r="FE89" i="13"/>
  <c r="FD89" i="13"/>
  <c r="EZ89" i="13"/>
  <c r="EW89" i="13"/>
  <c r="ER89" i="13"/>
  <c r="EQ89" i="13"/>
  <c r="EP89" i="13"/>
  <c r="EM89" i="13"/>
  <c r="DT89" i="13"/>
  <c r="DS89" i="13"/>
  <c r="DO89" i="13"/>
  <c r="DL89" i="13"/>
  <c r="DI89" i="13"/>
  <c r="DH89" i="13"/>
  <c r="DG89" i="13"/>
  <c r="DF89" i="13"/>
  <c r="DA89" i="13"/>
  <c r="CK89" i="13"/>
  <c r="CG89" i="13"/>
  <c r="CC89" i="13"/>
  <c r="CB89" i="13"/>
  <c r="CA89" i="13"/>
  <c r="BV89" i="13"/>
  <c r="BS89" i="13"/>
  <c r="BM89" i="13"/>
  <c r="BI89" i="13"/>
  <c r="BH89" i="13"/>
  <c r="BB89" i="13"/>
  <c r="BA89" i="13"/>
  <c r="AY89" i="13"/>
  <c r="AX89" i="13"/>
  <c r="AW89" i="13"/>
  <c r="AL89" i="13"/>
  <c r="AK89" i="13"/>
  <c r="MI182" i="13"/>
  <c r="JR182" i="13"/>
  <c r="JM182" i="13"/>
  <c r="II182" i="13"/>
  <c r="HZ182" i="13"/>
  <c r="HY182" i="13"/>
  <c r="HG182" i="13"/>
  <c r="HF182" i="13"/>
  <c r="HE182" i="13"/>
  <c r="HD182" i="13"/>
  <c r="HC182" i="13"/>
  <c r="GM182" i="13"/>
  <c r="FW182" i="13"/>
  <c r="FV182" i="13"/>
  <c r="FU182" i="13"/>
  <c r="FT182" i="13"/>
  <c r="FS182" i="13"/>
  <c r="FR182" i="13"/>
  <c r="FP182" i="13"/>
  <c r="FN182" i="13"/>
  <c r="FK182" i="13"/>
  <c r="FE182" i="13"/>
  <c r="FD182" i="13"/>
  <c r="EW182" i="13"/>
  <c r="ER182" i="13"/>
  <c r="EQ182" i="13"/>
  <c r="EM182" i="13"/>
  <c r="EA182" i="13"/>
  <c r="DZ182" i="13"/>
  <c r="DV182" i="13"/>
  <c r="DT182" i="13"/>
  <c r="DS182" i="13"/>
  <c r="DJ182" i="13"/>
  <c r="DI182" i="13"/>
  <c r="DH182" i="13"/>
  <c r="DG182" i="13"/>
  <c r="DF182" i="13"/>
  <c r="CX182" i="13"/>
  <c r="CU182" i="13"/>
  <c r="CK182" i="13"/>
  <c r="CC182" i="13"/>
  <c r="CB182" i="13"/>
  <c r="CA182" i="13"/>
  <c r="BV182" i="13"/>
  <c r="BS182" i="13"/>
  <c r="BI182" i="13"/>
  <c r="BH182" i="13"/>
  <c r="BB182" i="13"/>
  <c r="BA182" i="13"/>
  <c r="AX182" i="13"/>
  <c r="AW182" i="13"/>
  <c r="N182" i="13"/>
  <c r="MI75" i="13"/>
  <c r="JR75" i="13"/>
  <c r="JM75" i="13"/>
  <c r="II75" i="13"/>
  <c r="HZ75" i="13"/>
  <c r="HY75" i="13"/>
  <c r="HG75" i="13"/>
  <c r="HF75" i="13"/>
  <c r="HE75" i="13"/>
  <c r="HD75" i="13"/>
  <c r="HC75" i="13"/>
  <c r="GM75" i="13"/>
  <c r="FW75" i="13"/>
  <c r="FV75" i="13"/>
  <c r="FU75" i="13"/>
  <c r="FT75" i="13"/>
  <c r="FS75" i="13"/>
  <c r="FR75" i="13"/>
  <c r="FP75" i="13"/>
  <c r="FN75" i="13"/>
  <c r="FK75" i="13"/>
  <c r="FE75" i="13"/>
  <c r="FD75" i="13"/>
  <c r="EW75" i="13"/>
  <c r="ER75" i="13"/>
  <c r="EQ75" i="13"/>
  <c r="EM75" i="13"/>
  <c r="EA75" i="13"/>
  <c r="DZ75" i="13"/>
  <c r="DV75" i="13"/>
  <c r="DT75" i="13"/>
  <c r="DS75" i="13"/>
  <c r="DJ75" i="13"/>
  <c r="DI75" i="13"/>
  <c r="DH75" i="13"/>
  <c r="DG75" i="13"/>
  <c r="DF75" i="13"/>
  <c r="CX75" i="13"/>
  <c r="CU75" i="13"/>
  <c r="CK75" i="13"/>
  <c r="CC75" i="13"/>
  <c r="CB75" i="13"/>
  <c r="CA75" i="13"/>
  <c r="BV75" i="13"/>
  <c r="BS75" i="13"/>
  <c r="BI75" i="13"/>
  <c r="BH75" i="13"/>
  <c r="BB75" i="13"/>
  <c r="BA75" i="13"/>
  <c r="AX75" i="13"/>
  <c r="AW75" i="13"/>
  <c r="N75" i="13"/>
  <c r="MI39" i="13"/>
  <c r="JR39" i="13"/>
  <c r="JM39" i="13"/>
  <c r="II39" i="13"/>
  <c r="HZ39" i="13"/>
  <c r="HY39" i="13"/>
  <c r="HG39" i="13"/>
  <c r="HF39" i="13"/>
  <c r="HE39" i="13"/>
  <c r="HD39" i="13"/>
  <c r="HC39" i="13"/>
  <c r="GM39" i="13"/>
  <c r="FW39" i="13"/>
  <c r="FV39" i="13"/>
  <c r="FU39" i="13"/>
  <c r="FT39" i="13"/>
  <c r="FS39" i="13"/>
  <c r="FR39" i="13"/>
  <c r="FP39" i="13"/>
  <c r="FN39" i="13"/>
  <c r="FK39" i="13"/>
  <c r="FE39" i="13"/>
  <c r="FD39" i="13"/>
  <c r="EW39" i="13"/>
  <c r="ER39" i="13"/>
  <c r="EQ39" i="13"/>
  <c r="EM39" i="13"/>
  <c r="EA39" i="13"/>
  <c r="DZ39" i="13"/>
  <c r="DV39" i="13"/>
  <c r="DT39" i="13"/>
  <c r="DS39" i="13"/>
  <c r="DJ39" i="13"/>
  <c r="DI39" i="13"/>
  <c r="DH39" i="13"/>
  <c r="DG39" i="13"/>
  <c r="DF39" i="13"/>
  <c r="CX39" i="13"/>
  <c r="CU39" i="13"/>
  <c r="CK39" i="13"/>
  <c r="CC39" i="13"/>
  <c r="CB39" i="13"/>
  <c r="CA39" i="13"/>
  <c r="BV39" i="13"/>
  <c r="BS39" i="13"/>
  <c r="BI39" i="13"/>
  <c r="BH39" i="13"/>
  <c r="BB39" i="13"/>
  <c r="BA39" i="13"/>
  <c r="AX39" i="13"/>
  <c r="AW39" i="13"/>
  <c r="N39" i="13"/>
  <c r="MI123" i="13"/>
  <c r="JR123" i="13"/>
  <c r="JM123" i="13"/>
  <c r="II123" i="13"/>
  <c r="HZ123" i="13"/>
  <c r="HY123" i="13"/>
  <c r="HG123" i="13"/>
  <c r="HF123" i="13"/>
  <c r="HE123" i="13"/>
  <c r="HD123" i="13"/>
  <c r="HC123" i="13"/>
  <c r="GM123" i="13"/>
  <c r="FW123" i="13"/>
  <c r="FV123" i="13"/>
  <c r="FU123" i="13"/>
  <c r="FT123" i="13"/>
  <c r="FS123" i="13"/>
  <c r="FR123" i="13"/>
  <c r="FP123" i="13"/>
  <c r="FN123" i="13"/>
  <c r="FK123" i="13"/>
  <c r="FE123" i="13"/>
  <c r="FD123" i="13"/>
  <c r="EW123" i="13"/>
  <c r="ER123" i="13"/>
  <c r="EQ123" i="13"/>
  <c r="EM123" i="13"/>
  <c r="EA123" i="13"/>
  <c r="DZ123" i="13"/>
  <c r="DV123" i="13"/>
  <c r="DT123" i="13"/>
  <c r="DS123" i="13"/>
  <c r="DJ123" i="13"/>
  <c r="DI123" i="13"/>
  <c r="DH123" i="13"/>
  <c r="DG123" i="13"/>
  <c r="DF123" i="13"/>
  <c r="CX123" i="13"/>
  <c r="CU123" i="13"/>
  <c r="CK123" i="13"/>
  <c r="CC123" i="13"/>
  <c r="CB123" i="13"/>
  <c r="CA123" i="13"/>
  <c r="BV123" i="13"/>
  <c r="BS123" i="13"/>
  <c r="BI123" i="13"/>
  <c r="BH123" i="13"/>
  <c r="BB123" i="13"/>
  <c r="BA123" i="13"/>
  <c r="AX123" i="13"/>
  <c r="AW123" i="13"/>
  <c r="N123" i="13"/>
  <c r="IY113" i="13"/>
  <c r="HZ113" i="13"/>
  <c r="HY113" i="13"/>
  <c r="HC113" i="13"/>
  <c r="FE113" i="13"/>
  <c r="FD113" i="13"/>
  <c r="EW113" i="13"/>
  <c r="EQ113" i="13"/>
  <c r="EP113" i="13"/>
  <c r="DI113" i="13"/>
  <c r="DH113" i="13"/>
  <c r="DG113" i="13"/>
  <c r="DF113" i="13"/>
  <c r="CK113" i="13"/>
  <c r="CC113" i="13"/>
  <c r="CB113" i="13"/>
  <c r="CA113" i="13"/>
  <c r="BV113" i="13"/>
  <c r="BS113" i="13"/>
  <c r="BB113" i="13"/>
  <c r="BA113" i="13"/>
  <c r="AX113" i="13"/>
  <c r="AW113" i="13"/>
  <c r="KE108" i="13"/>
  <c r="HZ108" i="13"/>
  <c r="HY108" i="13"/>
  <c r="HC108" i="13"/>
  <c r="FD108" i="13"/>
  <c r="EW108" i="13"/>
  <c r="DI108" i="13"/>
  <c r="DH108" i="13"/>
  <c r="DG108" i="13"/>
  <c r="DF108" i="13"/>
  <c r="CK108" i="13"/>
  <c r="CC108" i="13"/>
  <c r="CB108" i="13"/>
  <c r="CA108" i="13"/>
  <c r="BW108" i="13"/>
  <c r="BV108" i="13"/>
  <c r="BS108" i="13"/>
  <c r="BB108" i="13"/>
  <c r="BA108" i="13"/>
  <c r="AX108" i="13"/>
  <c r="AW108" i="13"/>
  <c r="KE224" i="13"/>
  <c r="HZ224" i="13"/>
  <c r="HY224" i="13"/>
  <c r="HC224" i="13"/>
  <c r="FD224" i="13"/>
  <c r="EW224" i="13"/>
  <c r="DI224" i="13"/>
  <c r="DH224" i="13"/>
  <c r="DG224" i="13"/>
  <c r="DF224" i="13"/>
  <c r="CK224" i="13"/>
  <c r="CC224" i="13"/>
  <c r="CB224" i="13"/>
  <c r="CA224" i="13"/>
  <c r="BW224" i="13"/>
  <c r="BV224" i="13"/>
  <c r="BS224" i="13"/>
  <c r="BB224" i="13"/>
  <c r="BA224" i="13"/>
  <c r="AX224" i="13"/>
  <c r="AW224" i="13"/>
  <c r="KE212" i="13"/>
  <c r="HZ212" i="13"/>
  <c r="HY212" i="13"/>
  <c r="HC212" i="13"/>
  <c r="FD212" i="13"/>
  <c r="EW212" i="13"/>
  <c r="DI212" i="13"/>
  <c r="DH212" i="13"/>
  <c r="DG212" i="13"/>
  <c r="DF212" i="13"/>
  <c r="CK212" i="13"/>
  <c r="CC212" i="13"/>
  <c r="CB212" i="13"/>
  <c r="CA212" i="13"/>
  <c r="BW212" i="13"/>
  <c r="BV212" i="13"/>
  <c r="BS212" i="13"/>
  <c r="BB212" i="13"/>
  <c r="BA212" i="13"/>
  <c r="AX212" i="13"/>
  <c r="AW212" i="13"/>
  <c r="KE168" i="13"/>
  <c r="HZ168" i="13"/>
  <c r="HY168" i="13"/>
  <c r="HC168" i="13"/>
  <c r="FD168" i="13"/>
  <c r="EW168" i="13"/>
  <c r="DI168" i="13"/>
  <c r="DH168" i="13"/>
  <c r="DG168" i="13"/>
  <c r="DF168" i="13"/>
  <c r="CK168" i="13"/>
  <c r="CC168" i="13"/>
  <c r="CB168" i="13"/>
  <c r="CA168" i="13"/>
  <c r="BW168" i="13"/>
  <c r="BV168" i="13"/>
  <c r="BS168" i="13"/>
  <c r="BB168" i="13"/>
  <c r="BA168" i="13"/>
  <c r="AX168" i="13"/>
  <c r="AW168" i="13"/>
  <c r="IY97" i="13"/>
  <c r="HZ97" i="13"/>
  <c r="HY97" i="13"/>
  <c r="HC97" i="13"/>
  <c r="FD97" i="13"/>
  <c r="EW97" i="13"/>
  <c r="EQ97" i="13"/>
  <c r="EP97" i="13"/>
  <c r="DJ97" i="13"/>
  <c r="DI97" i="13"/>
  <c r="DH97" i="13"/>
  <c r="DG97" i="13"/>
  <c r="DF97" i="13"/>
  <c r="CK97" i="13"/>
  <c r="CC97" i="13"/>
  <c r="CB97" i="13"/>
  <c r="CA97" i="13"/>
  <c r="BV97" i="13"/>
  <c r="BS97" i="13"/>
  <c r="BB97" i="13"/>
  <c r="BA97" i="13"/>
  <c r="AX97" i="13"/>
  <c r="AW97" i="13"/>
  <c r="JR122" i="13"/>
  <c r="JM122" i="13"/>
  <c r="JL122" i="13"/>
  <c r="IX122" i="13"/>
  <c r="IQ122" i="13"/>
  <c r="IN122" i="13"/>
  <c r="IK122" i="13"/>
  <c r="II122" i="13"/>
  <c r="HZ122" i="13"/>
  <c r="HY122" i="13"/>
  <c r="HX122" i="13"/>
  <c r="HC122" i="13"/>
  <c r="GD122" i="13"/>
  <c r="FL122" i="13"/>
  <c r="FE122" i="13"/>
  <c r="FD122" i="13"/>
  <c r="EW122" i="13"/>
  <c r="ER122" i="13"/>
  <c r="EQ122" i="13"/>
  <c r="EP122" i="13"/>
  <c r="EM122" i="13"/>
  <c r="EA122" i="13"/>
  <c r="DV122" i="13"/>
  <c r="DT122" i="13"/>
  <c r="DS122" i="13"/>
  <c r="DI122" i="13"/>
  <c r="DH122" i="13"/>
  <c r="DG122" i="13"/>
  <c r="DF122" i="13"/>
  <c r="CK122" i="13"/>
  <c r="CJ122" i="13"/>
  <c r="CC122" i="13"/>
  <c r="CB122" i="13"/>
  <c r="CA122" i="13"/>
  <c r="BW122" i="13"/>
  <c r="BV122" i="13"/>
  <c r="BS122" i="13"/>
  <c r="BB122" i="13"/>
  <c r="BA122" i="13"/>
  <c r="AX122" i="13"/>
  <c r="AW122" i="13"/>
  <c r="JR96" i="13"/>
  <c r="JM96" i="13"/>
  <c r="JL96" i="13"/>
  <c r="IX96" i="13"/>
  <c r="IQ96" i="13"/>
  <c r="IN96" i="13"/>
  <c r="IK96" i="13"/>
  <c r="II96" i="13"/>
  <c r="HZ96" i="13"/>
  <c r="HY96" i="13"/>
  <c r="HX96" i="13"/>
  <c r="HC96" i="13"/>
  <c r="GD96" i="13"/>
  <c r="FL96" i="13"/>
  <c r="FE96" i="13"/>
  <c r="FD96" i="13"/>
  <c r="EW96" i="13"/>
  <c r="ER96" i="13"/>
  <c r="EQ96" i="13"/>
  <c r="EP96" i="13"/>
  <c r="EM96" i="13"/>
  <c r="EA96" i="13"/>
  <c r="DV96" i="13"/>
  <c r="DT96" i="13"/>
  <c r="DS96" i="13"/>
  <c r="DI96" i="13"/>
  <c r="DH96" i="13"/>
  <c r="DG96" i="13"/>
  <c r="DF96" i="13"/>
  <c r="CK96" i="13"/>
  <c r="CJ96" i="13"/>
  <c r="CC96" i="13"/>
  <c r="CB96" i="13"/>
  <c r="CA96" i="13"/>
  <c r="BW96" i="13"/>
  <c r="BV96" i="13"/>
  <c r="BS96" i="13"/>
  <c r="BB96" i="13"/>
  <c r="BA96" i="13"/>
  <c r="AX96" i="13"/>
  <c r="AW96" i="13"/>
  <c r="HZ87" i="13"/>
  <c r="HY87" i="13"/>
  <c r="HC87" i="13"/>
  <c r="FD87" i="13"/>
  <c r="EW87" i="13"/>
  <c r="EA87" i="13"/>
  <c r="DI87" i="13"/>
  <c r="DH87" i="13"/>
  <c r="DG87" i="13"/>
  <c r="DF87" i="13"/>
  <c r="CK87" i="13"/>
  <c r="CC87" i="13"/>
  <c r="CB87" i="13"/>
  <c r="CA87" i="13"/>
  <c r="BV87" i="13"/>
  <c r="BS87" i="13"/>
  <c r="BB87" i="13"/>
  <c r="BA87" i="13"/>
  <c r="AX87" i="13"/>
  <c r="AW87" i="13"/>
  <c r="JR81" i="13"/>
  <c r="IY81" i="13"/>
  <c r="HZ81" i="13"/>
  <c r="HY81" i="13"/>
  <c r="HC81" i="13"/>
  <c r="FD81" i="13"/>
  <c r="EW81" i="13"/>
  <c r="ER81" i="13"/>
  <c r="EM81" i="13"/>
  <c r="DI81" i="13"/>
  <c r="DH81" i="13"/>
  <c r="DG81" i="13"/>
  <c r="DF81" i="13"/>
  <c r="CK81" i="13"/>
  <c r="CC81" i="13"/>
  <c r="CB81" i="13"/>
  <c r="CA81" i="13"/>
  <c r="BV81" i="13"/>
  <c r="BS81" i="13"/>
  <c r="BB81" i="13"/>
  <c r="BA81" i="13"/>
  <c r="AX81" i="13"/>
  <c r="AW81" i="13"/>
  <c r="HZ157" i="13"/>
  <c r="HY157" i="13"/>
  <c r="HC157" i="13"/>
  <c r="FD157" i="13"/>
  <c r="EW157" i="13"/>
  <c r="DI157" i="13"/>
  <c r="DH157" i="13"/>
  <c r="DG157" i="13"/>
  <c r="DF157" i="13"/>
  <c r="CK157" i="13"/>
  <c r="CC157" i="13"/>
  <c r="CB157" i="13"/>
  <c r="CA157" i="13"/>
  <c r="BW157" i="13"/>
  <c r="BV157" i="13"/>
  <c r="BS157" i="13"/>
  <c r="BB157" i="13"/>
  <c r="BA157" i="13"/>
  <c r="AX157" i="13"/>
  <c r="AW157" i="13"/>
  <c r="JR235" i="13"/>
  <c r="JM235" i="13"/>
  <c r="IX235" i="13"/>
  <c r="IQ235" i="13"/>
  <c r="IN235" i="13"/>
  <c r="IK235" i="13"/>
  <c r="HZ235" i="13"/>
  <c r="HY235" i="13"/>
  <c r="HC235" i="13"/>
  <c r="FL235" i="13"/>
  <c r="FE235" i="13"/>
  <c r="FD235" i="13"/>
  <c r="EW235" i="13"/>
  <c r="EQ235" i="13"/>
  <c r="EP235" i="13"/>
  <c r="EC235" i="13"/>
  <c r="EA235" i="13"/>
  <c r="DV235" i="13"/>
  <c r="DT235" i="13"/>
  <c r="DS235" i="13"/>
  <c r="DI235" i="13"/>
  <c r="DH235" i="13"/>
  <c r="DG235" i="13"/>
  <c r="DF235" i="13"/>
  <c r="CK235" i="13"/>
  <c r="CC235" i="13"/>
  <c r="CB235" i="13"/>
  <c r="CA235" i="13"/>
  <c r="BW235" i="13"/>
  <c r="BV235" i="13"/>
  <c r="BS235" i="13"/>
  <c r="BB235" i="13"/>
  <c r="BA235" i="13"/>
  <c r="AX235" i="13"/>
  <c r="AW235" i="13"/>
  <c r="JR20" i="13"/>
  <c r="JM20" i="13"/>
  <c r="IX20" i="13"/>
  <c r="IQ20" i="13"/>
  <c r="IN20" i="13"/>
  <c r="IK20" i="13"/>
  <c r="HZ20" i="13"/>
  <c r="HY20" i="13"/>
  <c r="HC20" i="13"/>
  <c r="FL20" i="13"/>
  <c r="FE20" i="13"/>
  <c r="FD20" i="13"/>
  <c r="EW20" i="13"/>
  <c r="EQ20" i="13"/>
  <c r="EP20" i="13"/>
  <c r="EC20" i="13"/>
  <c r="EA20" i="13"/>
  <c r="DV20" i="13"/>
  <c r="DT20" i="13"/>
  <c r="DS20" i="13"/>
  <c r="DI20" i="13"/>
  <c r="DH20" i="13"/>
  <c r="DG20" i="13"/>
  <c r="DF20" i="13"/>
  <c r="CK20" i="13"/>
  <c r="CC20" i="13"/>
  <c r="CB20" i="13"/>
  <c r="CA20" i="13"/>
  <c r="BW20" i="13"/>
  <c r="BV20" i="13"/>
  <c r="BS20" i="13"/>
  <c r="BB20" i="13"/>
  <c r="BA20" i="13"/>
  <c r="AX20" i="13"/>
  <c r="AW20" i="13"/>
  <c r="JR72" i="13"/>
  <c r="JM72" i="13"/>
  <c r="IX72" i="13"/>
  <c r="IQ72" i="13"/>
  <c r="IN72" i="13"/>
  <c r="IK72" i="13"/>
  <c r="HZ72" i="13"/>
  <c r="HY72" i="13"/>
  <c r="HC72" i="13"/>
  <c r="FL72" i="13"/>
  <c r="FE72" i="13"/>
  <c r="FD72" i="13"/>
  <c r="EW72" i="13"/>
  <c r="EQ72" i="13"/>
  <c r="EP72" i="13"/>
  <c r="EC72" i="13"/>
  <c r="EA72" i="13"/>
  <c r="DV72" i="13"/>
  <c r="DT72" i="13"/>
  <c r="DS72" i="13"/>
  <c r="DI72" i="13"/>
  <c r="DH72" i="13"/>
  <c r="DG72" i="13"/>
  <c r="DF72" i="13"/>
  <c r="CK72" i="13"/>
  <c r="CC72" i="13"/>
  <c r="CB72" i="13"/>
  <c r="CA72" i="13"/>
  <c r="BW72" i="13"/>
  <c r="BV72" i="13"/>
  <c r="BS72" i="13"/>
  <c r="BB72" i="13"/>
  <c r="BA72" i="13"/>
  <c r="AX72" i="13"/>
  <c r="AW72" i="13"/>
  <c r="HZ68" i="13"/>
  <c r="HY68" i="13"/>
  <c r="HC68" i="13"/>
  <c r="FD68" i="13"/>
  <c r="EW68" i="13"/>
  <c r="ER68" i="13"/>
  <c r="EM68" i="13"/>
  <c r="DI68" i="13"/>
  <c r="DH68" i="13"/>
  <c r="DG68" i="13"/>
  <c r="DF68" i="13"/>
  <c r="CK68" i="13"/>
  <c r="CC68" i="13"/>
  <c r="CB68" i="13"/>
  <c r="CA68" i="13"/>
  <c r="BV68" i="13"/>
  <c r="BS68" i="13"/>
  <c r="BB68" i="13"/>
  <c r="BA68" i="13"/>
  <c r="AX68" i="13"/>
  <c r="AW68" i="13"/>
  <c r="MI216" i="13"/>
  <c r="MH216" i="13"/>
  <c r="MG216" i="13"/>
  <c r="MF216" i="13"/>
  <c r="MD216" i="13"/>
  <c r="KF216" i="13"/>
  <c r="KE216" i="13"/>
  <c r="KD216" i="13"/>
  <c r="KB216" i="13"/>
  <c r="JT216" i="13"/>
  <c r="JR216" i="13"/>
  <c r="JM216" i="13"/>
  <c r="JL216" i="13"/>
  <c r="JK216" i="13"/>
  <c r="JJ216" i="13"/>
  <c r="JC216" i="13"/>
  <c r="JA216" i="13"/>
  <c r="IY216" i="13"/>
  <c r="IX216" i="13"/>
  <c r="IV216" i="13"/>
  <c r="IQ216" i="13"/>
  <c r="IN216" i="13"/>
  <c r="IM216" i="13"/>
  <c r="IL216" i="13"/>
  <c r="IK216" i="13"/>
  <c r="II216" i="13"/>
  <c r="IA216" i="13"/>
  <c r="HZ216" i="13"/>
  <c r="HY216" i="13"/>
  <c r="HI216" i="13"/>
  <c r="HG216" i="13"/>
  <c r="HF216" i="13"/>
  <c r="HE216" i="13"/>
  <c r="HD216" i="13"/>
  <c r="HC216" i="13"/>
  <c r="GS216" i="13"/>
  <c r="GR216" i="13"/>
  <c r="GP216" i="13"/>
  <c r="GM216" i="13"/>
  <c r="GK216" i="13"/>
  <c r="GD216" i="13"/>
  <c r="FW216" i="13"/>
  <c r="FV216" i="13"/>
  <c r="FU216" i="13"/>
  <c r="FT216" i="13"/>
  <c r="FS216" i="13"/>
  <c r="FR216" i="13"/>
  <c r="FQ216" i="13"/>
  <c r="FP216" i="13"/>
  <c r="FO216" i="13"/>
  <c r="FN216" i="13"/>
  <c r="FL216" i="13"/>
  <c r="FK216" i="13"/>
  <c r="FG216" i="13"/>
  <c r="FE216" i="13"/>
  <c r="FD216" i="13"/>
  <c r="FB216" i="13"/>
  <c r="EZ216" i="13"/>
  <c r="EX216" i="13"/>
  <c r="EW216" i="13"/>
  <c r="EV216" i="13"/>
  <c r="EU216" i="13"/>
  <c r="ER216" i="13"/>
  <c r="EQ216" i="13"/>
  <c r="EP216" i="13"/>
  <c r="EN216" i="13"/>
  <c r="EM216" i="13"/>
  <c r="EK216" i="13"/>
  <c r="EC216" i="13"/>
  <c r="EB216" i="13"/>
  <c r="EA216" i="13"/>
  <c r="DZ216" i="13"/>
  <c r="DX216" i="13"/>
  <c r="DV216" i="13"/>
  <c r="DT216" i="13"/>
  <c r="DS216" i="13"/>
  <c r="DR216" i="13"/>
  <c r="DI216" i="13"/>
  <c r="DH216" i="13"/>
  <c r="DG216" i="13"/>
  <c r="DF216" i="13"/>
  <c r="DC216" i="13"/>
  <c r="CY216" i="13"/>
  <c r="CU216" i="13"/>
  <c r="CS216" i="13"/>
  <c r="CR216" i="13"/>
  <c r="CP216" i="13"/>
  <c r="CK216" i="13"/>
  <c r="CJ216" i="13"/>
  <c r="CI216" i="13"/>
  <c r="CH216" i="13"/>
  <c r="CC216" i="13"/>
  <c r="CB216" i="13"/>
  <c r="CA216" i="13"/>
  <c r="BZ216" i="13"/>
  <c r="BW216" i="13"/>
  <c r="BV216" i="13"/>
  <c r="BS216" i="13"/>
  <c r="BL216" i="13"/>
  <c r="BJ216" i="13"/>
  <c r="BI216" i="13"/>
  <c r="BH216" i="13"/>
  <c r="BF216" i="13"/>
  <c r="BB216" i="13"/>
  <c r="BA216" i="13"/>
  <c r="AX216" i="13"/>
  <c r="AW216" i="13"/>
  <c r="AV216" i="13"/>
  <c r="AN216" i="13"/>
  <c r="AL216" i="13"/>
  <c r="AK216" i="13"/>
  <c r="AH216" i="13"/>
  <c r="AG216" i="13"/>
  <c r="AF216" i="13"/>
  <c r="AD216" i="13"/>
  <c r="U216" i="13"/>
  <c r="P216" i="13"/>
  <c r="MI214" i="13"/>
  <c r="MH214" i="13"/>
  <c r="MG214" i="13"/>
  <c r="MF214" i="13"/>
  <c r="MD214" i="13"/>
  <c r="KF214" i="13"/>
  <c r="KE214" i="13"/>
  <c r="KD214" i="13"/>
  <c r="KB214" i="13"/>
  <c r="JT214" i="13"/>
  <c r="JR214" i="13"/>
  <c r="JM214" i="13"/>
  <c r="JL214" i="13"/>
  <c r="JK214" i="13"/>
  <c r="JJ214" i="13"/>
  <c r="JC214" i="13"/>
  <c r="JA214" i="13"/>
  <c r="IY214" i="13"/>
  <c r="IX214" i="13"/>
  <c r="IV214" i="13"/>
  <c r="IQ214" i="13"/>
  <c r="IN214" i="13"/>
  <c r="IM214" i="13"/>
  <c r="IL214" i="13"/>
  <c r="IK214" i="13"/>
  <c r="II214" i="13"/>
  <c r="IA214" i="13"/>
  <c r="HZ214" i="13"/>
  <c r="HY214" i="13"/>
  <c r="HI214" i="13"/>
  <c r="HG214" i="13"/>
  <c r="HF214" i="13"/>
  <c r="HE214" i="13"/>
  <c r="HD214" i="13"/>
  <c r="HC214" i="13"/>
  <c r="GS214" i="13"/>
  <c r="GR214" i="13"/>
  <c r="GP214" i="13"/>
  <c r="GM214" i="13"/>
  <c r="GK214" i="13"/>
  <c r="GD214" i="13"/>
  <c r="FW214" i="13"/>
  <c r="FV214" i="13"/>
  <c r="FU214" i="13"/>
  <c r="FT214" i="13"/>
  <c r="FS214" i="13"/>
  <c r="FR214" i="13"/>
  <c r="FQ214" i="13"/>
  <c r="FP214" i="13"/>
  <c r="FO214" i="13"/>
  <c r="FN214" i="13"/>
  <c r="FL214" i="13"/>
  <c r="FK214" i="13"/>
  <c r="FG214" i="13"/>
  <c r="FE214" i="13"/>
  <c r="FD214" i="13"/>
  <c r="FB214" i="13"/>
  <c r="EZ214" i="13"/>
  <c r="EX214" i="13"/>
  <c r="EW214" i="13"/>
  <c r="EV214" i="13"/>
  <c r="EU214" i="13"/>
  <c r="ER214" i="13"/>
  <c r="EQ214" i="13"/>
  <c r="EP214" i="13"/>
  <c r="EN214" i="13"/>
  <c r="EM214" i="13"/>
  <c r="EK214" i="13"/>
  <c r="EC214" i="13"/>
  <c r="EB214" i="13"/>
  <c r="EA214" i="13"/>
  <c r="DZ214" i="13"/>
  <c r="DX214" i="13"/>
  <c r="DV214" i="13"/>
  <c r="DT214" i="13"/>
  <c r="DS214" i="13"/>
  <c r="DR214" i="13"/>
  <c r="DI214" i="13"/>
  <c r="DH214" i="13"/>
  <c r="DG214" i="13"/>
  <c r="DF214" i="13"/>
  <c r="DC214" i="13"/>
  <c r="CY214" i="13"/>
  <c r="CU214" i="13"/>
  <c r="CS214" i="13"/>
  <c r="CR214" i="13"/>
  <c r="CP214" i="13"/>
  <c r="CK214" i="13"/>
  <c r="CJ214" i="13"/>
  <c r="CI214" i="13"/>
  <c r="CH214" i="13"/>
  <c r="CC214" i="13"/>
  <c r="CB214" i="13"/>
  <c r="CA214" i="13"/>
  <c r="BZ214" i="13"/>
  <c r="BW214" i="13"/>
  <c r="BV214" i="13"/>
  <c r="BS214" i="13"/>
  <c r="BL214" i="13"/>
  <c r="BJ214" i="13"/>
  <c r="BI214" i="13"/>
  <c r="BH214" i="13"/>
  <c r="BF214" i="13"/>
  <c r="BB214" i="13"/>
  <c r="BA214" i="13"/>
  <c r="AX214" i="13"/>
  <c r="AW214" i="13"/>
  <c r="AV214" i="13"/>
  <c r="AN214" i="13"/>
  <c r="AL214" i="13"/>
  <c r="AK214" i="13"/>
  <c r="AH214" i="13"/>
  <c r="AG214" i="13"/>
  <c r="AF214" i="13"/>
  <c r="AD214" i="13"/>
  <c r="U214" i="13"/>
  <c r="P214" i="13"/>
  <c r="MI179" i="13"/>
  <c r="MH179" i="13"/>
  <c r="MG179" i="13"/>
  <c r="MF179" i="13"/>
  <c r="MD179" i="13"/>
  <c r="KF179" i="13"/>
  <c r="KE179" i="13"/>
  <c r="KD179" i="13"/>
  <c r="KB179" i="13"/>
  <c r="JT179" i="13"/>
  <c r="JR179" i="13"/>
  <c r="JM179" i="13"/>
  <c r="JL179" i="13"/>
  <c r="JK179" i="13"/>
  <c r="JJ179" i="13"/>
  <c r="JC179" i="13"/>
  <c r="JA179" i="13"/>
  <c r="IY179" i="13"/>
  <c r="IX179" i="13"/>
  <c r="IV179" i="13"/>
  <c r="IQ179" i="13"/>
  <c r="IN179" i="13"/>
  <c r="IM179" i="13"/>
  <c r="IL179" i="13"/>
  <c r="IK179" i="13"/>
  <c r="II179" i="13"/>
  <c r="IA179" i="13"/>
  <c r="HZ179" i="13"/>
  <c r="HY179" i="13"/>
  <c r="HI179" i="13"/>
  <c r="HG179" i="13"/>
  <c r="HF179" i="13"/>
  <c r="HE179" i="13"/>
  <c r="HD179" i="13"/>
  <c r="HC179" i="13"/>
  <c r="GS179" i="13"/>
  <c r="GR179" i="13"/>
  <c r="GP179" i="13"/>
  <c r="GM179" i="13"/>
  <c r="GK179" i="13"/>
  <c r="GD179" i="13"/>
  <c r="FW179" i="13"/>
  <c r="FV179" i="13"/>
  <c r="FU179" i="13"/>
  <c r="FT179" i="13"/>
  <c r="FS179" i="13"/>
  <c r="FR179" i="13"/>
  <c r="FQ179" i="13"/>
  <c r="FP179" i="13"/>
  <c r="FO179" i="13"/>
  <c r="FN179" i="13"/>
  <c r="FL179" i="13"/>
  <c r="FK179" i="13"/>
  <c r="FG179" i="13"/>
  <c r="FE179" i="13"/>
  <c r="FD179" i="13"/>
  <c r="FB179" i="13"/>
  <c r="EZ179" i="13"/>
  <c r="EX179" i="13"/>
  <c r="EW179" i="13"/>
  <c r="EV179" i="13"/>
  <c r="EU179" i="13"/>
  <c r="ER179" i="13"/>
  <c r="EQ179" i="13"/>
  <c r="EP179" i="13"/>
  <c r="EN179" i="13"/>
  <c r="EM179" i="13"/>
  <c r="EK179" i="13"/>
  <c r="EC179" i="13"/>
  <c r="EB179" i="13"/>
  <c r="EA179" i="13"/>
  <c r="DZ179" i="13"/>
  <c r="DX179" i="13"/>
  <c r="DV179" i="13"/>
  <c r="DT179" i="13"/>
  <c r="DS179" i="13"/>
  <c r="DR179" i="13"/>
  <c r="DI179" i="13"/>
  <c r="DH179" i="13"/>
  <c r="DG179" i="13"/>
  <c r="DF179" i="13"/>
  <c r="DC179" i="13"/>
  <c r="CY179" i="13"/>
  <c r="CU179" i="13"/>
  <c r="CS179" i="13"/>
  <c r="CR179" i="13"/>
  <c r="CP179" i="13"/>
  <c r="CK179" i="13"/>
  <c r="CJ179" i="13"/>
  <c r="CI179" i="13"/>
  <c r="CH179" i="13"/>
  <c r="CC179" i="13"/>
  <c r="CB179" i="13"/>
  <c r="CA179" i="13"/>
  <c r="BZ179" i="13"/>
  <c r="BW179" i="13"/>
  <c r="BV179" i="13"/>
  <c r="BS179" i="13"/>
  <c r="BL179" i="13"/>
  <c r="BJ179" i="13"/>
  <c r="BI179" i="13"/>
  <c r="BH179" i="13"/>
  <c r="BF179" i="13"/>
  <c r="BB179" i="13"/>
  <c r="BA179" i="13"/>
  <c r="AX179" i="13"/>
  <c r="AW179" i="13"/>
  <c r="AV179" i="13"/>
  <c r="AN179" i="13"/>
  <c r="AL179" i="13"/>
  <c r="AK179" i="13"/>
  <c r="AH179" i="13"/>
  <c r="AG179" i="13"/>
  <c r="AF179" i="13"/>
  <c r="AD179" i="13"/>
  <c r="U179" i="13"/>
  <c r="P179" i="13"/>
  <c r="MI156" i="13"/>
  <c r="MH156" i="13"/>
  <c r="MG156" i="13"/>
  <c r="MF156" i="13"/>
  <c r="MD156" i="13"/>
  <c r="KF156" i="13"/>
  <c r="KE156" i="13"/>
  <c r="KD156" i="13"/>
  <c r="KB156" i="13"/>
  <c r="JT156" i="13"/>
  <c r="JR156" i="13"/>
  <c r="JM156" i="13"/>
  <c r="JL156" i="13"/>
  <c r="JK156" i="13"/>
  <c r="JJ156" i="13"/>
  <c r="JC156" i="13"/>
  <c r="JA156" i="13"/>
  <c r="IY156" i="13"/>
  <c r="IX156" i="13"/>
  <c r="IV156" i="13"/>
  <c r="IQ156" i="13"/>
  <c r="IN156" i="13"/>
  <c r="IM156" i="13"/>
  <c r="IL156" i="13"/>
  <c r="IK156" i="13"/>
  <c r="II156" i="13"/>
  <c r="IA156" i="13"/>
  <c r="HZ156" i="13"/>
  <c r="HY156" i="13"/>
  <c r="HI156" i="13"/>
  <c r="HG156" i="13"/>
  <c r="HF156" i="13"/>
  <c r="HE156" i="13"/>
  <c r="HD156" i="13"/>
  <c r="HC156" i="13"/>
  <c r="GS156" i="13"/>
  <c r="GR156" i="13"/>
  <c r="GP156" i="13"/>
  <c r="GM156" i="13"/>
  <c r="GK156" i="13"/>
  <c r="GD156" i="13"/>
  <c r="FW156" i="13"/>
  <c r="FV156" i="13"/>
  <c r="FU156" i="13"/>
  <c r="FT156" i="13"/>
  <c r="FS156" i="13"/>
  <c r="FR156" i="13"/>
  <c r="FQ156" i="13"/>
  <c r="FP156" i="13"/>
  <c r="FO156" i="13"/>
  <c r="FN156" i="13"/>
  <c r="FL156" i="13"/>
  <c r="FK156" i="13"/>
  <c r="FG156" i="13"/>
  <c r="FE156" i="13"/>
  <c r="FD156" i="13"/>
  <c r="FB156" i="13"/>
  <c r="EZ156" i="13"/>
  <c r="EX156" i="13"/>
  <c r="EW156" i="13"/>
  <c r="EV156" i="13"/>
  <c r="EU156" i="13"/>
  <c r="ER156" i="13"/>
  <c r="EQ156" i="13"/>
  <c r="EP156" i="13"/>
  <c r="EN156" i="13"/>
  <c r="EM156" i="13"/>
  <c r="EK156" i="13"/>
  <c r="EC156" i="13"/>
  <c r="EB156" i="13"/>
  <c r="EA156" i="13"/>
  <c r="DZ156" i="13"/>
  <c r="DX156" i="13"/>
  <c r="DV156" i="13"/>
  <c r="DT156" i="13"/>
  <c r="DS156" i="13"/>
  <c r="DR156" i="13"/>
  <c r="DI156" i="13"/>
  <c r="DH156" i="13"/>
  <c r="DG156" i="13"/>
  <c r="DF156" i="13"/>
  <c r="DC156" i="13"/>
  <c r="CY156" i="13"/>
  <c r="CU156" i="13"/>
  <c r="CS156" i="13"/>
  <c r="CR156" i="13"/>
  <c r="CP156" i="13"/>
  <c r="CK156" i="13"/>
  <c r="CJ156" i="13"/>
  <c r="CI156" i="13"/>
  <c r="CH156" i="13"/>
  <c r="CC156" i="13"/>
  <c r="CB156" i="13"/>
  <c r="CA156" i="13"/>
  <c r="BZ156" i="13"/>
  <c r="BW156" i="13"/>
  <c r="BV156" i="13"/>
  <c r="BS156" i="13"/>
  <c r="BL156" i="13"/>
  <c r="BJ156" i="13"/>
  <c r="BI156" i="13"/>
  <c r="BH156" i="13"/>
  <c r="BF156" i="13"/>
  <c r="BB156" i="13"/>
  <c r="BA156" i="13"/>
  <c r="AX156" i="13"/>
  <c r="AW156" i="13"/>
  <c r="AV156" i="13"/>
  <c r="AN156" i="13"/>
  <c r="AL156" i="13"/>
  <c r="AK156" i="13"/>
  <c r="AH156" i="13"/>
  <c r="AG156" i="13"/>
  <c r="AF156" i="13"/>
  <c r="AD156" i="13"/>
  <c r="U156" i="13"/>
  <c r="P156" i="13"/>
  <c r="MI137" i="13"/>
  <c r="MH137" i="13"/>
  <c r="MG137" i="13"/>
  <c r="MF137" i="13"/>
  <c r="MD137" i="13"/>
  <c r="KF137" i="13"/>
  <c r="KE137" i="13"/>
  <c r="KD137" i="13"/>
  <c r="KB137" i="13"/>
  <c r="JT137" i="13"/>
  <c r="JR137" i="13"/>
  <c r="JM137" i="13"/>
  <c r="JL137" i="13"/>
  <c r="JK137" i="13"/>
  <c r="JJ137" i="13"/>
  <c r="JC137" i="13"/>
  <c r="JA137" i="13"/>
  <c r="IY137" i="13"/>
  <c r="IX137" i="13"/>
  <c r="IV137" i="13"/>
  <c r="IQ137" i="13"/>
  <c r="IN137" i="13"/>
  <c r="IM137" i="13"/>
  <c r="IL137" i="13"/>
  <c r="IK137" i="13"/>
  <c r="II137" i="13"/>
  <c r="IA137" i="13"/>
  <c r="HZ137" i="13"/>
  <c r="HY137" i="13"/>
  <c r="HI137" i="13"/>
  <c r="HG137" i="13"/>
  <c r="HF137" i="13"/>
  <c r="HE137" i="13"/>
  <c r="HD137" i="13"/>
  <c r="HC137" i="13"/>
  <c r="GS137" i="13"/>
  <c r="GR137" i="13"/>
  <c r="GP137" i="13"/>
  <c r="GM137" i="13"/>
  <c r="GK137" i="13"/>
  <c r="GD137" i="13"/>
  <c r="FW137" i="13"/>
  <c r="FV137" i="13"/>
  <c r="FU137" i="13"/>
  <c r="FT137" i="13"/>
  <c r="FS137" i="13"/>
  <c r="FR137" i="13"/>
  <c r="FQ137" i="13"/>
  <c r="FP137" i="13"/>
  <c r="FO137" i="13"/>
  <c r="FN137" i="13"/>
  <c r="FL137" i="13"/>
  <c r="FK137" i="13"/>
  <c r="FG137" i="13"/>
  <c r="FE137" i="13"/>
  <c r="FD137" i="13"/>
  <c r="FB137" i="13"/>
  <c r="EZ137" i="13"/>
  <c r="EX137" i="13"/>
  <c r="EW137" i="13"/>
  <c r="EV137" i="13"/>
  <c r="EU137" i="13"/>
  <c r="ER137" i="13"/>
  <c r="EQ137" i="13"/>
  <c r="EP137" i="13"/>
  <c r="EN137" i="13"/>
  <c r="EM137" i="13"/>
  <c r="EK137" i="13"/>
  <c r="EC137" i="13"/>
  <c r="EB137" i="13"/>
  <c r="EA137" i="13"/>
  <c r="DZ137" i="13"/>
  <c r="DX137" i="13"/>
  <c r="DV137" i="13"/>
  <c r="DT137" i="13"/>
  <c r="DS137" i="13"/>
  <c r="DR137" i="13"/>
  <c r="DI137" i="13"/>
  <c r="DH137" i="13"/>
  <c r="DG137" i="13"/>
  <c r="DF137" i="13"/>
  <c r="DC137" i="13"/>
  <c r="CY137" i="13"/>
  <c r="CU137" i="13"/>
  <c r="CS137" i="13"/>
  <c r="CR137" i="13"/>
  <c r="CP137" i="13"/>
  <c r="CK137" i="13"/>
  <c r="CJ137" i="13"/>
  <c r="CI137" i="13"/>
  <c r="CH137" i="13"/>
  <c r="CC137" i="13"/>
  <c r="CB137" i="13"/>
  <c r="CA137" i="13"/>
  <c r="BZ137" i="13"/>
  <c r="BW137" i="13"/>
  <c r="BV137" i="13"/>
  <c r="BS137" i="13"/>
  <c r="BL137" i="13"/>
  <c r="BJ137" i="13"/>
  <c r="BI137" i="13"/>
  <c r="BH137" i="13"/>
  <c r="BF137" i="13"/>
  <c r="BB137" i="13"/>
  <c r="BA137" i="13"/>
  <c r="AX137" i="13"/>
  <c r="AW137" i="13"/>
  <c r="AV137" i="13"/>
  <c r="AN137" i="13"/>
  <c r="AL137" i="13"/>
  <c r="AK137" i="13"/>
  <c r="AH137" i="13"/>
  <c r="AG137" i="13"/>
  <c r="AF137" i="13"/>
  <c r="AD137" i="13"/>
  <c r="U137" i="13"/>
  <c r="P137" i="13"/>
  <c r="MI135" i="13"/>
  <c r="MH135" i="13"/>
  <c r="MG135" i="13"/>
  <c r="MF135" i="13"/>
  <c r="MD135" i="13"/>
  <c r="KF135" i="13"/>
  <c r="KE135" i="13"/>
  <c r="KD135" i="13"/>
  <c r="KB135" i="13"/>
  <c r="JT135" i="13"/>
  <c r="JR135" i="13"/>
  <c r="JM135" i="13"/>
  <c r="JL135" i="13"/>
  <c r="JK135" i="13"/>
  <c r="JJ135" i="13"/>
  <c r="JC135" i="13"/>
  <c r="JA135" i="13"/>
  <c r="IY135" i="13"/>
  <c r="IX135" i="13"/>
  <c r="IV135" i="13"/>
  <c r="IQ135" i="13"/>
  <c r="IN135" i="13"/>
  <c r="IM135" i="13"/>
  <c r="IL135" i="13"/>
  <c r="IK135" i="13"/>
  <c r="II135" i="13"/>
  <c r="IA135" i="13"/>
  <c r="HZ135" i="13"/>
  <c r="HY135" i="13"/>
  <c r="HI135" i="13"/>
  <c r="HG135" i="13"/>
  <c r="HF135" i="13"/>
  <c r="HE135" i="13"/>
  <c r="HD135" i="13"/>
  <c r="HC135" i="13"/>
  <c r="GS135" i="13"/>
  <c r="GR135" i="13"/>
  <c r="GP135" i="13"/>
  <c r="GM135" i="13"/>
  <c r="GK135" i="13"/>
  <c r="GD135" i="13"/>
  <c r="FW135" i="13"/>
  <c r="FV135" i="13"/>
  <c r="FU135" i="13"/>
  <c r="FT135" i="13"/>
  <c r="FS135" i="13"/>
  <c r="FR135" i="13"/>
  <c r="FQ135" i="13"/>
  <c r="FP135" i="13"/>
  <c r="FO135" i="13"/>
  <c r="FN135" i="13"/>
  <c r="FL135" i="13"/>
  <c r="FK135" i="13"/>
  <c r="FG135" i="13"/>
  <c r="FE135" i="13"/>
  <c r="FD135" i="13"/>
  <c r="FB135" i="13"/>
  <c r="EZ135" i="13"/>
  <c r="EX135" i="13"/>
  <c r="EW135" i="13"/>
  <c r="EV135" i="13"/>
  <c r="EU135" i="13"/>
  <c r="ER135" i="13"/>
  <c r="EQ135" i="13"/>
  <c r="EP135" i="13"/>
  <c r="EN135" i="13"/>
  <c r="EM135" i="13"/>
  <c r="EK135" i="13"/>
  <c r="EC135" i="13"/>
  <c r="EB135" i="13"/>
  <c r="EA135" i="13"/>
  <c r="DZ135" i="13"/>
  <c r="DX135" i="13"/>
  <c r="DV135" i="13"/>
  <c r="DT135" i="13"/>
  <c r="DS135" i="13"/>
  <c r="DR135" i="13"/>
  <c r="DI135" i="13"/>
  <c r="DH135" i="13"/>
  <c r="DG135" i="13"/>
  <c r="DF135" i="13"/>
  <c r="DC135" i="13"/>
  <c r="CY135" i="13"/>
  <c r="CU135" i="13"/>
  <c r="CS135" i="13"/>
  <c r="CR135" i="13"/>
  <c r="CP135" i="13"/>
  <c r="CK135" i="13"/>
  <c r="CJ135" i="13"/>
  <c r="CI135" i="13"/>
  <c r="CH135" i="13"/>
  <c r="CC135" i="13"/>
  <c r="CB135" i="13"/>
  <c r="CA135" i="13"/>
  <c r="BZ135" i="13"/>
  <c r="BW135" i="13"/>
  <c r="BV135" i="13"/>
  <c r="BS135" i="13"/>
  <c r="BL135" i="13"/>
  <c r="BJ135" i="13"/>
  <c r="BI135" i="13"/>
  <c r="BH135" i="13"/>
  <c r="BF135" i="13"/>
  <c r="BB135" i="13"/>
  <c r="BA135" i="13"/>
  <c r="AX135" i="13"/>
  <c r="AW135" i="13"/>
  <c r="AV135" i="13"/>
  <c r="AN135" i="13"/>
  <c r="AL135" i="13"/>
  <c r="AK135" i="13"/>
  <c r="AH135" i="13"/>
  <c r="AG135" i="13"/>
  <c r="AF135" i="13"/>
  <c r="AD135" i="13"/>
  <c r="U135" i="13"/>
  <c r="P135" i="13"/>
  <c r="MI128" i="13"/>
  <c r="MH128" i="13"/>
  <c r="MG128" i="13"/>
  <c r="MF128" i="13"/>
  <c r="MD128" i="13"/>
  <c r="KF128" i="13"/>
  <c r="KE128" i="13"/>
  <c r="KD128" i="13"/>
  <c r="KB128" i="13"/>
  <c r="JT128" i="13"/>
  <c r="JR128" i="13"/>
  <c r="JM128" i="13"/>
  <c r="JL128" i="13"/>
  <c r="JK128" i="13"/>
  <c r="JJ128" i="13"/>
  <c r="JC128" i="13"/>
  <c r="JA128" i="13"/>
  <c r="IY128" i="13"/>
  <c r="IX128" i="13"/>
  <c r="IV128" i="13"/>
  <c r="IQ128" i="13"/>
  <c r="IN128" i="13"/>
  <c r="IM128" i="13"/>
  <c r="IL128" i="13"/>
  <c r="IK128" i="13"/>
  <c r="II128" i="13"/>
  <c r="IA128" i="13"/>
  <c r="HZ128" i="13"/>
  <c r="HY128" i="13"/>
  <c r="HI128" i="13"/>
  <c r="HG128" i="13"/>
  <c r="HF128" i="13"/>
  <c r="HE128" i="13"/>
  <c r="HD128" i="13"/>
  <c r="HC128" i="13"/>
  <c r="GS128" i="13"/>
  <c r="GR128" i="13"/>
  <c r="GP128" i="13"/>
  <c r="GM128" i="13"/>
  <c r="GK128" i="13"/>
  <c r="GD128" i="13"/>
  <c r="FW128" i="13"/>
  <c r="FV128" i="13"/>
  <c r="FU128" i="13"/>
  <c r="FT128" i="13"/>
  <c r="FS128" i="13"/>
  <c r="FR128" i="13"/>
  <c r="FQ128" i="13"/>
  <c r="FP128" i="13"/>
  <c r="FO128" i="13"/>
  <c r="FN128" i="13"/>
  <c r="FL128" i="13"/>
  <c r="FK128" i="13"/>
  <c r="FG128" i="13"/>
  <c r="FE128" i="13"/>
  <c r="FD128" i="13"/>
  <c r="FB128" i="13"/>
  <c r="EZ128" i="13"/>
  <c r="EX128" i="13"/>
  <c r="EW128" i="13"/>
  <c r="EV128" i="13"/>
  <c r="EU128" i="13"/>
  <c r="ER128" i="13"/>
  <c r="EQ128" i="13"/>
  <c r="EP128" i="13"/>
  <c r="EN128" i="13"/>
  <c r="EM128" i="13"/>
  <c r="EK128" i="13"/>
  <c r="EC128" i="13"/>
  <c r="EB128" i="13"/>
  <c r="EA128" i="13"/>
  <c r="DZ128" i="13"/>
  <c r="DX128" i="13"/>
  <c r="DV128" i="13"/>
  <c r="DT128" i="13"/>
  <c r="DS128" i="13"/>
  <c r="DR128" i="13"/>
  <c r="DI128" i="13"/>
  <c r="DH128" i="13"/>
  <c r="DG128" i="13"/>
  <c r="DF128" i="13"/>
  <c r="DC128" i="13"/>
  <c r="CY128" i="13"/>
  <c r="CU128" i="13"/>
  <c r="CS128" i="13"/>
  <c r="CR128" i="13"/>
  <c r="CP128" i="13"/>
  <c r="CK128" i="13"/>
  <c r="CJ128" i="13"/>
  <c r="CI128" i="13"/>
  <c r="CH128" i="13"/>
  <c r="CC128" i="13"/>
  <c r="CB128" i="13"/>
  <c r="CA128" i="13"/>
  <c r="BZ128" i="13"/>
  <c r="BW128" i="13"/>
  <c r="BV128" i="13"/>
  <c r="BS128" i="13"/>
  <c r="BL128" i="13"/>
  <c r="BJ128" i="13"/>
  <c r="BI128" i="13"/>
  <c r="BH128" i="13"/>
  <c r="BF128" i="13"/>
  <c r="BB128" i="13"/>
  <c r="BA128" i="13"/>
  <c r="AX128" i="13"/>
  <c r="AW128" i="13"/>
  <c r="AV128" i="13"/>
  <c r="AN128" i="13"/>
  <c r="AL128" i="13"/>
  <c r="AK128" i="13"/>
  <c r="AH128" i="13"/>
  <c r="AG128" i="13"/>
  <c r="AF128" i="13"/>
  <c r="AD128" i="13"/>
  <c r="U128" i="13"/>
  <c r="P128" i="13"/>
  <c r="MI52" i="13"/>
  <c r="MH52" i="13"/>
  <c r="MG52" i="13"/>
  <c r="MF52" i="13"/>
  <c r="MD52" i="13"/>
  <c r="KF52" i="13"/>
  <c r="KE52" i="13"/>
  <c r="KD52" i="13"/>
  <c r="KB52" i="13"/>
  <c r="JT52" i="13"/>
  <c r="JR52" i="13"/>
  <c r="JM52" i="13"/>
  <c r="JL52" i="13"/>
  <c r="JK52" i="13"/>
  <c r="JJ52" i="13"/>
  <c r="JC52" i="13"/>
  <c r="JA52" i="13"/>
  <c r="IY52" i="13"/>
  <c r="IX52" i="13"/>
  <c r="IV52" i="13"/>
  <c r="IQ52" i="13"/>
  <c r="IN52" i="13"/>
  <c r="IM52" i="13"/>
  <c r="IL52" i="13"/>
  <c r="IK52" i="13"/>
  <c r="II52" i="13"/>
  <c r="IA52" i="13"/>
  <c r="HZ52" i="13"/>
  <c r="HY52" i="13"/>
  <c r="HI52" i="13"/>
  <c r="HG52" i="13"/>
  <c r="HF52" i="13"/>
  <c r="HE52" i="13"/>
  <c r="HD52" i="13"/>
  <c r="HC52" i="13"/>
  <c r="GS52" i="13"/>
  <c r="GR52" i="13"/>
  <c r="GP52" i="13"/>
  <c r="GM52" i="13"/>
  <c r="GK52" i="13"/>
  <c r="GD52" i="13"/>
  <c r="FW52" i="13"/>
  <c r="FV52" i="13"/>
  <c r="FU52" i="13"/>
  <c r="FT52" i="13"/>
  <c r="FS52" i="13"/>
  <c r="FR52" i="13"/>
  <c r="FQ52" i="13"/>
  <c r="FP52" i="13"/>
  <c r="FO52" i="13"/>
  <c r="FN52" i="13"/>
  <c r="FL52" i="13"/>
  <c r="FK52" i="13"/>
  <c r="FG52" i="13"/>
  <c r="FE52" i="13"/>
  <c r="FD52" i="13"/>
  <c r="FB52" i="13"/>
  <c r="EZ52" i="13"/>
  <c r="EX52" i="13"/>
  <c r="EW52" i="13"/>
  <c r="EV52" i="13"/>
  <c r="EU52" i="13"/>
  <c r="ER52" i="13"/>
  <c r="EQ52" i="13"/>
  <c r="EP52" i="13"/>
  <c r="EN52" i="13"/>
  <c r="EM52" i="13"/>
  <c r="EK52" i="13"/>
  <c r="EC52" i="13"/>
  <c r="EB52" i="13"/>
  <c r="EA52" i="13"/>
  <c r="DZ52" i="13"/>
  <c r="DX52" i="13"/>
  <c r="DV52" i="13"/>
  <c r="DT52" i="13"/>
  <c r="DS52" i="13"/>
  <c r="DR52" i="13"/>
  <c r="DI52" i="13"/>
  <c r="DH52" i="13"/>
  <c r="DG52" i="13"/>
  <c r="DF52" i="13"/>
  <c r="DC52" i="13"/>
  <c r="CY52" i="13"/>
  <c r="CU52" i="13"/>
  <c r="CS52" i="13"/>
  <c r="CR52" i="13"/>
  <c r="CP52" i="13"/>
  <c r="CK52" i="13"/>
  <c r="CJ52" i="13"/>
  <c r="CI52" i="13"/>
  <c r="CH52" i="13"/>
  <c r="CC52" i="13"/>
  <c r="CB52" i="13"/>
  <c r="CA52" i="13"/>
  <c r="BZ52" i="13"/>
  <c r="BW52" i="13"/>
  <c r="BV52" i="13"/>
  <c r="BS52" i="13"/>
  <c r="BL52" i="13"/>
  <c r="BJ52" i="13"/>
  <c r="BI52" i="13"/>
  <c r="BH52" i="13"/>
  <c r="BF52" i="13"/>
  <c r="BB52" i="13"/>
  <c r="BA52" i="13"/>
  <c r="AX52" i="13"/>
  <c r="AW52" i="13"/>
  <c r="AV52" i="13"/>
  <c r="AN52" i="13"/>
  <c r="AL52" i="13"/>
  <c r="AK52" i="13"/>
  <c r="AH52" i="13"/>
  <c r="AG52" i="13"/>
  <c r="AF52" i="13"/>
  <c r="AD52" i="13"/>
  <c r="U52" i="13"/>
  <c r="P52" i="13"/>
  <c r="MI112" i="13"/>
  <c r="MH112" i="13"/>
  <c r="MG112" i="13"/>
  <c r="MF112" i="13"/>
  <c r="MD112" i="13"/>
  <c r="KF112" i="13"/>
  <c r="KE112" i="13"/>
  <c r="KD112" i="13"/>
  <c r="KB112" i="13"/>
  <c r="JT112" i="13"/>
  <c r="JR112" i="13"/>
  <c r="JM112" i="13"/>
  <c r="JL112" i="13"/>
  <c r="JK112" i="13"/>
  <c r="JJ112" i="13"/>
  <c r="JC112" i="13"/>
  <c r="JA112" i="13"/>
  <c r="IY112" i="13"/>
  <c r="IX112" i="13"/>
  <c r="IV112" i="13"/>
  <c r="IQ112" i="13"/>
  <c r="IN112" i="13"/>
  <c r="IM112" i="13"/>
  <c r="IL112" i="13"/>
  <c r="IK112" i="13"/>
  <c r="II112" i="13"/>
  <c r="IA112" i="13"/>
  <c r="HZ112" i="13"/>
  <c r="HY112" i="13"/>
  <c r="HI112" i="13"/>
  <c r="HG112" i="13"/>
  <c r="HF112" i="13"/>
  <c r="HE112" i="13"/>
  <c r="HD112" i="13"/>
  <c r="HC112" i="13"/>
  <c r="GS112" i="13"/>
  <c r="GR112" i="13"/>
  <c r="GP112" i="13"/>
  <c r="GM112" i="13"/>
  <c r="GK112" i="13"/>
  <c r="GD112" i="13"/>
  <c r="FW112" i="13"/>
  <c r="FV112" i="13"/>
  <c r="FU112" i="13"/>
  <c r="FT112" i="13"/>
  <c r="FS112" i="13"/>
  <c r="FR112" i="13"/>
  <c r="FQ112" i="13"/>
  <c r="FP112" i="13"/>
  <c r="FO112" i="13"/>
  <c r="FN112" i="13"/>
  <c r="FL112" i="13"/>
  <c r="FK112" i="13"/>
  <c r="FG112" i="13"/>
  <c r="FE112" i="13"/>
  <c r="FD112" i="13"/>
  <c r="FB112" i="13"/>
  <c r="EZ112" i="13"/>
  <c r="EX112" i="13"/>
  <c r="EW112" i="13"/>
  <c r="EV112" i="13"/>
  <c r="EU112" i="13"/>
  <c r="ER112" i="13"/>
  <c r="EQ112" i="13"/>
  <c r="EP112" i="13"/>
  <c r="EN112" i="13"/>
  <c r="EM112" i="13"/>
  <c r="EK112" i="13"/>
  <c r="EC112" i="13"/>
  <c r="EB112" i="13"/>
  <c r="EA112" i="13"/>
  <c r="DZ112" i="13"/>
  <c r="DX112" i="13"/>
  <c r="DV112" i="13"/>
  <c r="DT112" i="13"/>
  <c r="DS112" i="13"/>
  <c r="DR112" i="13"/>
  <c r="DI112" i="13"/>
  <c r="DH112" i="13"/>
  <c r="DG112" i="13"/>
  <c r="DF112" i="13"/>
  <c r="DC112" i="13"/>
  <c r="CY112" i="13"/>
  <c r="CU112" i="13"/>
  <c r="CS112" i="13"/>
  <c r="CR112" i="13"/>
  <c r="CP112" i="13"/>
  <c r="CK112" i="13"/>
  <c r="CJ112" i="13"/>
  <c r="CI112" i="13"/>
  <c r="CH112" i="13"/>
  <c r="CC112" i="13"/>
  <c r="CB112" i="13"/>
  <c r="CA112" i="13"/>
  <c r="BZ112" i="13"/>
  <c r="BW112" i="13"/>
  <c r="BV112" i="13"/>
  <c r="BS112" i="13"/>
  <c r="BL112" i="13"/>
  <c r="BJ112" i="13"/>
  <c r="BI112" i="13"/>
  <c r="BH112" i="13"/>
  <c r="BF112" i="13"/>
  <c r="BB112" i="13"/>
  <c r="BA112" i="13"/>
  <c r="AX112" i="13"/>
  <c r="AW112" i="13"/>
  <c r="AV112" i="13"/>
  <c r="AN112" i="13"/>
  <c r="AL112" i="13"/>
  <c r="AK112" i="13"/>
  <c r="AH112" i="13"/>
  <c r="AG112" i="13"/>
  <c r="AF112" i="13"/>
  <c r="AD112" i="13"/>
  <c r="U112" i="13"/>
  <c r="P112" i="13"/>
  <c r="MI103" i="13"/>
  <c r="MH103" i="13"/>
  <c r="MG103" i="13"/>
  <c r="MF103" i="13"/>
  <c r="MD103" i="13"/>
  <c r="KF103" i="13"/>
  <c r="KE103" i="13"/>
  <c r="KD103" i="13"/>
  <c r="KB103" i="13"/>
  <c r="JT103" i="13"/>
  <c r="JR103" i="13"/>
  <c r="JM103" i="13"/>
  <c r="JL103" i="13"/>
  <c r="JK103" i="13"/>
  <c r="JJ103" i="13"/>
  <c r="JC103" i="13"/>
  <c r="JA103" i="13"/>
  <c r="IY103" i="13"/>
  <c r="IX103" i="13"/>
  <c r="IV103" i="13"/>
  <c r="IQ103" i="13"/>
  <c r="IN103" i="13"/>
  <c r="IM103" i="13"/>
  <c r="IL103" i="13"/>
  <c r="IK103" i="13"/>
  <c r="II103" i="13"/>
  <c r="IA103" i="13"/>
  <c r="HZ103" i="13"/>
  <c r="HY103" i="13"/>
  <c r="HI103" i="13"/>
  <c r="HG103" i="13"/>
  <c r="HF103" i="13"/>
  <c r="HE103" i="13"/>
  <c r="HD103" i="13"/>
  <c r="HC103" i="13"/>
  <c r="GS103" i="13"/>
  <c r="GR103" i="13"/>
  <c r="GP103" i="13"/>
  <c r="GM103" i="13"/>
  <c r="GK103" i="13"/>
  <c r="GD103" i="13"/>
  <c r="FW103" i="13"/>
  <c r="FV103" i="13"/>
  <c r="FU103" i="13"/>
  <c r="FT103" i="13"/>
  <c r="FS103" i="13"/>
  <c r="FR103" i="13"/>
  <c r="FQ103" i="13"/>
  <c r="FP103" i="13"/>
  <c r="FO103" i="13"/>
  <c r="FN103" i="13"/>
  <c r="FL103" i="13"/>
  <c r="FK103" i="13"/>
  <c r="FG103" i="13"/>
  <c r="FE103" i="13"/>
  <c r="FD103" i="13"/>
  <c r="FB103" i="13"/>
  <c r="EZ103" i="13"/>
  <c r="EX103" i="13"/>
  <c r="EW103" i="13"/>
  <c r="EV103" i="13"/>
  <c r="EU103" i="13"/>
  <c r="ER103" i="13"/>
  <c r="EQ103" i="13"/>
  <c r="EP103" i="13"/>
  <c r="EN103" i="13"/>
  <c r="EM103" i="13"/>
  <c r="EK103" i="13"/>
  <c r="EC103" i="13"/>
  <c r="EB103" i="13"/>
  <c r="EA103" i="13"/>
  <c r="DZ103" i="13"/>
  <c r="DX103" i="13"/>
  <c r="DV103" i="13"/>
  <c r="DT103" i="13"/>
  <c r="DS103" i="13"/>
  <c r="DR103" i="13"/>
  <c r="DI103" i="13"/>
  <c r="DH103" i="13"/>
  <c r="DG103" i="13"/>
  <c r="DF103" i="13"/>
  <c r="DC103" i="13"/>
  <c r="CY103" i="13"/>
  <c r="CU103" i="13"/>
  <c r="CS103" i="13"/>
  <c r="CR103" i="13"/>
  <c r="CP103" i="13"/>
  <c r="CK103" i="13"/>
  <c r="CJ103" i="13"/>
  <c r="CI103" i="13"/>
  <c r="CH103" i="13"/>
  <c r="CC103" i="13"/>
  <c r="CB103" i="13"/>
  <c r="CA103" i="13"/>
  <c r="BZ103" i="13"/>
  <c r="BW103" i="13"/>
  <c r="BV103" i="13"/>
  <c r="BS103" i="13"/>
  <c r="BL103" i="13"/>
  <c r="BJ103" i="13"/>
  <c r="BI103" i="13"/>
  <c r="BH103" i="13"/>
  <c r="BF103" i="13"/>
  <c r="BB103" i="13"/>
  <c r="BA103" i="13"/>
  <c r="AX103" i="13"/>
  <c r="AW103" i="13"/>
  <c r="AV103" i="13"/>
  <c r="AN103" i="13"/>
  <c r="AL103" i="13"/>
  <c r="AK103" i="13"/>
  <c r="AH103" i="13"/>
  <c r="AG103" i="13"/>
  <c r="AF103" i="13"/>
  <c r="AD103" i="13"/>
  <c r="U103" i="13"/>
  <c r="P103" i="13"/>
  <c r="MI100" i="13"/>
  <c r="MH100" i="13"/>
  <c r="MG100" i="13"/>
  <c r="MF100" i="13"/>
  <c r="MD100" i="13"/>
  <c r="KF100" i="13"/>
  <c r="KE100" i="13"/>
  <c r="KD100" i="13"/>
  <c r="KB100" i="13"/>
  <c r="JT100" i="13"/>
  <c r="JR100" i="13"/>
  <c r="JM100" i="13"/>
  <c r="JL100" i="13"/>
  <c r="JK100" i="13"/>
  <c r="JJ100" i="13"/>
  <c r="JC100" i="13"/>
  <c r="JA100" i="13"/>
  <c r="IY100" i="13"/>
  <c r="IX100" i="13"/>
  <c r="IV100" i="13"/>
  <c r="IQ100" i="13"/>
  <c r="IN100" i="13"/>
  <c r="IM100" i="13"/>
  <c r="IL100" i="13"/>
  <c r="IK100" i="13"/>
  <c r="II100" i="13"/>
  <c r="IA100" i="13"/>
  <c r="HZ100" i="13"/>
  <c r="HY100" i="13"/>
  <c r="HI100" i="13"/>
  <c r="HG100" i="13"/>
  <c r="HF100" i="13"/>
  <c r="HE100" i="13"/>
  <c r="HD100" i="13"/>
  <c r="HC100" i="13"/>
  <c r="GS100" i="13"/>
  <c r="GR100" i="13"/>
  <c r="GP100" i="13"/>
  <c r="GM100" i="13"/>
  <c r="GK100" i="13"/>
  <c r="GD100" i="13"/>
  <c r="FW100" i="13"/>
  <c r="FV100" i="13"/>
  <c r="FU100" i="13"/>
  <c r="FT100" i="13"/>
  <c r="FS100" i="13"/>
  <c r="FR100" i="13"/>
  <c r="FQ100" i="13"/>
  <c r="FP100" i="13"/>
  <c r="FO100" i="13"/>
  <c r="FN100" i="13"/>
  <c r="FL100" i="13"/>
  <c r="FK100" i="13"/>
  <c r="FG100" i="13"/>
  <c r="FE100" i="13"/>
  <c r="FD100" i="13"/>
  <c r="FB100" i="13"/>
  <c r="EZ100" i="13"/>
  <c r="EX100" i="13"/>
  <c r="EW100" i="13"/>
  <c r="EV100" i="13"/>
  <c r="EU100" i="13"/>
  <c r="ER100" i="13"/>
  <c r="EQ100" i="13"/>
  <c r="EP100" i="13"/>
  <c r="EN100" i="13"/>
  <c r="EM100" i="13"/>
  <c r="EK100" i="13"/>
  <c r="EC100" i="13"/>
  <c r="EB100" i="13"/>
  <c r="EA100" i="13"/>
  <c r="DZ100" i="13"/>
  <c r="DX100" i="13"/>
  <c r="DV100" i="13"/>
  <c r="DT100" i="13"/>
  <c r="DS100" i="13"/>
  <c r="DR100" i="13"/>
  <c r="DI100" i="13"/>
  <c r="DH100" i="13"/>
  <c r="DG100" i="13"/>
  <c r="DF100" i="13"/>
  <c r="DC100" i="13"/>
  <c r="CY100" i="13"/>
  <c r="CU100" i="13"/>
  <c r="CS100" i="13"/>
  <c r="CR100" i="13"/>
  <c r="CP100" i="13"/>
  <c r="CK100" i="13"/>
  <c r="CJ100" i="13"/>
  <c r="CI100" i="13"/>
  <c r="CH100" i="13"/>
  <c r="CC100" i="13"/>
  <c r="CB100" i="13"/>
  <c r="CA100" i="13"/>
  <c r="BZ100" i="13"/>
  <c r="BW100" i="13"/>
  <c r="BV100" i="13"/>
  <c r="BS100" i="13"/>
  <c r="BL100" i="13"/>
  <c r="BJ100" i="13"/>
  <c r="BI100" i="13"/>
  <c r="BH100" i="13"/>
  <c r="BF100" i="13"/>
  <c r="BB100" i="13"/>
  <c r="BA100" i="13"/>
  <c r="AX100" i="13"/>
  <c r="AW100" i="13"/>
  <c r="AV100" i="13"/>
  <c r="AN100" i="13"/>
  <c r="AL100" i="13"/>
  <c r="AK100" i="13"/>
  <c r="AH100" i="13"/>
  <c r="AG100" i="13"/>
  <c r="AF100" i="13"/>
  <c r="AD100" i="13"/>
  <c r="U100" i="13"/>
  <c r="P100" i="13"/>
  <c r="MI56" i="13"/>
  <c r="MH56" i="13"/>
  <c r="MG56" i="13"/>
  <c r="MF56" i="13"/>
  <c r="MD56" i="13"/>
  <c r="KF56" i="13"/>
  <c r="KE56" i="13"/>
  <c r="KD56" i="13"/>
  <c r="KB56" i="13"/>
  <c r="JT56" i="13"/>
  <c r="JR56" i="13"/>
  <c r="JM56" i="13"/>
  <c r="JL56" i="13"/>
  <c r="JK56" i="13"/>
  <c r="JJ56" i="13"/>
  <c r="JC56" i="13"/>
  <c r="JA56" i="13"/>
  <c r="IY56" i="13"/>
  <c r="IX56" i="13"/>
  <c r="IV56" i="13"/>
  <c r="IQ56" i="13"/>
  <c r="IN56" i="13"/>
  <c r="IM56" i="13"/>
  <c r="IL56" i="13"/>
  <c r="IK56" i="13"/>
  <c r="II56" i="13"/>
  <c r="IA56" i="13"/>
  <c r="HZ56" i="13"/>
  <c r="HY56" i="13"/>
  <c r="HI56" i="13"/>
  <c r="HG56" i="13"/>
  <c r="HF56" i="13"/>
  <c r="HE56" i="13"/>
  <c r="HD56" i="13"/>
  <c r="HC56" i="13"/>
  <c r="GS56" i="13"/>
  <c r="GR56" i="13"/>
  <c r="GP56" i="13"/>
  <c r="GM56" i="13"/>
  <c r="GK56" i="13"/>
  <c r="GD56" i="13"/>
  <c r="FW56" i="13"/>
  <c r="FV56" i="13"/>
  <c r="FU56" i="13"/>
  <c r="FT56" i="13"/>
  <c r="FS56" i="13"/>
  <c r="FR56" i="13"/>
  <c r="FQ56" i="13"/>
  <c r="FP56" i="13"/>
  <c r="FO56" i="13"/>
  <c r="FN56" i="13"/>
  <c r="FL56" i="13"/>
  <c r="FK56" i="13"/>
  <c r="FG56" i="13"/>
  <c r="FE56" i="13"/>
  <c r="FD56" i="13"/>
  <c r="FB56" i="13"/>
  <c r="EZ56" i="13"/>
  <c r="EX56" i="13"/>
  <c r="EW56" i="13"/>
  <c r="EV56" i="13"/>
  <c r="EU56" i="13"/>
  <c r="ER56" i="13"/>
  <c r="EQ56" i="13"/>
  <c r="EP56" i="13"/>
  <c r="EN56" i="13"/>
  <c r="EM56" i="13"/>
  <c r="EK56" i="13"/>
  <c r="EC56" i="13"/>
  <c r="EB56" i="13"/>
  <c r="EA56" i="13"/>
  <c r="DZ56" i="13"/>
  <c r="DX56" i="13"/>
  <c r="DV56" i="13"/>
  <c r="DT56" i="13"/>
  <c r="DS56" i="13"/>
  <c r="DR56" i="13"/>
  <c r="DI56" i="13"/>
  <c r="DH56" i="13"/>
  <c r="DG56" i="13"/>
  <c r="DF56" i="13"/>
  <c r="DC56" i="13"/>
  <c r="CY56" i="13"/>
  <c r="CU56" i="13"/>
  <c r="CS56" i="13"/>
  <c r="CR56" i="13"/>
  <c r="CP56" i="13"/>
  <c r="CK56" i="13"/>
  <c r="CJ56" i="13"/>
  <c r="CI56" i="13"/>
  <c r="CH56" i="13"/>
  <c r="CC56" i="13"/>
  <c r="CB56" i="13"/>
  <c r="CA56" i="13"/>
  <c r="BZ56" i="13"/>
  <c r="BW56" i="13"/>
  <c r="BV56" i="13"/>
  <c r="BS56" i="13"/>
  <c r="BL56" i="13"/>
  <c r="BJ56" i="13"/>
  <c r="BI56" i="13"/>
  <c r="BH56" i="13"/>
  <c r="BF56" i="13"/>
  <c r="BB56" i="13"/>
  <c r="BA56" i="13"/>
  <c r="AX56" i="13"/>
  <c r="AW56" i="13"/>
  <c r="AV56" i="13"/>
  <c r="AN56" i="13"/>
  <c r="AL56" i="13"/>
  <c r="AK56" i="13"/>
  <c r="AH56" i="13"/>
  <c r="AG56" i="13"/>
  <c r="AF56" i="13"/>
  <c r="AD56" i="13"/>
  <c r="U56" i="13"/>
  <c r="P56" i="13"/>
  <c r="MI58" i="13"/>
  <c r="MH58" i="13"/>
  <c r="MG58" i="13"/>
  <c r="MF58" i="13"/>
  <c r="MD58" i="13"/>
  <c r="KF58" i="13"/>
  <c r="KE58" i="13"/>
  <c r="KD58" i="13"/>
  <c r="KB58" i="13"/>
  <c r="JT58" i="13"/>
  <c r="JR58" i="13"/>
  <c r="JM58" i="13"/>
  <c r="JL58" i="13"/>
  <c r="JK58" i="13"/>
  <c r="JJ58" i="13"/>
  <c r="JC58" i="13"/>
  <c r="JA58" i="13"/>
  <c r="IY58" i="13"/>
  <c r="IX58" i="13"/>
  <c r="IV58" i="13"/>
  <c r="IQ58" i="13"/>
  <c r="IN58" i="13"/>
  <c r="IM58" i="13"/>
  <c r="IL58" i="13"/>
  <c r="IK58" i="13"/>
  <c r="II58" i="13"/>
  <c r="IA58" i="13"/>
  <c r="HZ58" i="13"/>
  <c r="HY58" i="13"/>
  <c r="HI58" i="13"/>
  <c r="HG58" i="13"/>
  <c r="HF58" i="13"/>
  <c r="HE58" i="13"/>
  <c r="HD58" i="13"/>
  <c r="HC58" i="13"/>
  <c r="GS58" i="13"/>
  <c r="GR58" i="13"/>
  <c r="GP58" i="13"/>
  <c r="GM58" i="13"/>
  <c r="GK58" i="13"/>
  <c r="GD58" i="13"/>
  <c r="FW58" i="13"/>
  <c r="FV58" i="13"/>
  <c r="FU58" i="13"/>
  <c r="FT58" i="13"/>
  <c r="FS58" i="13"/>
  <c r="FR58" i="13"/>
  <c r="FQ58" i="13"/>
  <c r="FP58" i="13"/>
  <c r="FO58" i="13"/>
  <c r="FN58" i="13"/>
  <c r="FL58" i="13"/>
  <c r="FK58" i="13"/>
  <c r="FG58" i="13"/>
  <c r="FE58" i="13"/>
  <c r="FD58" i="13"/>
  <c r="FB58" i="13"/>
  <c r="EZ58" i="13"/>
  <c r="EX58" i="13"/>
  <c r="EW58" i="13"/>
  <c r="EV58" i="13"/>
  <c r="EU58" i="13"/>
  <c r="ER58" i="13"/>
  <c r="EQ58" i="13"/>
  <c r="EP58" i="13"/>
  <c r="EN58" i="13"/>
  <c r="EM58" i="13"/>
  <c r="EK58" i="13"/>
  <c r="EC58" i="13"/>
  <c r="EB58" i="13"/>
  <c r="EA58" i="13"/>
  <c r="DZ58" i="13"/>
  <c r="DX58" i="13"/>
  <c r="DV58" i="13"/>
  <c r="DT58" i="13"/>
  <c r="DS58" i="13"/>
  <c r="DR58" i="13"/>
  <c r="DI58" i="13"/>
  <c r="DH58" i="13"/>
  <c r="DG58" i="13"/>
  <c r="DF58" i="13"/>
  <c r="DC58" i="13"/>
  <c r="CY58" i="13"/>
  <c r="CU58" i="13"/>
  <c r="CS58" i="13"/>
  <c r="CR58" i="13"/>
  <c r="CP58" i="13"/>
  <c r="CK58" i="13"/>
  <c r="CJ58" i="13"/>
  <c r="CI58" i="13"/>
  <c r="CH58" i="13"/>
  <c r="CC58" i="13"/>
  <c r="CB58" i="13"/>
  <c r="CA58" i="13"/>
  <c r="BZ58" i="13"/>
  <c r="BW58" i="13"/>
  <c r="BV58" i="13"/>
  <c r="BS58" i="13"/>
  <c r="BL58" i="13"/>
  <c r="BJ58" i="13"/>
  <c r="BI58" i="13"/>
  <c r="BH58" i="13"/>
  <c r="BF58" i="13"/>
  <c r="BB58" i="13"/>
  <c r="BA58" i="13"/>
  <c r="AX58" i="13"/>
  <c r="AW58" i="13"/>
  <c r="AV58" i="13"/>
  <c r="AN58" i="13"/>
  <c r="AL58" i="13"/>
  <c r="AK58" i="13"/>
  <c r="AH58" i="13"/>
  <c r="AG58" i="13"/>
  <c r="AF58" i="13"/>
  <c r="AD58" i="13"/>
  <c r="U58" i="13"/>
  <c r="P58" i="13"/>
  <c r="MI49" i="13"/>
  <c r="MH49" i="13"/>
  <c r="MG49" i="13"/>
  <c r="MF49" i="13"/>
  <c r="MD49" i="13"/>
  <c r="KF49" i="13"/>
  <c r="KE49" i="13"/>
  <c r="KD49" i="13"/>
  <c r="KB49" i="13"/>
  <c r="JT49" i="13"/>
  <c r="JR49" i="13"/>
  <c r="JM49" i="13"/>
  <c r="JL49" i="13"/>
  <c r="JK49" i="13"/>
  <c r="JJ49" i="13"/>
  <c r="JC49" i="13"/>
  <c r="JA49" i="13"/>
  <c r="IY49" i="13"/>
  <c r="IX49" i="13"/>
  <c r="IV49" i="13"/>
  <c r="IQ49" i="13"/>
  <c r="IN49" i="13"/>
  <c r="IM49" i="13"/>
  <c r="IL49" i="13"/>
  <c r="IK49" i="13"/>
  <c r="II49" i="13"/>
  <c r="IA49" i="13"/>
  <c r="HZ49" i="13"/>
  <c r="HY49" i="13"/>
  <c r="HI49" i="13"/>
  <c r="HG49" i="13"/>
  <c r="HF49" i="13"/>
  <c r="HE49" i="13"/>
  <c r="HD49" i="13"/>
  <c r="HC49" i="13"/>
  <c r="GS49" i="13"/>
  <c r="GR49" i="13"/>
  <c r="GP49" i="13"/>
  <c r="GM49" i="13"/>
  <c r="GK49" i="13"/>
  <c r="GD49" i="13"/>
  <c r="FW49" i="13"/>
  <c r="FV49" i="13"/>
  <c r="FU49" i="13"/>
  <c r="FT49" i="13"/>
  <c r="FS49" i="13"/>
  <c r="FR49" i="13"/>
  <c r="FQ49" i="13"/>
  <c r="FP49" i="13"/>
  <c r="FO49" i="13"/>
  <c r="FN49" i="13"/>
  <c r="FL49" i="13"/>
  <c r="FK49" i="13"/>
  <c r="FG49" i="13"/>
  <c r="FE49" i="13"/>
  <c r="FD49" i="13"/>
  <c r="FB49" i="13"/>
  <c r="EZ49" i="13"/>
  <c r="EX49" i="13"/>
  <c r="EW49" i="13"/>
  <c r="EV49" i="13"/>
  <c r="EU49" i="13"/>
  <c r="ER49" i="13"/>
  <c r="EQ49" i="13"/>
  <c r="EP49" i="13"/>
  <c r="EN49" i="13"/>
  <c r="EM49" i="13"/>
  <c r="EK49" i="13"/>
  <c r="EC49" i="13"/>
  <c r="EB49" i="13"/>
  <c r="EA49" i="13"/>
  <c r="DZ49" i="13"/>
  <c r="DX49" i="13"/>
  <c r="DV49" i="13"/>
  <c r="DT49" i="13"/>
  <c r="DS49" i="13"/>
  <c r="DR49" i="13"/>
  <c r="DI49" i="13"/>
  <c r="DH49" i="13"/>
  <c r="DG49" i="13"/>
  <c r="DF49" i="13"/>
  <c r="DC49" i="13"/>
  <c r="CY49" i="13"/>
  <c r="CU49" i="13"/>
  <c r="CS49" i="13"/>
  <c r="CR49" i="13"/>
  <c r="CP49" i="13"/>
  <c r="CK49" i="13"/>
  <c r="CJ49" i="13"/>
  <c r="CI49" i="13"/>
  <c r="CH49" i="13"/>
  <c r="CC49" i="13"/>
  <c r="CB49" i="13"/>
  <c r="CA49" i="13"/>
  <c r="BZ49" i="13"/>
  <c r="BW49" i="13"/>
  <c r="BV49" i="13"/>
  <c r="BS49" i="13"/>
  <c r="BL49" i="13"/>
  <c r="BJ49" i="13"/>
  <c r="BI49" i="13"/>
  <c r="BH49" i="13"/>
  <c r="BF49" i="13"/>
  <c r="BB49" i="13"/>
  <c r="BA49" i="13"/>
  <c r="AX49" i="13"/>
  <c r="AW49" i="13"/>
  <c r="AV49" i="13"/>
  <c r="AN49" i="13"/>
  <c r="AL49" i="13"/>
  <c r="AK49" i="13"/>
  <c r="AH49" i="13"/>
  <c r="AG49" i="13"/>
  <c r="AF49" i="13"/>
  <c r="AD49" i="13"/>
  <c r="U49" i="13"/>
  <c r="P49" i="13"/>
  <c r="MI48" i="13"/>
  <c r="MH48" i="13"/>
  <c r="MG48" i="13"/>
  <c r="MF48" i="13"/>
  <c r="MD48" i="13"/>
  <c r="KF48" i="13"/>
  <c r="KE48" i="13"/>
  <c r="KD48" i="13"/>
  <c r="KB48" i="13"/>
  <c r="JT48" i="13"/>
  <c r="JR48" i="13"/>
  <c r="JM48" i="13"/>
  <c r="JL48" i="13"/>
  <c r="JK48" i="13"/>
  <c r="JJ48" i="13"/>
  <c r="JC48" i="13"/>
  <c r="JA48" i="13"/>
  <c r="IY48" i="13"/>
  <c r="IX48" i="13"/>
  <c r="IV48" i="13"/>
  <c r="IQ48" i="13"/>
  <c r="IN48" i="13"/>
  <c r="IM48" i="13"/>
  <c r="IL48" i="13"/>
  <c r="IK48" i="13"/>
  <c r="II48" i="13"/>
  <c r="IA48" i="13"/>
  <c r="HZ48" i="13"/>
  <c r="HY48" i="13"/>
  <c r="HI48" i="13"/>
  <c r="HG48" i="13"/>
  <c r="HF48" i="13"/>
  <c r="HE48" i="13"/>
  <c r="HD48" i="13"/>
  <c r="HC48" i="13"/>
  <c r="GS48" i="13"/>
  <c r="GR48" i="13"/>
  <c r="GP48" i="13"/>
  <c r="GM48" i="13"/>
  <c r="GK48" i="13"/>
  <c r="GD48" i="13"/>
  <c r="FW48" i="13"/>
  <c r="FV48" i="13"/>
  <c r="FU48" i="13"/>
  <c r="FT48" i="13"/>
  <c r="FS48" i="13"/>
  <c r="FR48" i="13"/>
  <c r="FQ48" i="13"/>
  <c r="FP48" i="13"/>
  <c r="FO48" i="13"/>
  <c r="FN48" i="13"/>
  <c r="FL48" i="13"/>
  <c r="FK48" i="13"/>
  <c r="FG48" i="13"/>
  <c r="FE48" i="13"/>
  <c r="FD48" i="13"/>
  <c r="FB48" i="13"/>
  <c r="EZ48" i="13"/>
  <c r="EX48" i="13"/>
  <c r="EW48" i="13"/>
  <c r="EV48" i="13"/>
  <c r="EU48" i="13"/>
  <c r="ER48" i="13"/>
  <c r="EQ48" i="13"/>
  <c r="EP48" i="13"/>
  <c r="EN48" i="13"/>
  <c r="EM48" i="13"/>
  <c r="EK48" i="13"/>
  <c r="EC48" i="13"/>
  <c r="EB48" i="13"/>
  <c r="EA48" i="13"/>
  <c r="DZ48" i="13"/>
  <c r="DX48" i="13"/>
  <c r="DV48" i="13"/>
  <c r="DT48" i="13"/>
  <c r="DS48" i="13"/>
  <c r="DR48" i="13"/>
  <c r="DI48" i="13"/>
  <c r="DH48" i="13"/>
  <c r="DG48" i="13"/>
  <c r="DF48" i="13"/>
  <c r="DC48" i="13"/>
  <c r="CY48" i="13"/>
  <c r="CU48" i="13"/>
  <c r="CS48" i="13"/>
  <c r="CR48" i="13"/>
  <c r="CP48" i="13"/>
  <c r="CK48" i="13"/>
  <c r="CJ48" i="13"/>
  <c r="CI48" i="13"/>
  <c r="CH48" i="13"/>
  <c r="CC48" i="13"/>
  <c r="CB48" i="13"/>
  <c r="CA48" i="13"/>
  <c r="BZ48" i="13"/>
  <c r="BW48" i="13"/>
  <c r="BV48" i="13"/>
  <c r="BS48" i="13"/>
  <c r="BL48" i="13"/>
  <c r="BJ48" i="13"/>
  <c r="BI48" i="13"/>
  <c r="BH48" i="13"/>
  <c r="BF48" i="13"/>
  <c r="BB48" i="13"/>
  <c r="BA48" i="13"/>
  <c r="AX48" i="13"/>
  <c r="AW48" i="13"/>
  <c r="AV48" i="13"/>
  <c r="AN48" i="13"/>
  <c r="AL48" i="13"/>
  <c r="AK48" i="13"/>
  <c r="AH48" i="13"/>
  <c r="AG48" i="13"/>
  <c r="AF48" i="13"/>
  <c r="AD48" i="13"/>
  <c r="U48" i="13"/>
  <c r="P48" i="13"/>
  <c r="MI37" i="13"/>
  <c r="MH37" i="13"/>
  <c r="MG37" i="13"/>
  <c r="MF37" i="13"/>
  <c r="MD37" i="13"/>
  <c r="KF37" i="13"/>
  <c r="KE37" i="13"/>
  <c r="KD37" i="13"/>
  <c r="KB37" i="13"/>
  <c r="JT37" i="13"/>
  <c r="JR37" i="13"/>
  <c r="JM37" i="13"/>
  <c r="JL37" i="13"/>
  <c r="JK37" i="13"/>
  <c r="JJ37" i="13"/>
  <c r="JC37" i="13"/>
  <c r="JA37" i="13"/>
  <c r="IY37" i="13"/>
  <c r="IX37" i="13"/>
  <c r="IV37" i="13"/>
  <c r="IQ37" i="13"/>
  <c r="IN37" i="13"/>
  <c r="IM37" i="13"/>
  <c r="IL37" i="13"/>
  <c r="IK37" i="13"/>
  <c r="II37" i="13"/>
  <c r="IA37" i="13"/>
  <c r="HZ37" i="13"/>
  <c r="HY37" i="13"/>
  <c r="HI37" i="13"/>
  <c r="HG37" i="13"/>
  <c r="HF37" i="13"/>
  <c r="HE37" i="13"/>
  <c r="HD37" i="13"/>
  <c r="HC37" i="13"/>
  <c r="GS37" i="13"/>
  <c r="GR37" i="13"/>
  <c r="GP37" i="13"/>
  <c r="GM37" i="13"/>
  <c r="GK37" i="13"/>
  <c r="GD37" i="13"/>
  <c r="FW37" i="13"/>
  <c r="FV37" i="13"/>
  <c r="FU37" i="13"/>
  <c r="FT37" i="13"/>
  <c r="FS37" i="13"/>
  <c r="FR37" i="13"/>
  <c r="FQ37" i="13"/>
  <c r="FP37" i="13"/>
  <c r="FO37" i="13"/>
  <c r="FN37" i="13"/>
  <c r="FL37" i="13"/>
  <c r="FK37" i="13"/>
  <c r="FG37" i="13"/>
  <c r="FE37" i="13"/>
  <c r="FD37" i="13"/>
  <c r="FB37" i="13"/>
  <c r="EZ37" i="13"/>
  <c r="EX37" i="13"/>
  <c r="EW37" i="13"/>
  <c r="EV37" i="13"/>
  <c r="EU37" i="13"/>
  <c r="ER37" i="13"/>
  <c r="EQ37" i="13"/>
  <c r="EP37" i="13"/>
  <c r="EN37" i="13"/>
  <c r="EM37" i="13"/>
  <c r="EK37" i="13"/>
  <c r="EC37" i="13"/>
  <c r="EB37" i="13"/>
  <c r="EA37" i="13"/>
  <c r="DZ37" i="13"/>
  <c r="DX37" i="13"/>
  <c r="DV37" i="13"/>
  <c r="DT37" i="13"/>
  <c r="DS37" i="13"/>
  <c r="DR37" i="13"/>
  <c r="DI37" i="13"/>
  <c r="DH37" i="13"/>
  <c r="DG37" i="13"/>
  <c r="DF37" i="13"/>
  <c r="DC37" i="13"/>
  <c r="CY37" i="13"/>
  <c r="CU37" i="13"/>
  <c r="CS37" i="13"/>
  <c r="CR37" i="13"/>
  <c r="CP37" i="13"/>
  <c r="CK37" i="13"/>
  <c r="CJ37" i="13"/>
  <c r="CI37" i="13"/>
  <c r="CH37" i="13"/>
  <c r="CC37" i="13"/>
  <c r="CB37" i="13"/>
  <c r="CA37" i="13"/>
  <c r="BZ37" i="13"/>
  <c r="BW37" i="13"/>
  <c r="BV37" i="13"/>
  <c r="BS37" i="13"/>
  <c r="BL37" i="13"/>
  <c r="BJ37" i="13"/>
  <c r="BI37" i="13"/>
  <c r="BH37" i="13"/>
  <c r="BF37" i="13"/>
  <c r="BB37" i="13"/>
  <c r="BA37" i="13"/>
  <c r="AX37" i="13"/>
  <c r="AW37" i="13"/>
  <c r="AV37" i="13"/>
  <c r="AN37" i="13"/>
  <c r="AL37" i="13"/>
  <c r="AK37" i="13"/>
  <c r="AH37" i="13"/>
  <c r="AG37" i="13"/>
  <c r="AF37" i="13"/>
  <c r="AD37" i="13"/>
  <c r="U37" i="13"/>
  <c r="P37" i="13"/>
  <c r="MI64" i="13"/>
  <c r="MH64" i="13"/>
  <c r="MG64" i="13"/>
  <c r="MF64" i="13"/>
  <c r="MD64" i="13"/>
  <c r="KF64" i="13"/>
  <c r="KE64" i="13"/>
  <c r="KD64" i="13"/>
  <c r="KB64" i="13"/>
  <c r="JT64" i="13"/>
  <c r="JR64" i="13"/>
  <c r="JM64" i="13"/>
  <c r="JL64" i="13"/>
  <c r="JK64" i="13"/>
  <c r="JJ64" i="13"/>
  <c r="JC64" i="13"/>
  <c r="JA64" i="13"/>
  <c r="IY64" i="13"/>
  <c r="IX64" i="13"/>
  <c r="IV64" i="13"/>
  <c r="IQ64" i="13"/>
  <c r="IN64" i="13"/>
  <c r="IM64" i="13"/>
  <c r="IL64" i="13"/>
  <c r="IK64" i="13"/>
  <c r="II64" i="13"/>
  <c r="IA64" i="13"/>
  <c r="HZ64" i="13"/>
  <c r="HY64" i="13"/>
  <c r="HI64" i="13"/>
  <c r="HG64" i="13"/>
  <c r="HF64" i="13"/>
  <c r="HE64" i="13"/>
  <c r="HD64" i="13"/>
  <c r="HC64" i="13"/>
  <c r="GS64" i="13"/>
  <c r="GR64" i="13"/>
  <c r="GP64" i="13"/>
  <c r="GM64" i="13"/>
  <c r="GK64" i="13"/>
  <c r="GD64" i="13"/>
  <c r="FW64" i="13"/>
  <c r="FV64" i="13"/>
  <c r="FU64" i="13"/>
  <c r="FT64" i="13"/>
  <c r="FS64" i="13"/>
  <c r="FR64" i="13"/>
  <c r="FQ64" i="13"/>
  <c r="FP64" i="13"/>
  <c r="FO64" i="13"/>
  <c r="FN64" i="13"/>
  <c r="FL64" i="13"/>
  <c r="FK64" i="13"/>
  <c r="FG64" i="13"/>
  <c r="FE64" i="13"/>
  <c r="FD64" i="13"/>
  <c r="FB64" i="13"/>
  <c r="EZ64" i="13"/>
  <c r="EX64" i="13"/>
  <c r="EW64" i="13"/>
  <c r="EV64" i="13"/>
  <c r="EU64" i="13"/>
  <c r="ER64" i="13"/>
  <c r="EQ64" i="13"/>
  <c r="EP64" i="13"/>
  <c r="EN64" i="13"/>
  <c r="EM64" i="13"/>
  <c r="EK64" i="13"/>
  <c r="EC64" i="13"/>
  <c r="EB64" i="13"/>
  <c r="EA64" i="13"/>
  <c r="DZ64" i="13"/>
  <c r="DX64" i="13"/>
  <c r="DV64" i="13"/>
  <c r="DT64" i="13"/>
  <c r="DS64" i="13"/>
  <c r="DR64" i="13"/>
  <c r="DI64" i="13"/>
  <c r="DH64" i="13"/>
  <c r="DG64" i="13"/>
  <c r="DF64" i="13"/>
  <c r="DC64" i="13"/>
  <c r="CY64" i="13"/>
  <c r="CU64" i="13"/>
  <c r="CS64" i="13"/>
  <c r="CR64" i="13"/>
  <c r="CP64" i="13"/>
  <c r="CK64" i="13"/>
  <c r="CJ64" i="13"/>
  <c r="CI64" i="13"/>
  <c r="CH64" i="13"/>
  <c r="CC64" i="13"/>
  <c r="CB64" i="13"/>
  <c r="CA64" i="13"/>
  <c r="BZ64" i="13"/>
  <c r="BW64" i="13"/>
  <c r="BV64" i="13"/>
  <c r="BS64" i="13"/>
  <c r="BL64" i="13"/>
  <c r="BJ64" i="13"/>
  <c r="BI64" i="13"/>
  <c r="BH64" i="13"/>
  <c r="BF64" i="13"/>
  <c r="BB64" i="13"/>
  <c r="BA64" i="13"/>
  <c r="AX64" i="13"/>
  <c r="AW64" i="13"/>
  <c r="AV64" i="13"/>
  <c r="AN64" i="13"/>
  <c r="AL64" i="13"/>
  <c r="AK64" i="13"/>
  <c r="AH64" i="13"/>
  <c r="AG64" i="13"/>
  <c r="AF64" i="13"/>
  <c r="AD64" i="13"/>
  <c r="U64" i="13"/>
  <c r="P64" i="13"/>
  <c r="MI34" i="13"/>
  <c r="MG34" i="13"/>
  <c r="MF34" i="13"/>
  <c r="KF34" i="13"/>
  <c r="KE34" i="13"/>
  <c r="KD34" i="13"/>
  <c r="JK34" i="13"/>
  <c r="JA34" i="13"/>
  <c r="IL34" i="13"/>
  <c r="ID34" i="13"/>
  <c r="HZ34" i="13"/>
  <c r="HY34" i="13"/>
  <c r="HC34" i="13"/>
  <c r="GS34" i="13"/>
  <c r="GR34" i="13"/>
  <c r="GP34" i="13"/>
  <c r="FK34" i="13"/>
  <c r="FG34" i="13"/>
  <c r="FF34" i="13"/>
  <c r="FE34" i="13"/>
  <c r="FD34" i="13"/>
  <c r="EW34" i="13"/>
  <c r="EV34" i="13"/>
  <c r="EQ34" i="13"/>
  <c r="EP34" i="13"/>
  <c r="DI34" i="13"/>
  <c r="DH34" i="13"/>
  <c r="DG34" i="13"/>
  <c r="DF34" i="13"/>
  <c r="CP34" i="13"/>
  <c r="CK34" i="13"/>
  <c r="CC34" i="13"/>
  <c r="CB34" i="13"/>
  <c r="CA34" i="13"/>
  <c r="BX34" i="13"/>
  <c r="BW34" i="13"/>
  <c r="BV34" i="13"/>
  <c r="BS34" i="13"/>
  <c r="BI34" i="13"/>
  <c r="BC34" i="13"/>
  <c r="BB34" i="13"/>
  <c r="BA34" i="13"/>
  <c r="AY34" i="13"/>
  <c r="AX34" i="13"/>
  <c r="AW34" i="13"/>
  <c r="AH34" i="13"/>
  <c r="AG34" i="13"/>
  <c r="P34" i="13"/>
  <c r="N34" i="13"/>
  <c r="MI90" i="13"/>
  <c r="MG90" i="13"/>
  <c r="MF90" i="13"/>
  <c r="KF90" i="13"/>
  <c r="KE90" i="13"/>
  <c r="KD90" i="13"/>
  <c r="JK90" i="13"/>
  <c r="JA90" i="13"/>
  <c r="IL90" i="13"/>
  <c r="ID90" i="13"/>
  <c r="HZ90" i="13"/>
  <c r="HY90" i="13"/>
  <c r="HC90" i="13"/>
  <c r="GS90" i="13"/>
  <c r="GR90" i="13"/>
  <c r="GP90" i="13"/>
  <c r="FK90" i="13"/>
  <c r="FG90" i="13"/>
  <c r="FF90" i="13"/>
  <c r="FE90" i="13"/>
  <c r="FD90" i="13"/>
  <c r="EW90" i="13"/>
  <c r="EV90" i="13"/>
  <c r="EQ90" i="13"/>
  <c r="EP90" i="13"/>
  <c r="DI90" i="13"/>
  <c r="DH90" i="13"/>
  <c r="DG90" i="13"/>
  <c r="DF90" i="13"/>
  <c r="CP90" i="13"/>
  <c r="CK90" i="13"/>
  <c r="CC90" i="13"/>
  <c r="CB90" i="13"/>
  <c r="CA90" i="13"/>
  <c r="BX90" i="13"/>
  <c r="BW90" i="13"/>
  <c r="BV90" i="13"/>
  <c r="BS90" i="13"/>
  <c r="BI90" i="13"/>
  <c r="BC90" i="13"/>
  <c r="BB90" i="13"/>
  <c r="BA90" i="13"/>
  <c r="AY90" i="13"/>
  <c r="AX90" i="13"/>
  <c r="AW90" i="13"/>
  <c r="AH90" i="13"/>
  <c r="AG90" i="13"/>
  <c r="P90" i="13"/>
  <c r="N90" i="13"/>
  <c r="MI234" i="13"/>
  <c r="MH234" i="13"/>
  <c r="MG234" i="13"/>
  <c r="MF234" i="13"/>
  <c r="MD234" i="13"/>
  <c r="KF234" i="13"/>
  <c r="KE234" i="13"/>
  <c r="KD234" i="13"/>
  <c r="KC234" i="13"/>
  <c r="KB234" i="13"/>
  <c r="JX234" i="13"/>
  <c r="JT234" i="13"/>
  <c r="JR234" i="13"/>
  <c r="JM234" i="13"/>
  <c r="JL234" i="13"/>
  <c r="JK234" i="13"/>
  <c r="JI234" i="13"/>
  <c r="JH234" i="13"/>
  <c r="JG234" i="13"/>
  <c r="JC234" i="13"/>
  <c r="JA234" i="13"/>
  <c r="IY234" i="13"/>
  <c r="IX234" i="13"/>
  <c r="IV234" i="13"/>
  <c r="IT234" i="13"/>
  <c r="IR234" i="13"/>
  <c r="IQ234" i="13"/>
  <c r="IN234" i="13"/>
  <c r="IM234" i="13"/>
  <c r="IL234" i="13"/>
  <c r="IK234" i="13"/>
  <c r="IJ234" i="13"/>
  <c r="II234" i="13"/>
  <c r="IE234" i="13"/>
  <c r="ID234" i="13"/>
  <c r="IA234" i="13"/>
  <c r="HZ234" i="13"/>
  <c r="HY234" i="13"/>
  <c r="HX234" i="13"/>
  <c r="HV234" i="13"/>
  <c r="HT234" i="13"/>
  <c r="HS234" i="13"/>
  <c r="HR234" i="13"/>
  <c r="HQ234" i="13"/>
  <c r="HP234" i="13"/>
  <c r="HO234" i="13"/>
  <c r="HN234" i="13"/>
  <c r="HM234" i="13"/>
  <c r="HK234" i="13"/>
  <c r="HI234" i="13"/>
  <c r="HG234" i="13"/>
  <c r="HF234" i="13"/>
  <c r="HE234" i="13"/>
  <c r="HD234" i="13"/>
  <c r="HC234" i="13"/>
  <c r="GO234" i="13"/>
  <c r="GM234" i="13"/>
  <c r="GK234" i="13"/>
  <c r="GD234" i="13"/>
  <c r="FW234" i="13"/>
  <c r="FV234" i="13"/>
  <c r="FU234" i="13"/>
  <c r="FT234" i="13"/>
  <c r="FS234" i="13"/>
  <c r="FR234" i="13"/>
  <c r="FQ234" i="13"/>
  <c r="FP234" i="13"/>
  <c r="FO234" i="13"/>
  <c r="FN234" i="13"/>
  <c r="FL234" i="13"/>
  <c r="FK234" i="13"/>
  <c r="FJ234" i="13"/>
  <c r="FG234" i="13"/>
  <c r="FF234" i="13"/>
  <c r="FE234" i="13"/>
  <c r="FD234" i="13"/>
  <c r="FC234" i="13"/>
  <c r="FB234" i="13"/>
  <c r="EZ234" i="13"/>
  <c r="EY234" i="13"/>
  <c r="EX234" i="13"/>
  <c r="EW234" i="13"/>
  <c r="EV234" i="13"/>
  <c r="EU234" i="13"/>
  <c r="ER234" i="13"/>
  <c r="EQ234" i="13"/>
  <c r="EP234" i="13"/>
  <c r="EO234" i="13"/>
  <c r="EN234" i="13"/>
  <c r="EM234" i="13"/>
  <c r="EL234" i="13"/>
  <c r="EK234" i="13"/>
  <c r="EC234" i="13"/>
  <c r="EB234" i="13"/>
  <c r="EA234" i="13"/>
  <c r="DZ234" i="13"/>
  <c r="DY234" i="13"/>
  <c r="DX234" i="13"/>
  <c r="DV234" i="13"/>
  <c r="DT234" i="13"/>
  <c r="DS234" i="13"/>
  <c r="DR234" i="13"/>
  <c r="DO234" i="13"/>
  <c r="DI234" i="13"/>
  <c r="DH234" i="13"/>
  <c r="DG234" i="13"/>
  <c r="DF234" i="13"/>
  <c r="DC234" i="13"/>
  <c r="CZ234" i="13"/>
  <c r="CY234" i="13"/>
  <c r="CX234" i="13"/>
  <c r="CW234" i="13"/>
  <c r="CV234" i="13"/>
  <c r="CU234" i="13"/>
  <c r="CS234" i="13"/>
  <c r="CR234" i="13"/>
  <c r="CP234" i="13"/>
  <c r="CM234" i="13"/>
  <c r="CL234" i="13"/>
  <c r="CK234" i="13"/>
  <c r="CJ234" i="13"/>
  <c r="CI234" i="13"/>
  <c r="CH234" i="13"/>
  <c r="CG234" i="13"/>
  <c r="CC234" i="13"/>
  <c r="CB234" i="13"/>
  <c r="CA234" i="13"/>
  <c r="BW234" i="13"/>
  <c r="BV234" i="13"/>
  <c r="BS234" i="13"/>
  <c r="BO234" i="13"/>
  <c r="BN234" i="13"/>
  <c r="BM234" i="13"/>
  <c r="BL234" i="13"/>
  <c r="BJ234" i="13"/>
  <c r="BI234" i="13"/>
  <c r="BH234" i="13"/>
  <c r="BE234" i="13"/>
  <c r="BB234" i="13"/>
  <c r="BA234" i="13"/>
  <c r="AY234" i="13"/>
  <c r="AX234" i="13"/>
  <c r="AW234" i="13"/>
  <c r="AU234" i="13"/>
  <c r="AN234" i="13"/>
  <c r="AL234" i="13"/>
  <c r="AK234" i="13"/>
  <c r="AJ234" i="13"/>
  <c r="AI234" i="13"/>
  <c r="AH234" i="13"/>
  <c r="AG234" i="13"/>
  <c r="AF234" i="13"/>
  <c r="AE234" i="13"/>
  <c r="AD234" i="13"/>
  <c r="AC234" i="13"/>
  <c r="Y234" i="13"/>
  <c r="X234" i="13"/>
  <c r="U234" i="13"/>
  <c r="T234" i="13"/>
  <c r="R234" i="13"/>
  <c r="Q234" i="13"/>
  <c r="P234" i="13"/>
  <c r="O234" i="13"/>
  <c r="N234" i="13"/>
  <c r="MI223" i="13"/>
  <c r="MH223" i="13"/>
  <c r="MG223" i="13"/>
  <c r="MF223" i="13"/>
  <c r="MD223" i="13"/>
  <c r="KF223" i="13"/>
  <c r="KE223" i="13"/>
  <c r="KD223" i="13"/>
  <c r="KC223" i="13"/>
  <c r="KB223" i="13"/>
  <c r="JX223" i="13"/>
  <c r="JT223" i="13"/>
  <c r="JR223" i="13"/>
  <c r="JM223" i="13"/>
  <c r="JL223" i="13"/>
  <c r="JK223" i="13"/>
  <c r="JI223" i="13"/>
  <c r="JH223" i="13"/>
  <c r="JG223" i="13"/>
  <c r="JC223" i="13"/>
  <c r="JA223" i="13"/>
  <c r="IY223" i="13"/>
  <c r="IX223" i="13"/>
  <c r="IV223" i="13"/>
  <c r="IT223" i="13"/>
  <c r="IR223" i="13"/>
  <c r="IQ223" i="13"/>
  <c r="IN223" i="13"/>
  <c r="IM223" i="13"/>
  <c r="IL223" i="13"/>
  <c r="IK223" i="13"/>
  <c r="IJ223" i="13"/>
  <c r="II223" i="13"/>
  <c r="IE223" i="13"/>
  <c r="ID223" i="13"/>
  <c r="IA223" i="13"/>
  <c r="HZ223" i="13"/>
  <c r="HY223" i="13"/>
  <c r="HX223" i="13"/>
  <c r="HV223" i="13"/>
  <c r="HT223" i="13"/>
  <c r="HS223" i="13"/>
  <c r="HR223" i="13"/>
  <c r="HQ223" i="13"/>
  <c r="HP223" i="13"/>
  <c r="HO223" i="13"/>
  <c r="HN223" i="13"/>
  <c r="HM223" i="13"/>
  <c r="HK223" i="13"/>
  <c r="HI223" i="13"/>
  <c r="HG223" i="13"/>
  <c r="HF223" i="13"/>
  <c r="HE223" i="13"/>
  <c r="HD223" i="13"/>
  <c r="HC223" i="13"/>
  <c r="GO223" i="13"/>
  <c r="GM223" i="13"/>
  <c r="GK223" i="13"/>
  <c r="GD223" i="13"/>
  <c r="FW223" i="13"/>
  <c r="FV223" i="13"/>
  <c r="FU223" i="13"/>
  <c r="FT223" i="13"/>
  <c r="FS223" i="13"/>
  <c r="FR223" i="13"/>
  <c r="FQ223" i="13"/>
  <c r="FP223" i="13"/>
  <c r="FO223" i="13"/>
  <c r="FN223" i="13"/>
  <c r="FL223" i="13"/>
  <c r="FK223" i="13"/>
  <c r="FJ223" i="13"/>
  <c r="FG223" i="13"/>
  <c r="FF223" i="13"/>
  <c r="FE223" i="13"/>
  <c r="FD223" i="13"/>
  <c r="FC223" i="13"/>
  <c r="FB223" i="13"/>
  <c r="EZ223" i="13"/>
  <c r="EY223" i="13"/>
  <c r="EX223" i="13"/>
  <c r="EW223" i="13"/>
  <c r="EV223" i="13"/>
  <c r="EU223" i="13"/>
  <c r="ER223" i="13"/>
  <c r="EQ223" i="13"/>
  <c r="EP223" i="13"/>
  <c r="EO223" i="13"/>
  <c r="EN223" i="13"/>
  <c r="EM223" i="13"/>
  <c r="EL223" i="13"/>
  <c r="EK223" i="13"/>
  <c r="EC223" i="13"/>
  <c r="EB223" i="13"/>
  <c r="EA223" i="13"/>
  <c r="DZ223" i="13"/>
  <c r="DY223" i="13"/>
  <c r="DX223" i="13"/>
  <c r="DV223" i="13"/>
  <c r="DT223" i="13"/>
  <c r="DS223" i="13"/>
  <c r="DR223" i="13"/>
  <c r="DO223" i="13"/>
  <c r="DI223" i="13"/>
  <c r="DH223" i="13"/>
  <c r="DG223" i="13"/>
  <c r="DF223" i="13"/>
  <c r="DC223" i="13"/>
  <c r="CZ223" i="13"/>
  <c r="CY223" i="13"/>
  <c r="CX223" i="13"/>
  <c r="CW223" i="13"/>
  <c r="CV223" i="13"/>
  <c r="CU223" i="13"/>
  <c r="CS223" i="13"/>
  <c r="CR223" i="13"/>
  <c r="CP223" i="13"/>
  <c r="CM223" i="13"/>
  <c r="CL223" i="13"/>
  <c r="CK223" i="13"/>
  <c r="CJ223" i="13"/>
  <c r="CI223" i="13"/>
  <c r="CH223" i="13"/>
  <c r="CG223" i="13"/>
  <c r="CC223" i="13"/>
  <c r="CB223" i="13"/>
  <c r="CA223" i="13"/>
  <c r="BW223" i="13"/>
  <c r="BV223" i="13"/>
  <c r="BS223" i="13"/>
  <c r="BO223" i="13"/>
  <c r="BN223" i="13"/>
  <c r="BM223" i="13"/>
  <c r="BL223" i="13"/>
  <c r="BJ223" i="13"/>
  <c r="BI223" i="13"/>
  <c r="BH223" i="13"/>
  <c r="BE223" i="13"/>
  <c r="BB223" i="13"/>
  <c r="BA223" i="13"/>
  <c r="AY223" i="13"/>
  <c r="AX223" i="13"/>
  <c r="AW223" i="13"/>
  <c r="AU223" i="13"/>
  <c r="AN223" i="13"/>
  <c r="AL223" i="13"/>
  <c r="AK223" i="13"/>
  <c r="AJ223" i="13"/>
  <c r="AI223" i="13"/>
  <c r="AH223" i="13"/>
  <c r="AG223" i="13"/>
  <c r="AF223" i="13"/>
  <c r="AE223" i="13"/>
  <c r="AD223" i="13"/>
  <c r="AC223" i="13"/>
  <c r="Y223" i="13"/>
  <c r="X223" i="13"/>
  <c r="U223" i="13"/>
  <c r="T223" i="13"/>
  <c r="R223" i="13"/>
  <c r="Q223" i="13"/>
  <c r="P223" i="13"/>
  <c r="O223" i="13"/>
  <c r="N223" i="13"/>
  <c r="MI211" i="13"/>
  <c r="MH211" i="13"/>
  <c r="MG211" i="13"/>
  <c r="MF211" i="13"/>
  <c r="MD211" i="13"/>
  <c r="KF211" i="13"/>
  <c r="KE211" i="13"/>
  <c r="KD211" i="13"/>
  <c r="KC211" i="13"/>
  <c r="KB211" i="13"/>
  <c r="JX211" i="13"/>
  <c r="JT211" i="13"/>
  <c r="JR211" i="13"/>
  <c r="JM211" i="13"/>
  <c r="JL211" i="13"/>
  <c r="JK211" i="13"/>
  <c r="JI211" i="13"/>
  <c r="JH211" i="13"/>
  <c r="JG211" i="13"/>
  <c r="JC211" i="13"/>
  <c r="JA211" i="13"/>
  <c r="IY211" i="13"/>
  <c r="IX211" i="13"/>
  <c r="IV211" i="13"/>
  <c r="IT211" i="13"/>
  <c r="IR211" i="13"/>
  <c r="IQ211" i="13"/>
  <c r="IN211" i="13"/>
  <c r="IM211" i="13"/>
  <c r="IL211" i="13"/>
  <c r="IK211" i="13"/>
  <c r="IJ211" i="13"/>
  <c r="II211" i="13"/>
  <c r="IE211" i="13"/>
  <c r="ID211" i="13"/>
  <c r="IA211" i="13"/>
  <c r="HZ211" i="13"/>
  <c r="HY211" i="13"/>
  <c r="HX211" i="13"/>
  <c r="HV211" i="13"/>
  <c r="HT211" i="13"/>
  <c r="HS211" i="13"/>
  <c r="HR211" i="13"/>
  <c r="HQ211" i="13"/>
  <c r="HP211" i="13"/>
  <c r="HO211" i="13"/>
  <c r="HN211" i="13"/>
  <c r="HM211" i="13"/>
  <c r="HK211" i="13"/>
  <c r="HI211" i="13"/>
  <c r="HG211" i="13"/>
  <c r="HF211" i="13"/>
  <c r="HE211" i="13"/>
  <c r="HD211" i="13"/>
  <c r="HC211" i="13"/>
  <c r="GO211" i="13"/>
  <c r="GM211" i="13"/>
  <c r="GK211" i="13"/>
  <c r="GD211" i="13"/>
  <c r="FW211" i="13"/>
  <c r="FV211" i="13"/>
  <c r="FU211" i="13"/>
  <c r="FT211" i="13"/>
  <c r="FS211" i="13"/>
  <c r="FR211" i="13"/>
  <c r="FQ211" i="13"/>
  <c r="FP211" i="13"/>
  <c r="FO211" i="13"/>
  <c r="FN211" i="13"/>
  <c r="FL211" i="13"/>
  <c r="FK211" i="13"/>
  <c r="FJ211" i="13"/>
  <c r="FG211" i="13"/>
  <c r="FF211" i="13"/>
  <c r="FE211" i="13"/>
  <c r="FD211" i="13"/>
  <c r="FC211" i="13"/>
  <c r="FB211" i="13"/>
  <c r="EZ211" i="13"/>
  <c r="EY211" i="13"/>
  <c r="EX211" i="13"/>
  <c r="EW211" i="13"/>
  <c r="EV211" i="13"/>
  <c r="EU211" i="13"/>
  <c r="ER211" i="13"/>
  <c r="EQ211" i="13"/>
  <c r="EP211" i="13"/>
  <c r="EO211" i="13"/>
  <c r="EN211" i="13"/>
  <c r="EM211" i="13"/>
  <c r="EL211" i="13"/>
  <c r="EK211" i="13"/>
  <c r="EC211" i="13"/>
  <c r="EB211" i="13"/>
  <c r="EA211" i="13"/>
  <c r="DZ211" i="13"/>
  <c r="DY211" i="13"/>
  <c r="DX211" i="13"/>
  <c r="DV211" i="13"/>
  <c r="DT211" i="13"/>
  <c r="DS211" i="13"/>
  <c r="DR211" i="13"/>
  <c r="DO211" i="13"/>
  <c r="DI211" i="13"/>
  <c r="DH211" i="13"/>
  <c r="DG211" i="13"/>
  <c r="DF211" i="13"/>
  <c r="DC211" i="13"/>
  <c r="CZ211" i="13"/>
  <c r="CY211" i="13"/>
  <c r="CX211" i="13"/>
  <c r="CW211" i="13"/>
  <c r="CV211" i="13"/>
  <c r="CU211" i="13"/>
  <c r="CS211" i="13"/>
  <c r="CR211" i="13"/>
  <c r="CP211" i="13"/>
  <c r="CM211" i="13"/>
  <c r="CL211" i="13"/>
  <c r="CK211" i="13"/>
  <c r="CJ211" i="13"/>
  <c r="CI211" i="13"/>
  <c r="CH211" i="13"/>
  <c r="CG211" i="13"/>
  <c r="CC211" i="13"/>
  <c r="CB211" i="13"/>
  <c r="CA211" i="13"/>
  <c r="BW211" i="13"/>
  <c r="BV211" i="13"/>
  <c r="BS211" i="13"/>
  <c r="BO211" i="13"/>
  <c r="BN211" i="13"/>
  <c r="BM211" i="13"/>
  <c r="BL211" i="13"/>
  <c r="BJ211" i="13"/>
  <c r="BI211" i="13"/>
  <c r="BH211" i="13"/>
  <c r="BE211" i="13"/>
  <c r="BB211" i="13"/>
  <c r="BA211" i="13"/>
  <c r="AY211" i="13"/>
  <c r="AX211" i="13"/>
  <c r="AW211" i="13"/>
  <c r="AU211" i="13"/>
  <c r="AN211" i="13"/>
  <c r="AL211" i="13"/>
  <c r="AK211" i="13"/>
  <c r="AJ211" i="13"/>
  <c r="AI211" i="13"/>
  <c r="AH211" i="13"/>
  <c r="AG211" i="13"/>
  <c r="AF211" i="13"/>
  <c r="AE211" i="13"/>
  <c r="AD211" i="13"/>
  <c r="AC211" i="13"/>
  <c r="Y211" i="13"/>
  <c r="X211" i="13"/>
  <c r="U211" i="13"/>
  <c r="T211" i="13"/>
  <c r="R211" i="13"/>
  <c r="Q211" i="13"/>
  <c r="P211" i="13"/>
  <c r="O211" i="13"/>
  <c r="N211" i="13"/>
  <c r="MI205" i="13"/>
  <c r="MH205" i="13"/>
  <c r="MG205" i="13"/>
  <c r="MF205" i="13"/>
  <c r="MD205" i="13"/>
  <c r="KF205" i="13"/>
  <c r="KE205" i="13"/>
  <c r="KD205" i="13"/>
  <c r="KC205" i="13"/>
  <c r="KB205" i="13"/>
  <c r="JX205" i="13"/>
  <c r="JT205" i="13"/>
  <c r="JR205" i="13"/>
  <c r="JM205" i="13"/>
  <c r="JL205" i="13"/>
  <c r="JK205" i="13"/>
  <c r="JI205" i="13"/>
  <c r="JH205" i="13"/>
  <c r="JG205" i="13"/>
  <c r="JC205" i="13"/>
  <c r="JA205" i="13"/>
  <c r="IY205" i="13"/>
  <c r="IX205" i="13"/>
  <c r="IV205" i="13"/>
  <c r="IT205" i="13"/>
  <c r="IR205" i="13"/>
  <c r="IQ205" i="13"/>
  <c r="IN205" i="13"/>
  <c r="IM205" i="13"/>
  <c r="IL205" i="13"/>
  <c r="IK205" i="13"/>
  <c r="IJ205" i="13"/>
  <c r="II205" i="13"/>
  <c r="IE205" i="13"/>
  <c r="ID205" i="13"/>
  <c r="IA205" i="13"/>
  <c r="HZ205" i="13"/>
  <c r="HY205" i="13"/>
  <c r="HX205" i="13"/>
  <c r="HV205" i="13"/>
  <c r="HT205" i="13"/>
  <c r="HS205" i="13"/>
  <c r="HR205" i="13"/>
  <c r="HQ205" i="13"/>
  <c r="HP205" i="13"/>
  <c r="HO205" i="13"/>
  <c r="HN205" i="13"/>
  <c r="HM205" i="13"/>
  <c r="HK205" i="13"/>
  <c r="HI205" i="13"/>
  <c r="HG205" i="13"/>
  <c r="HF205" i="13"/>
  <c r="HE205" i="13"/>
  <c r="HD205" i="13"/>
  <c r="HC205" i="13"/>
  <c r="GO205" i="13"/>
  <c r="GM205" i="13"/>
  <c r="GK205" i="13"/>
  <c r="GD205" i="13"/>
  <c r="FW205" i="13"/>
  <c r="FV205" i="13"/>
  <c r="FU205" i="13"/>
  <c r="FT205" i="13"/>
  <c r="FS205" i="13"/>
  <c r="FR205" i="13"/>
  <c r="FQ205" i="13"/>
  <c r="FP205" i="13"/>
  <c r="FO205" i="13"/>
  <c r="FN205" i="13"/>
  <c r="FL205" i="13"/>
  <c r="FK205" i="13"/>
  <c r="FJ205" i="13"/>
  <c r="FG205" i="13"/>
  <c r="FF205" i="13"/>
  <c r="FE205" i="13"/>
  <c r="FD205" i="13"/>
  <c r="FC205" i="13"/>
  <c r="FB205" i="13"/>
  <c r="EZ205" i="13"/>
  <c r="EY205" i="13"/>
  <c r="EX205" i="13"/>
  <c r="EW205" i="13"/>
  <c r="EV205" i="13"/>
  <c r="EU205" i="13"/>
  <c r="ER205" i="13"/>
  <c r="EQ205" i="13"/>
  <c r="EP205" i="13"/>
  <c r="EO205" i="13"/>
  <c r="EN205" i="13"/>
  <c r="EM205" i="13"/>
  <c r="EL205" i="13"/>
  <c r="EK205" i="13"/>
  <c r="EC205" i="13"/>
  <c r="EB205" i="13"/>
  <c r="EA205" i="13"/>
  <c r="DZ205" i="13"/>
  <c r="DY205" i="13"/>
  <c r="DX205" i="13"/>
  <c r="DV205" i="13"/>
  <c r="DT205" i="13"/>
  <c r="DS205" i="13"/>
  <c r="DR205" i="13"/>
  <c r="DO205" i="13"/>
  <c r="DI205" i="13"/>
  <c r="DH205" i="13"/>
  <c r="DG205" i="13"/>
  <c r="DF205" i="13"/>
  <c r="DC205" i="13"/>
  <c r="CZ205" i="13"/>
  <c r="CY205" i="13"/>
  <c r="CX205" i="13"/>
  <c r="CW205" i="13"/>
  <c r="CV205" i="13"/>
  <c r="CU205" i="13"/>
  <c r="CS205" i="13"/>
  <c r="CR205" i="13"/>
  <c r="CP205" i="13"/>
  <c r="CM205" i="13"/>
  <c r="CL205" i="13"/>
  <c r="CK205" i="13"/>
  <c r="CJ205" i="13"/>
  <c r="CI205" i="13"/>
  <c r="CH205" i="13"/>
  <c r="CG205" i="13"/>
  <c r="CC205" i="13"/>
  <c r="CB205" i="13"/>
  <c r="CA205" i="13"/>
  <c r="BW205" i="13"/>
  <c r="BV205" i="13"/>
  <c r="BS205" i="13"/>
  <c r="BO205" i="13"/>
  <c r="BN205" i="13"/>
  <c r="BM205" i="13"/>
  <c r="BL205" i="13"/>
  <c r="BJ205" i="13"/>
  <c r="BI205" i="13"/>
  <c r="BH205" i="13"/>
  <c r="BE205" i="13"/>
  <c r="BB205" i="13"/>
  <c r="BA205" i="13"/>
  <c r="AY205" i="13"/>
  <c r="AX205" i="13"/>
  <c r="AW205" i="13"/>
  <c r="AU205" i="13"/>
  <c r="AN205" i="13"/>
  <c r="AL205" i="13"/>
  <c r="AK205" i="13"/>
  <c r="AJ205" i="13"/>
  <c r="AI205" i="13"/>
  <c r="AH205" i="13"/>
  <c r="AG205" i="13"/>
  <c r="AF205" i="13"/>
  <c r="AE205" i="13"/>
  <c r="AD205" i="13"/>
  <c r="AC205" i="13"/>
  <c r="Y205" i="13"/>
  <c r="X205" i="13"/>
  <c r="U205" i="13"/>
  <c r="T205" i="13"/>
  <c r="R205" i="13"/>
  <c r="Q205" i="13"/>
  <c r="P205" i="13"/>
  <c r="O205" i="13"/>
  <c r="N205" i="13"/>
  <c r="MI193" i="13"/>
  <c r="MH193" i="13"/>
  <c r="MG193" i="13"/>
  <c r="MF193" i="13"/>
  <c r="MD193" i="13"/>
  <c r="KF193" i="13"/>
  <c r="KE193" i="13"/>
  <c r="KD193" i="13"/>
  <c r="KC193" i="13"/>
  <c r="KB193" i="13"/>
  <c r="JX193" i="13"/>
  <c r="JT193" i="13"/>
  <c r="JR193" i="13"/>
  <c r="JM193" i="13"/>
  <c r="JL193" i="13"/>
  <c r="JK193" i="13"/>
  <c r="JI193" i="13"/>
  <c r="JH193" i="13"/>
  <c r="JG193" i="13"/>
  <c r="JC193" i="13"/>
  <c r="JA193" i="13"/>
  <c r="IY193" i="13"/>
  <c r="IX193" i="13"/>
  <c r="IV193" i="13"/>
  <c r="IT193" i="13"/>
  <c r="IR193" i="13"/>
  <c r="IQ193" i="13"/>
  <c r="IN193" i="13"/>
  <c r="IM193" i="13"/>
  <c r="IL193" i="13"/>
  <c r="IK193" i="13"/>
  <c r="IJ193" i="13"/>
  <c r="II193" i="13"/>
  <c r="IE193" i="13"/>
  <c r="ID193" i="13"/>
  <c r="IA193" i="13"/>
  <c r="HZ193" i="13"/>
  <c r="HY193" i="13"/>
  <c r="HX193" i="13"/>
  <c r="HV193" i="13"/>
  <c r="HT193" i="13"/>
  <c r="HS193" i="13"/>
  <c r="HR193" i="13"/>
  <c r="HQ193" i="13"/>
  <c r="HP193" i="13"/>
  <c r="HO193" i="13"/>
  <c r="HN193" i="13"/>
  <c r="HM193" i="13"/>
  <c r="HK193" i="13"/>
  <c r="HI193" i="13"/>
  <c r="HG193" i="13"/>
  <c r="HF193" i="13"/>
  <c r="HE193" i="13"/>
  <c r="HD193" i="13"/>
  <c r="HC193" i="13"/>
  <c r="GO193" i="13"/>
  <c r="GM193" i="13"/>
  <c r="GK193" i="13"/>
  <c r="GD193" i="13"/>
  <c r="FW193" i="13"/>
  <c r="FV193" i="13"/>
  <c r="FU193" i="13"/>
  <c r="FT193" i="13"/>
  <c r="FS193" i="13"/>
  <c r="FR193" i="13"/>
  <c r="FQ193" i="13"/>
  <c r="FP193" i="13"/>
  <c r="FO193" i="13"/>
  <c r="FN193" i="13"/>
  <c r="FL193" i="13"/>
  <c r="FK193" i="13"/>
  <c r="FJ193" i="13"/>
  <c r="FG193" i="13"/>
  <c r="FF193" i="13"/>
  <c r="FE193" i="13"/>
  <c r="FD193" i="13"/>
  <c r="FC193" i="13"/>
  <c r="FB193" i="13"/>
  <c r="EZ193" i="13"/>
  <c r="EY193" i="13"/>
  <c r="EX193" i="13"/>
  <c r="EW193" i="13"/>
  <c r="EV193" i="13"/>
  <c r="EU193" i="13"/>
  <c r="ER193" i="13"/>
  <c r="EQ193" i="13"/>
  <c r="EP193" i="13"/>
  <c r="EO193" i="13"/>
  <c r="EN193" i="13"/>
  <c r="EM193" i="13"/>
  <c r="EL193" i="13"/>
  <c r="EK193" i="13"/>
  <c r="EC193" i="13"/>
  <c r="EB193" i="13"/>
  <c r="EA193" i="13"/>
  <c r="DZ193" i="13"/>
  <c r="DY193" i="13"/>
  <c r="DX193" i="13"/>
  <c r="DV193" i="13"/>
  <c r="DT193" i="13"/>
  <c r="DS193" i="13"/>
  <c r="DR193" i="13"/>
  <c r="DO193" i="13"/>
  <c r="DI193" i="13"/>
  <c r="DH193" i="13"/>
  <c r="DG193" i="13"/>
  <c r="DF193" i="13"/>
  <c r="DC193" i="13"/>
  <c r="CZ193" i="13"/>
  <c r="CY193" i="13"/>
  <c r="CX193" i="13"/>
  <c r="CW193" i="13"/>
  <c r="CV193" i="13"/>
  <c r="CU193" i="13"/>
  <c r="CS193" i="13"/>
  <c r="CR193" i="13"/>
  <c r="CP193" i="13"/>
  <c r="CM193" i="13"/>
  <c r="CL193" i="13"/>
  <c r="CK193" i="13"/>
  <c r="CJ193" i="13"/>
  <c r="CI193" i="13"/>
  <c r="CH193" i="13"/>
  <c r="CG193" i="13"/>
  <c r="CC193" i="13"/>
  <c r="CB193" i="13"/>
  <c r="CA193" i="13"/>
  <c r="BW193" i="13"/>
  <c r="BV193" i="13"/>
  <c r="BS193" i="13"/>
  <c r="BO193" i="13"/>
  <c r="BN193" i="13"/>
  <c r="BM193" i="13"/>
  <c r="BL193" i="13"/>
  <c r="BJ193" i="13"/>
  <c r="BI193" i="13"/>
  <c r="BH193" i="13"/>
  <c r="BE193" i="13"/>
  <c r="BB193" i="13"/>
  <c r="BA193" i="13"/>
  <c r="AY193" i="13"/>
  <c r="AX193" i="13"/>
  <c r="AW193" i="13"/>
  <c r="AU193" i="13"/>
  <c r="AN193" i="13"/>
  <c r="AL193" i="13"/>
  <c r="AK193" i="13"/>
  <c r="AJ193" i="13"/>
  <c r="AI193" i="13"/>
  <c r="AH193" i="13"/>
  <c r="AG193" i="13"/>
  <c r="AF193" i="13"/>
  <c r="AE193" i="13"/>
  <c r="AD193" i="13"/>
  <c r="AC193" i="13"/>
  <c r="Y193" i="13"/>
  <c r="X193" i="13"/>
  <c r="U193" i="13"/>
  <c r="T193" i="13"/>
  <c r="R193" i="13"/>
  <c r="Q193" i="13"/>
  <c r="P193" i="13"/>
  <c r="O193" i="13"/>
  <c r="N193" i="13"/>
  <c r="MI192" i="13"/>
  <c r="MH192" i="13"/>
  <c r="MG192" i="13"/>
  <c r="MF192" i="13"/>
  <c r="MD192" i="13"/>
  <c r="KF192" i="13"/>
  <c r="KE192" i="13"/>
  <c r="KD192" i="13"/>
  <c r="KC192" i="13"/>
  <c r="KB192" i="13"/>
  <c r="JX192" i="13"/>
  <c r="JT192" i="13"/>
  <c r="JR192" i="13"/>
  <c r="JM192" i="13"/>
  <c r="JL192" i="13"/>
  <c r="JK192" i="13"/>
  <c r="JI192" i="13"/>
  <c r="JH192" i="13"/>
  <c r="JG192" i="13"/>
  <c r="JC192" i="13"/>
  <c r="JA192" i="13"/>
  <c r="IY192" i="13"/>
  <c r="IX192" i="13"/>
  <c r="IV192" i="13"/>
  <c r="IT192" i="13"/>
  <c r="IR192" i="13"/>
  <c r="IQ192" i="13"/>
  <c r="IN192" i="13"/>
  <c r="IM192" i="13"/>
  <c r="IL192" i="13"/>
  <c r="IK192" i="13"/>
  <c r="IJ192" i="13"/>
  <c r="II192" i="13"/>
  <c r="IE192" i="13"/>
  <c r="ID192" i="13"/>
  <c r="IA192" i="13"/>
  <c r="HZ192" i="13"/>
  <c r="HY192" i="13"/>
  <c r="HX192" i="13"/>
  <c r="HV192" i="13"/>
  <c r="HT192" i="13"/>
  <c r="HS192" i="13"/>
  <c r="HR192" i="13"/>
  <c r="HQ192" i="13"/>
  <c r="HP192" i="13"/>
  <c r="HO192" i="13"/>
  <c r="HN192" i="13"/>
  <c r="HM192" i="13"/>
  <c r="HK192" i="13"/>
  <c r="HI192" i="13"/>
  <c r="HG192" i="13"/>
  <c r="HF192" i="13"/>
  <c r="HE192" i="13"/>
  <c r="HD192" i="13"/>
  <c r="HC192" i="13"/>
  <c r="GO192" i="13"/>
  <c r="GM192" i="13"/>
  <c r="GK192" i="13"/>
  <c r="GD192" i="13"/>
  <c r="FW192" i="13"/>
  <c r="FV192" i="13"/>
  <c r="FU192" i="13"/>
  <c r="FT192" i="13"/>
  <c r="FS192" i="13"/>
  <c r="FR192" i="13"/>
  <c r="FQ192" i="13"/>
  <c r="FP192" i="13"/>
  <c r="FO192" i="13"/>
  <c r="FN192" i="13"/>
  <c r="FL192" i="13"/>
  <c r="FK192" i="13"/>
  <c r="FJ192" i="13"/>
  <c r="FG192" i="13"/>
  <c r="FF192" i="13"/>
  <c r="FE192" i="13"/>
  <c r="FD192" i="13"/>
  <c r="FC192" i="13"/>
  <c r="FB192" i="13"/>
  <c r="EZ192" i="13"/>
  <c r="EY192" i="13"/>
  <c r="EX192" i="13"/>
  <c r="EW192" i="13"/>
  <c r="EV192" i="13"/>
  <c r="EU192" i="13"/>
  <c r="ER192" i="13"/>
  <c r="EQ192" i="13"/>
  <c r="EP192" i="13"/>
  <c r="EO192" i="13"/>
  <c r="EN192" i="13"/>
  <c r="EM192" i="13"/>
  <c r="EL192" i="13"/>
  <c r="EK192" i="13"/>
  <c r="EC192" i="13"/>
  <c r="EB192" i="13"/>
  <c r="EA192" i="13"/>
  <c r="DZ192" i="13"/>
  <c r="DY192" i="13"/>
  <c r="DX192" i="13"/>
  <c r="DV192" i="13"/>
  <c r="DT192" i="13"/>
  <c r="DS192" i="13"/>
  <c r="DR192" i="13"/>
  <c r="DO192" i="13"/>
  <c r="DI192" i="13"/>
  <c r="DH192" i="13"/>
  <c r="DG192" i="13"/>
  <c r="DF192" i="13"/>
  <c r="DC192" i="13"/>
  <c r="CZ192" i="13"/>
  <c r="CY192" i="13"/>
  <c r="CX192" i="13"/>
  <c r="CW192" i="13"/>
  <c r="CV192" i="13"/>
  <c r="CU192" i="13"/>
  <c r="CS192" i="13"/>
  <c r="CR192" i="13"/>
  <c r="CP192" i="13"/>
  <c r="CM192" i="13"/>
  <c r="CL192" i="13"/>
  <c r="CK192" i="13"/>
  <c r="CJ192" i="13"/>
  <c r="CI192" i="13"/>
  <c r="CH192" i="13"/>
  <c r="CG192" i="13"/>
  <c r="CC192" i="13"/>
  <c r="CB192" i="13"/>
  <c r="CA192" i="13"/>
  <c r="BW192" i="13"/>
  <c r="BV192" i="13"/>
  <c r="BS192" i="13"/>
  <c r="BO192" i="13"/>
  <c r="BN192" i="13"/>
  <c r="BM192" i="13"/>
  <c r="BL192" i="13"/>
  <c r="BJ192" i="13"/>
  <c r="BI192" i="13"/>
  <c r="BH192" i="13"/>
  <c r="BE192" i="13"/>
  <c r="BB192" i="13"/>
  <c r="BA192" i="13"/>
  <c r="AY192" i="13"/>
  <c r="AX192" i="13"/>
  <c r="AW192" i="13"/>
  <c r="AU192" i="13"/>
  <c r="AN192" i="13"/>
  <c r="AL192" i="13"/>
  <c r="AK192" i="13"/>
  <c r="AJ192" i="13"/>
  <c r="AI192" i="13"/>
  <c r="AH192" i="13"/>
  <c r="AG192" i="13"/>
  <c r="AF192" i="13"/>
  <c r="AE192" i="13"/>
  <c r="AD192" i="13"/>
  <c r="AC192" i="13"/>
  <c r="Y192" i="13"/>
  <c r="X192" i="13"/>
  <c r="U192" i="13"/>
  <c r="T192" i="13"/>
  <c r="R192" i="13"/>
  <c r="Q192" i="13"/>
  <c r="P192" i="13"/>
  <c r="O192" i="13"/>
  <c r="N192" i="13"/>
  <c r="MI176" i="13"/>
  <c r="MH176" i="13"/>
  <c r="MG176" i="13"/>
  <c r="MF176" i="13"/>
  <c r="MD176" i="13"/>
  <c r="KF176" i="13"/>
  <c r="KE176" i="13"/>
  <c r="KD176" i="13"/>
  <c r="KC176" i="13"/>
  <c r="KB176" i="13"/>
  <c r="JX176" i="13"/>
  <c r="JT176" i="13"/>
  <c r="JR176" i="13"/>
  <c r="JM176" i="13"/>
  <c r="JL176" i="13"/>
  <c r="JK176" i="13"/>
  <c r="JI176" i="13"/>
  <c r="JH176" i="13"/>
  <c r="JG176" i="13"/>
  <c r="JC176" i="13"/>
  <c r="JA176" i="13"/>
  <c r="IY176" i="13"/>
  <c r="IX176" i="13"/>
  <c r="IV176" i="13"/>
  <c r="IT176" i="13"/>
  <c r="IR176" i="13"/>
  <c r="IQ176" i="13"/>
  <c r="IN176" i="13"/>
  <c r="IM176" i="13"/>
  <c r="IL176" i="13"/>
  <c r="IK176" i="13"/>
  <c r="IJ176" i="13"/>
  <c r="II176" i="13"/>
  <c r="IE176" i="13"/>
  <c r="ID176" i="13"/>
  <c r="IA176" i="13"/>
  <c r="HZ176" i="13"/>
  <c r="HY176" i="13"/>
  <c r="HX176" i="13"/>
  <c r="HV176" i="13"/>
  <c r="HT176" i="13"/>
  <c r="HS176" i="13"/>
  <c r="HR176" i="13"/>
  <c r="HQ176" i="13"/>
  <c r="HP176" i="13"/>
  <c r="HO176" i="13"/>
  <c r="HN176" i="13"/>
  <c r="HM176" i="13"/>
  <c r="HK176" i="13"/>
  <c r="HI176" i="13"/>
  <c r="HG176" i="13"/>
  <c r="HF176" i="13"/>
  <c r="HE176" i="13"/>
  <c r="HD176" i="13"/>
  <c r="HC176" i="13"/>
  <c r="GO176" i="13"/>
  <c r="GM176" i="13"/>
  <c r="GK176" i="13"/>
  <c r="GD176" i="13"/>
  <c r="FW176" i="13"/>
  <c r="FV176" i="13"/>
  <c r="FU176" i="13"/>
  <c r="FT176" i="13"/>
  <c r="FS176" i="13"/>
  <c r="FR176" i="13"/>
  <c r="FQ176" i="13"/>
  <c r="FP176" i="13"/>
  <c r="FO176" i="13"/>
  <c r="FN176" i="13"/>
  <c r="FL176" i="13"/>
  <c r="FK176" i="13"/>
  <c r="FJ176" i="13"/>
  <c r="FG176" i="13"/>
  <c r="FF176" i="13"/>
  <c r="FE176" i="13"/>
  <c r="FD176" i="13"/>
  <c r="FC176" i="13"/>
  <c r="FB176" i="13"/>
  <c r="EZ176" i="13"/>
  <c r="EY176" i="13"/>
  <c r="EX176" i="13"/>
  <c r="EW176" i="13"/>
  <c r="EV176" i="13"/>
  <c r="EU176" i="13"/>
  <c r="ER176" i="13"/>
  <c r="EQ176" i="13"/>
  <c r="EP176" i="13"/>
  <c r="EO176" i="13"/>
  <c r="EN176" i="13"/>
  <c r="EM176" i="13"/>
  <c r="EL176" i="13"/>
  <c r="EK176" i="13"/>
  <c r="EC176" i="13"/>
  <c r="EB176" i="13"/>
  <c r="EA176" i="13"/>
  <c r="DZ176" i="13"/>
  <c r="DY176" i="13"/>
  <c r="DX176" i="13"/>
  <c r="DV176" i="13"/>
  <c r="DT176" i="13"/>
  <c r="DS176" i="13"/>
  <c r="DR176" i="13"/>
  <c r="DO176" i="13"/>
  <c r="DI176" i="13"/>
  <c r="DH176" i="13"/>
  <c r="DG176" i="13"/>
  <c r="DF176" i="13"/>
  <c r="DC176" i="13"/>
  <c r="CZ176" i="13"/>
  <c r="CY176" i="13"/>
  <c r="CX176" i="13"/>
  <c r="CW176" i="13"/>
  <c r="CV176" i="13"/>
  <c r="CU176" i="13"/>
  <c r="CS176" i="13"/>
  <c r="CR176" i="13"/>
  <c r="CP176" i="13"/>
  <c r="CM176" i="13"/>
  <c r="CL176" i="13"/>
  <c r="CK176" i="13"/>
  <c r="CJ176" i="13"/>
  <c r="CI176" i="13"/>
  <c r="CH176" i="13"/>
  <c r="CG176" i="13"/>
  <c r="CC176" i="13"/>
  <c r="CB176" i="13"/>
  <c r="CA176" i="13"/>
  <c r="BW176" i="13"/>
  <c r="BV176" i="13"/>
  <c r="BS176" i="13"/>
  <c r="BO176" i="13"/>
  <c r="BN176" i="13"/>
  <c r="BM176" i="13"/>
  <c r="BL176" i="13"/>
  <c r="BJ176" i="13"/>
  <c r="BI176" i="13"/>
  <c r="BH176" i="13"/>
  <c r="BE176" i="13"/>
  <c r="BB176" i="13"/>
  <c r="BA176" i="13"/>
  <c r="AY176" i="13"/>
  <c r="AX176" i="13"/>
  <c r="AW176" i="13"/>
  <c r="AU176" i="13"/>
  <c r="AN176" i="13"/>
  <c r="AL176" i="13"/>
  <c r="AK176" i="13"/>
  <c r="AJ176" i="13"/>
  <c r="AI176" i="13"/>
  <c r="AH176" i="13"/>
  <c r="AG176" i="13"/>
  <c r="AF176" i="13"/>
  <c r="AE176" i="13"/>
  <c r="AD176" i="13"/>
  <c r="AC176" i="13"/>
  <c r="Y176" i="13"/>
  <c r="X176" i="13"/>
  <c r="U176" i="13"/>
  <c r="T176" i="13"/>
  <c r="R176" i="13"/>
  <c r="Q176" i="13"/>
  <c r="P176" i="13"/>
  <c r="O176" i="13"/>
  <c r="N176" i="13"/>
  <c r="MI167" i="13"/>
  <c r="MH167" i="13"/>
  <c r="MG167" i="13"/>
  <c r="MF167" i="13"/>
  <c r="MD167" i="13"/>
  <c r="KF167" i="13"/>
  <c r="KE167" i="13"/>
  <c r="KD167" i="13"/>
  <c r="KC167" i="13"/>
  <c r="KB167" i="13"/>
  <c r="JX167" i="13"/>
  <c r="JT167" i="13"/>
  <c r="JR167" i="13"/>
  <c r="JM167" i="13"/>
  <c r="JL167" i="13"/>
  <c r="JK167" i="13"/>
  <c r="JI167" i="13"/>
  <c r="JH167" i="13"/>
  <c r="JG167" i="13"/>
  <c r="JC167" i="13"/>
  <c r="JA167" i="13"/>
  <c r="IY167" i="13"/>
  <c r="IX167" i="13"/>
  <c r="IV167" i="13"/>
  <c r="IT167" i="13"/>
  <c r="IR167" i="13"/>
  <c r="IQ167" i="13"/>
  <c r="IN167" i="13"/>
  <c r="IM167" i="13"/>
  <c r="IL167" i="13"/>
  <c r="IK167" i="13"/>
  <c r="IJ167" i="13"/>
  <c r="II167" i="13"/>
  <c r="IE167" i="13"/>
  <c r="ID167" i="13"/>
  <c r="IA167" i="13"/>
  <c r="HZ167" i="13"/>
  <c r="HY167" i="13"/>
  <c r="HX167" i="13"/>
  <c r="HV167" i="13"/>
  <c r="HT167" i="13"/>
  <c r="HS167" i="13"/>
  <c r="HR167" i="13"/>
  <c r="HQ167" i="13"/>
  <c r="HP167" i="13"/>
  <c r="HO167" i="13"/>
  <c r="HN167" i="13"/>
  <c r="HM167" i="13"/>
  <c r="HK167" i="13"/>
  <c r="HI167" i="13"/>
  <c r="HG167" i="13"/>
  <c r="HF167" i="13"/>
  <c r="HE167" i="13"/>
  <c r="HD167" i="13"/>
  <c r="HC167" i="13"/>
  <c r="GO167" i="13"/>
  <c r="GM167" i="13"/>
  <c r="GK167" i="13"/>
  <c r="GD167" i="13"/>
  <c r="FW167" i="13"/>
  <c r="FV167" i="13"/>
  <c r="FU167" i="13"/>
  <c r="FT167" i="13"/>
  <c r="FS167" i="13"/>
  <c r="FR167" i="13"/>
  <c r="FQ167" i="13"/>
  <c r="FP167" i="13"/>
  <c r="FO167" i="13"/>
  <c r="FN167" i="13"/>
  <c r="FL167" i="13"/>
  <c r="FK167" i="13"/>
  <c r="FJ167" i="13"/>
  <c r="FG167" i="13"/>
  <c r="FF167" i="13"/>
  <c r="FE167" i="13"/>
  <c r="FD167" i="13"/>
  <c r="FC167" i="13"/>
  <c r="FB167" i="13"/>
  <c r="EZ167" i="13"/>
  <c r="EY167" i="13"/>
  <c r="EX167" i="13"/>
  <c r="EW167" i="13"/>
  <c r="EV167" i="13"/>
  <c r="EU167" i="13"/>
  <c r="ER167" i="13"/>
  <c r="EQ167" i="13"/>
  <c r="EP167" i="13"/>
  <c r="EO167" i="13"/>
  <c r="EN167" i="13"/>
  <c r="EM167" i="13"/>
  <c r="EL167" i="13"/>
  <c r="EK167" i="13"/>
  <c r="EC167" i="13"/>
  <c r="EB167" i="13"/>
  <c r="EA167" i="13"/>
  <c r="DZ167" i="13"/>
  <c r="DY167" i="13"/>
  <c r="DX167" i="13"/>
  <c r="DV167" i="13"/>
  <c r="DT167" i="13"/>
  <c r="DS167" i="13"/>
  <c r="DR167" i="13"/>
  <c r="DO167" i="13"/>
  <c r="DI167" i="13"/>
  <c r="DH167" i="13"/>
  <c r="DG167" i="13"/>
  <c r="DF167" i="13"/>
  <c r="DC167" i="13"/>
  <c r="CZ167" i="13"/>
  <c r="CY167" i="13"/>
  <c r="CX167" i="13"/>
  <c r="CW167" i="13"/>
  <c r="CV167" i="13"/>
  <c r="CU167" i="13"/>
  <c r="CS167" i="13"/>
  <c r="CR167" i="13"/>
  <c r="CP167" i="13"/>
  <c r="CM167" i="13"/>
  <c r="CL167" i="13"/>
  <c r="CK167" i="13"/>
  <c r="CJ167" i="13"/>
  <c r="CI167" i="13"/>
  <c r="CH167" i="13"/>
  <c r="CG167" i="13"/>
  <c r="CC167" i="13"/>
  <c r="CB167" i="13"/>
  <c r="CA167" i="13"/>
  <c r="BW167" i="13"/>
  <c r="BV167" i="13"/>
  <c r="BS167" i="13"/>
  <c r="BO167" i="13"/>
  <c r="BN167" i="13"/>
  <c r="BM167" i="13"/>
  <c r="BL167" i="13"/>
  <c r="BJ167" i="13"/>
  <c r="BI167" i="13"/>
  <c r="BH167" i="13"/>
  <c r="BE167" i="13"/>
  <c r="BB167" i="13"/>
  <c r="BA167" i="13"/>
  <c r="AY167" i="13"/>
  <c r="AX167" i="13"/>
  <c r="AW167" i="13"/>
  <c r="AU167" i="13"/>
  <c r="AN167" i="13"/>
  <c r="AL167" i="13"/>
  <c r="AK167" i="13"/>
  <c r="AJ167" i="13"/>
  <c r="AI167" i="13"/>
  <c r="AH167" i="13"/>
  <c r="AG167" i="13"/>
  <c r="AF167" i="13"/>
  <c r="AE167" i="13"/>
  <c r="AD167" i="13"/>
  <c r="AC167" i="13"/>
  <c r="Y167" i="13"/>
  <c r="X167" i="13"/>
  <c r="U167" i="13"/>
  <c r="T167" i="13"/>
  <c r="R167" i="13"/>
  <c r="Q167" i="13"/>
  <c r="P167" i="13"/>
  <c r="O167" i="13"/>
  <c r="N167" i="13"/>
  <c r="MI159" i="13"/>
  <c r="MH159" i="13"/>
  <c r="MG159" i="13"/>
  <c r="MF159" i="13"/>
  <c r="MD159" i="13"/>
  <c r="KF159" i="13"/>
  <c r="KE159" i="13"/>
  <c r="KD159" i="13"/>
  <c r="KC159" i="13"/>
  <c r="KB159" i="13"/>
  <c r="JX159" i="13"/>
  <c r="JT159" i="13"/>
  <c r="JR159" i="13"/>
  <c r="JM159" i="13"/>
  <c r="JL159" i="13"/>
  <c r="JK159" i="13"/>
  <c r="JI159" i="13"/>
  <c r="JH159" i="13"/>
  <c r="JG159" i="13"/>
  <c r="JC159" i="13"/>
  <c r="JA159" i="13"/>
  <c r="IY159" i="13"/>
  <c r="IX159" i="13"/>
  <c r="IV159" i="13"/>
  <c r="IT159" i="13"/>
  <c r="IR159" i="13"/>
  <c r="IQ159" i="13"/>
  <c r="IN159" i="13"/>
  <c r="IM159" i="13"/>
  <c r="IL159" i="13"/>
  <c r="IK159" i="13"/>
  <c r="IJ159" i="13"/>
  <c r="II159" i="13"/>
  <c r="IE159" i="13"/>
  <c r="ID159" i="13"/>
  <c r="IA159" i="13"/>
  <c r="HZ159" i="13"/>
  <c r="HY159" i="13"/>
  <c r="HX159" i="13"/>
  <c r="HV159" i="13"/>
  <c r="HT159" i="13"/>
  <c r="HS159" i="13"/>
  <c r="HR159" i="13"/>
  <c r="HQ159" i="13"/>
  <c r="HP159" i="13"/>
  <c r="HO159" i="13"/>
  <c r="HN159" i="13"/>
  <c r="HM159" i="13"/>
  <c r="HK159" i="13"/>
  <c r="HI159" i="13"/>
  <c r="HG159" i="13"/>
  <c r="HF159" i="13"/>
  <c r="HE159" i="13"/>
  <c r="HD159" i="13"/>
  <c r="HC159" i="13"/>
  <c r="GO159" i="13"/>
  <c r="GM159" i="13"/>
  <c r="GK159" i="13"/>
  <c r="GD159" i="13"/>
  <c r="FW159" i="13"/>
  <c r="FV159" i="13"/>
  <c r="FU159" i="13"/>
  <c r="FT159" i="13"/>
  <c r="FS159" i="13"/>
  <c r="FR159" i="13"/>
  <c r="FQ159" i="13"/>
  <c r="FP159" i="13"/>
  <c r="FO159" i="13"/>
  <c r="FN159" i="13"/>
  <c r="FL159" i="13"/>
  <c r="FK159" i="13"/>
  <c r="FJ159" i="13"/>
  <c r="FG159" i="13"/>
  <c r="FF159" i="13"/>
  <c r="FE159" i="13"/>
  <c r="FD159" i="13"/>
  <c r="FC159" i="13"/>
  <c r="FB159" i="13"/>
  <c r="EZ159" i="13"/>
  <c r="EY159" i="13"/>
  <c r="EX159" i="13"/>
  <c r="EW159" i="13"/>
  <c r="EV159" i="13"/>
  <c r="EU159" i="13"/>
  <c r="ER159" i="13"/>
  <c r="EQ159" i="13"/>
  <c r="EP159" i="13"/>
  <c r="EO159" i="13"/>
  <c r="EN159" i="13"/>
  <c r="EM159" i="13"/>
  <c r="EL159" i="13"/>
  <c r="EK159" i="13"/>
  <c r="EC159" i="13"/>
  <c r="EB159" i="13"/>
  <c r="EA159" i="13"/>
  <c r="DZ159" i="13"/>
  <c r="DY159" i="13"/>
  <c r="DX159" i="13"/>
  <c r="DV159" i="13"/>
  <c r="DT159" i="13"/>
  <c r="DS159" i="13"/>
  <c r="DR159" i="13"/>
  <c r="DO159" i="13"/>
  <c r="DI159" i="13"/>
  <c r="DH159" i="13"/>
  <c r="DG159" i="13"/>
  <c r="DF159" i="13"/>
  <c r="DC159" i="13"/>
  <c r="CZ159" i="13"/>
  <c r="CY159" i="13"/>
  <c r="CX159" i="13"/>
  <c r="CW159" i="13"/>
  <c r="CV159" i="13"/>
  <c r="CU159" i="13"/>
  <c r="CS159" i="13"/>
  <c r="CR159" i="13"/>
  <c r="CP159" i="13"/>
  <c r="CM159" i="13"/>
  <c r="CL159" i="13"/>
  <c r="CK159" i="13"/>
  <c r="CJ159" i="13"/>
  <c r="CI159" i="13"/>
  <c r="CH159" i="13"/>
  <c r="CG159" i="13"/>
  <c r="CC159" i="13"/>
  <c r="CB159" i="13"/>
  <c r="CA159" i="13"/>
  <c r="BW159" i="13"/>
  <c r="BV159" i="13"/>
  <c r="BS159" i="13"/>
  <c r="BO159" i="13"/>
  <c r="BN159" i="13"/>
  <c r="BM159" i="13"/>
  <c r="BL159" i="13"/>
  <c r="BJ159" i="13"/>
  <c r="BI159" i="13"/>
  <c r="BH159" i="13"/>
  <c r="BE159" i="13"/>
  <c r="BB159" i="13"/>
  <c r="BA159" i="13"/>
  <c r="AY159" i="13"/>
  <c r="AX159" i="13"/>
  <c r="AW159" i="13"/>
  <c r="AU159" i="13"/>
  <c r="AN159" i="13"/>
  <c r="AL159" i="13"/>
  <c r="AK159" i="13"/>
  <c r="AJ159" i="13"/>
  <c r="AI159" i="13"/>
  <c r="AH159" i="13"/>
  <c r="AG159" i="13"/>
  <c r="AF159" i="13"/>
  <c r="AE159" i="13"/>
  <c r="AD159" i="13"/>
  <c r="AC159" i="13"/>
  <c r="Y159" i="13"/>
  <c r="X159" i="13"/>
  <c r="U159" i="13"/>
  <c r="T159" i="13"/>
  <c r="R159" i="13"/>
  <c r="Q159" i="13"/>
  <c r="P159" i="13"/>
  <c r="O159" i="13"/>
  <c r="N159" i="13"/>
  <c r="MI155" i="13"/>
  <c r="MH155" i="13"/>
  <c r="MG155" i="13"/>
  <c r="MF155" i="13"/>
  <c r="MD155" i="13"/>
  <c r="KF155" i="13"/>
  <c r="KE155" i="13"/>
  <c r="KD155" i="13"/>
  <c r="KC155" i="13"/>
  <c r="KB155" i="13"/>
  <c r="JX155" i="13"/>
  <c r="JT155" i="13"/>
  <c r="JR155" i="13"/>
  <c r="JM155" i="13"/>
  <c r="JL155" i="13"/>
  <c r="JK155" i="13"/>
  <c r="JI155" i="13"/>
  <c r="JH155" i="13"/>
  <c r="JG155" i="13"/>
  <c r="JC155" i="13"/>
  <c r="JA155" i="13"/>
  <c r="IY155" i="13"/>
  <c r="IX155" i="13"/>
  <c r="IV155" i="13"/>
  <c r="IT155" i="13"/>
  <c r="IR155" i="13"/>
  <c r="IQ155" i="13"/>
  <c r="IN155" i="13"/>
  <c r="IM155" i="13"/>
  <c r="IL155" i="13"/>
  <c r="IK155" i="13"/>
  <c r="IJ155" i="13"/>
  <c r="II155" i="13"/>
  <c r="IE155" i="13"/>
  <c r="ID155" i="13"/>
  <c r="IA155" i="13"/>
  <c r="HZ155" i="13"/>
  <c r="HY155" i="13"/>
  <c r="HX155" i="13"/>
  <c r="HV155" i="13"/>
  <c r="HT155" i="13"/>
  <c r="HS155" i="13"/>
  <c r="HR155" i="13"/>
  <c r="HQ155" i="13"/>
  <c r="HP155" i="13"/>
  <c r="HO155" i="13"/>
  <c r="HN155" i="13"/>
  <c r="HM155" i="13"/>
  <c r="HK155" i="13"/>
  <c r="HI155" i="13"/>
  <c r="HG155" i="13"/>
  <c r="HF155" i="13"/>
  <c r="HE155" i="13"/>
  <c r="HD155" i="13"/>
  <c r="HC155" i="13"/>
  <c r="GO155" i="13"/>
  <c r="GM155" i="13"/>
  <c r="GK155" i="13"/>
  <c r="GD155" i="13"/>
  <c r="FW155" i="13"/>
  <c r="FV155" i="13"/>
  <c r="FU155" i="13"/>
  <c r="FT155" i="13"/>
  <c r="FS155" i="13"/>
  <c r="FR155" i="13"/>
  <c r="FQ155" i="13"/>
  <c r="FP155" i="13"/>
  <c r="FO155" i="13"/>
  <c r="FN155" i="13"/>
  <c r="FL155" i="13"/>
  <c r="FK155" i="13"/>
  <c r="FJ155" i="13"/>
  <c r="FG155" i="13"/>
  <c r="FF155" i="13"/>
  <c r="FE155" i="13"/>
  <c r="FD155" i="13"/>
  <c r="FC155" i="13"/>
  <c r="FB155" i="13"/>
  <c r="EZ155" i="13"/>
  <c r="EY155" i="13"/>
  <c r="EX155" i="13"/>
  <c r="EW155" i="13"/>
  <c r="EV155" i="13"/>
  <c r="EU155" i="13"/>
  <c r="ER155" i="13"/>
  <c r="EQ155" i="13"/>
  <c r="EP155" i="13"/>
  <c r="EO155" i="13"/>
  <c r="EN155" i="13"/>
  <c r="EM155" i="13"/>
  <c r="EL155" i="13"/>
  <c r="EK155" i="13"/>
  <c r="EC155" i="13"/>
  <c r="EB155" i="13"/>
  <c r="EA155" i="13"/>
  <c r="DZ155" i="13"/>
  <c r="DY155" i="13"/>
  <c r="DX155" i="13"/>
  <c r="DV155" i="13"/>
  <c r="DT155" i="13"/>
  <c r="DS155" i="13"/>
  <c r="DR155" i="13"/>
  <c r="DO155" i="13"/>
  <c r="DI155" i="13"/>
  <c r="DH155" i="13"/>
  <c r="DG155" i="13"/>
  <c r="DF155" i="13"/>
  <c r="DC155" i="13"/>
  <c r="CZ155" i="13"/>
  <c r="CY155" i="13"/>
  <c r="CX155" i="13"/>
  <c r="CW155" i="13"/>
  <c r="CV155" i="13"/>
  <c r="CU155" i="13"/>
  <c r="CS155" i="13"/>
  <c r="CR155" i="13"/>
  <c r="CP155" i="13"/>
  <c r="CM155" i="13"/>
  <c r="CL155" i="13"/>
  <c r="CK155" i="13"/>
  <c r="CJ155" i="13"/>
  <c r="CI155" i="13"/>
  <c r="CH155" i="13"/>
  <c r="CG155" i="13"/>
  <c r="CC155" i="13"/>
  <c r="CB155" i="13"/>
  <c r="CA155" i="13"/>
  <c r="BW155" i="13"/>
  <c r="BV155" i="13"/>
  <c r="BS155" i="13"/>
  <c r="BO155" i="13"/>
  <c r="BN155" i="13"/>
  <c r="BM155" i="13"/>
  <c r="BL155" i="13"/>
  <c r="BJ155" i="13"/>
  <c r="BI155" i="13"/>
  <c r="BH155" i="13"/>
  <c r="BE155" i="13"/>
  <c r="BB155" i="13"/>
  <c r="BA155" i="13"/>
  <c r="AY155" i="13"/>
  <c r="AX155" i="13"/>
  <c r="AW155" i="13"/>
  <c r="AU155" i="13"/>
  <c r="AN155" i="13"/>
  <c r="AL155" i="13"/>
  <c r="AK155" i="13"/>
  <c r="AJ155" i="13"/>
  <c r="AI155" i="13"/>
  <c r="AH155" i="13"/>
  <c r="AG155" i="13"/>
  <c r="AF155" i="13"/>
  <c r="AE155" i="13"/>
  <c r="AD155" i="13"/>
  <c r="AC155" i="13"/>
  <c r="Y155" i="13"/>
  <c r="X155" i="13"/>
  <c r="U155" i="13"/>
  <c r="T155" i="13"/>
  <c r="R155" i="13"/>
  <c r="Q155" i="13"/>
  <c r="P155" i="13"/>
  <c r="O155" i="13"/>
  <c r="N155" i="13"/>
  <c r="MI154" i="13"/>
  <c r="MH154" i="13"/>
  <c r="MG154" i="13"/>
  <c r="MF154" i="13"/>
  <c r="MD154" i="13"/>
  <c r="KF154" i="13"/>
  <c r="KE154" i="13"/>
  <c r="KD154" i="13"/>
  <c r="KC154" i="13"/>
  <c r="KB154" i="13"/>
  <c r="JX154" i="13"/>
  <c r="JT154" i="13"/>
  <c r="JR154" i="13"/>
  <c r="JM154" i="13"/>
  <c r="JL154" i="13"/>
  <c r="JK154" i="13"/>
  <c r="JI154" i="13"/>
  <c r="JH154" i="13"/>
  <c r="JG154" i="13"/>
  <c r="JC154" i="13"/>
  <c r="JA154" i="13"/>
  <c r="IY154" i="13"/>
  <c r="IX154" i="13"/>
  <c r="IV154" i="13"/>
  <c r="IT154" i="13"/>
  <c r="IR154" i="13"/>
  <c r="IQ154" i="13"/>
  <c r="IN154" i="13"/>
  <c r="IM154" i="13"/>
  <c r="IL154" i="13"/>
  <c r="IK154" i="13"/>
  <c r="IJ154" i="13"/>
  <c r="II154" i="13"/>
  <c r="IE154" i="13"/>
  <c r="ID154" i="13"/>
  <c r="IA154" i="13"/>
  <c r="HZ154" i="13"/>
  <c r="HY154" i="13"/>
  <c r="HX154" i="13"/>
  <c r="HV154" i="13"/>
  <c r="HT154" i="13"/>
  <c r="HS154" i="13"/>
  <c r="HR154" i="13"/>
  <c r="HQ154" i="13"/>
  <c r="HP154" i="13"/>
  <c r="HO154" i="13"/>
  <c r="HN154" i="13"/>
  <c r="HM154" i="13"/>
  <c r="HK154" i="13"/>
  <c r="HI154" i="13"/>
  <c r="HG154" i="13"/>
  <c r="HF154" i="13"/>
  <c r="HE154" i="13"/>
  <c r="HD154" i="13"/>
  <c r="HC154" i="13"/>
  <c r="GO154" i="13"/>
  <c r="GM154" i="13"/>
  <c r="GK154" i="13"/>
  <c r="GD154" i="13"/>
  <c r="FW154" i="13"/>
  <c r="FV154" i="13"/>
  <c r="FU154" i="13"/>
  <c r="FT154" i="13"/>
  <c r="FS154" i="13"/>
  <c r="FR154" i="13"/>
  <c r="FQ154" i="13"/>
  <c r="FP154" i="13"/>
  <c r="FO154" i="13"/>
  <c r="FN154" i="13"/>
  <c r="FL154" i="13"/>
  <c r="FK154" i="13"/>
  <c r="FJ154" i="13"/>
  <c r="FG154" i="13"/>
  <c r="FF154" i="13"/>
  <c r="FE154" i="13"/>
  <c r="FD154" i="13"/>
  <c r="FC154" i="13"/>
  <c r="FB154" i="13"/>
  <c r="EZ154" i="13"/>
  <c r="EY154" i="13"/>
  <c r="EX154" i="13"/>
  <c r="EW154" i="13"/>
  <c r="EV154" i="13"/>
  <c r="EU154" i="13"/>
  <c r="ER154" i="13"/>
  <c r="EQ154" i="13"/>
  <c r="EP154" i="13"/>
  <c r="EO154" i="13"/>
  <c r="EN154" i="13"/>
  <c r="EM154" i="13"/>
  <c r="EL154" i="13"/>
  <c r="EK154" i="13"/>
  <c r="EC154" i="13"/>
  <c r="EB154" i="13"/>
  <c r="EA154" i="13"/>
  <c r="DZ154" i="13"/>
  <c r="DY154" i="13"/>
  <c r="DX154" i="13"/>
  <c r="DV154" i="13"/>
  <c r="DT154" i="13"/>
  <c r="DS154" i="13"/>
  <c r="DR154" i="13"/>
  <c r="DO154" i="13"/>
  <c r="DI154" i="13"/>
  <c r="DH154" i="13"/>
  <c r="DG154" i="13"/>
  <c r="DF154" i="13"/>
  <c r="DC154" i="13"/>
  <c r="CZ154" i="13"/>
  <c r="CY154" i="13"/>
  <c r="CX154" i="13"/>
  <c r="CW154" i="13"/>
  <c r="CV154" i="13"/>
  <c r="CU154" i="13"/>
  <c r="CS154" i="13"/>
  <c r="CR154" i="13"/>
  <c r="CP154" i="13"/>
  <c r="CM154" i="13"/>
  <c r="CL154" i="13"/>
  <c r="CK154" i="13"/>
  <c r="CJ154" i="13"/>
  <c r="CI154" i="13"/>
  <c r="CH154" i="13"/>
  <c r="CG154" i="13"/>
  <c r="CC154" i="13"/>
  <c r="CB154" i="13"/>
  <c r="CA154" i="13"/>
  <c r="BW154" i="13"/>
  <c r="BV154" i="13"/>
  <c r="BS154" i="13"/>
  <c r="BO154" i="13"/>
  <c r="BN154" i="13"/>
  <c r="BM154" i="13"/>
  <c r="BL154" i="13"/>
  <c r="BJ154" i="13"/>
  <c r="BI154" i="13"/>
  <c r="BH154" i="13"/>
  <c r="BE154" i="13"/>
  <c r="BB154" i="13"/>
  <c r="BA154" i="13"/>
  <c r="AY154" i="13"/>
  <c r="AX154" i="13"/>
  <c r="AW154" i="13"/>
  <c r="AU154" i="13"/>
  <c r="AN154" i="13"/>
  <c r="AL154" i="13"/>
  <c r="AK154" i="13"/>
  <c r="AJ154" i="13"/>
  <c r="AI154" i="13"/>
  <c r="AH154" i="13"/>
  <c r="AG154" i="13"/>
  <c r="AF154" i="13"/>
  <c r="AE154" i="13"/>
  <c r="AD154" i="13"/>
  <c r="AC154" i="13"/>
  <c r="Y154" i="13"/>
  <c r="X154" i="13"/>
  <c r="U154" i="13"/>
  <c r="T154" i="13"/>
  <c r="R154" i="13"/>
  <c r="Q154" i="13"/>
  <c r="P154" i="13"/>
  <c r="O154" i="13"/>
  <c r="N154" i="13"/>
  <c r="MI153" i="13"/>
  <c r="MH153" i="13"/>
  <c r="MG153" i="13"/>
  <c r="MF153" i="13"/>
  <c r="MD153" i="13"/>
  <c r="KF153" i="13"/>
  <c r="KE153" i="13"/>
  <c r="KD153" i="13"/>
  <c r="KC153" i="13"/>
  <c r="KB153" i="13"/>
  <c r="JX153" i="13"/>
  <c r="JT153" i="13"/>
  <c r="JR153" i="13"/>
  <c r="JM153" i="13"/>
  <c r="JL153" i="13"/>
  <c r="JK153" i="13"/>
  <c r="JI153" i="13"/>
  <c r="JH153" i="13"/>
  <c r="JG153" i="13"/>
  <c r="JC153" i="13"/>
  <c r="JA153" i="13"/>
  <c r="IY153" i="13"/>
  <c r="IX153" i="13"/>
  <c r="IV153" i="13"/>
  <c r="IT153" i="13"/>
  <c r="IR153" i="13"/>
  <c r="IQ153" i="13"/>
  <c r="IN153" i="13"/>
  <c r="IM153" i="13"/>
  <c r="IL153" i="13"/>
  <c r="IK153" i="13"/>
  <c r="IJ153" i="13"/>
  <c r="II153" i="13"/>
  <c r="IE153" i="13"/>
  <c r="ID153" i="13"/>
  <c r="IA153" i="13"/>
  <c r="HZ153" i="13"/>
  <c r="HY153" i="13"/>
  <c r="HX153" i="13"/>
  <c r="HV153" i="13"/>
  <c r="HT153" i="13"/>
  <c r="HS153" i="13"/>
  <c r="HR153" i="13"/>
  <c r="HQ153" i="13"/>
  <c r="HP153" i="13"/>
  <c r="HO153" i="13"/>
  <c r="HN153" i="13"/>
  <c r="HM153" i="13"/>
  <c r="HK153" i="13"/>
  <c r="HI153" i="13"/>
  <c r="HG153" i="13"/>
  <c r="HF153" i="13"/>
  <c r="HE153" i="13"/>
  <c r="HD153" i="13"/>
  <c r="HC153" i="13"/>
  <c r="GO153" i="13"/>
  <c r="GM153" i="13"/>
  <c r="GK153" i="13"/>
  <c r="GD153" i="13"/>
  <c r="FW153" i="13"/>
  <c r="FV153" i="13"/>
  <c r="FU153" i="13"/>
  <c r="FT153" i="13"/>
  <c r="FS153" i="13"/>
  <c r="FR153" i="13"/>
  <c r="FQ153" i="13"/>
  <c r="FP153" i="13"/>
  <c r="FO153" i="13"/>
  <c r="FN153" i="13"/>
  <c r="FL153" i="13"/>
  <c r="FK153" i="13"/>
  <c r="FJ153" i="13"/>
  <c r="FG153" i="13"/>
  <c r="FF153" i="13"/>
  <c r="FE153" i="13"/>
  <c r="FD153" i="13"/>
  <c r="FC153" i="13"/>
  <c r="FB153" i="13"/>
  <c r="EZ153" i="13"/>
  <c r="EY153" i="13"/>
  <c r="EX153" i="13"/>
  <c r="EW153" i="13"/>
  <c r="EV153" i="13"/>
  <c r="EU153" i="13"/>
  <c r="ER153" i="13"/>
  <c r="EQ153" i="13"/>
  <c r="EP153" i="13"/>
  <c r="EO153" i="13"/>
  <c r="EN153" i="13"/>
  <c r="EM153" i="13"/>
  <c r="EL153" i="13"/>
  <c r="EK153" i="13"/>
  <c r="EC153" i="13"/>
  <c r="EB153" i="13"/>
  <c r="EA153" i="13"/>
  <c r="DZ153" i="13"/>
  <c r="DY153" i="13"/>
  <c r="DX153" i="13"/>
  <c r="DV153" i="13"/>
  <c r="DT153" i="13"/>
  <c r="DS153" i="13"/>
  <c r="DR153" i="13"/>
  <c r="DO153" i="13"/>
  <c r="DI153" i="13"/>
  <c r="DH153" i="13"/>
  <c r="DG153" i="13"/>
  <c r="DF153" i="13"/>
  <c r="DC153" i="13"/>
  <c r="CZ153" i="13"/>
  <c r="CY153" i="13"/>
  <c r="CX153" i="13"/>
  <c r="CW153" i="13"/>
  <c r="CV153" i="13"/>
  <c r="CU153" i="13"/>
  <c r="CS153" i="13"/>
  <c r="CR153" i="13"/>
  <c r="CP153" i="13"/>
  <c r="CM153" i="13"/>
  <c r="CL153" i="13"/>
  <c r="CK153" i="13"/>
  <c r="CJ153" i="13"/>
  <c r="CI153" i="13"/>
  <c r="CH153" i="13"/>
  <c r="CG153" i="13"/>
  <c r="CC153" i="13"/>
  <c r="CB153" i="13"/>
  <c r="CA153" i="13"/>
  <c r="BW153" i="13"/>
  <c r="BV153" i="13"/>
  <c r="BS153" i="13"/>
  <c r="BO153" i="13"/>
  <c r="BN153" i="13"/>
  <c r="BM153" i="13"/>
  <c r="BL153" i="13"/>
  <c r="BJ153" i="13"/>
  <c r="BI153" i="13"/>
  <c r="BH153" i="13"/>
  <c r="BE153" i="13"/>
  <c r="BB153" i="13"/>
  <c r="BA153" i="13"/>
  <c r="AY153" i="13"/>
  <c r="AX153" i="13"/>
  <c r="AW153" i="13"/>
  <c r="AU153" i="13"/>
  <c r="AN153" i="13"/>
  <c r="AL153" i="13"/>
  <c r="AK153" i="13"/>
  <c r="AJ153" i="13"/>
  <c r="AI153" i="13"/>
  <c r="AH153" i="13"/>
  <c r="AG153" i="13"/>
  <c r="AF153" i="13"/>
  <c r="AE153" i="13"/>
  <c r="AD153" i="13"/>
  <c r="AC153" i="13"/>
  <c r="Y153" i="13"/>
  <c r="X153" i="13"/>
  <c r="U153" i="13"/>
  <c r="T153" i="13"/>
  <c r="R153" i="13"/>
  <c r="Q153" i="13"/>
  <c r="P153" i="13"/>
  <c r="O153" i="13"/>
  <c r="N153" i="13"/>
  <c r="MI132" i="13"/>
  <c r="MH132" i="13"/>
  <c r="MG132" i="13"/>
  <c r="MF132" i="13"/>
  <c r="MD132" i="13"/>
  <c r="KF132" i="13"/>
  <c r="KE132" i="13"/>
  <c r="KD132" i="13"/>
  <c r="KC132" i="13"/>
  <c r="KB132" i="13"/>
  <c r="JX132" i="13"/>
  <c r="JT132" i="13"/>
  <c r="JR132" i="13"/>
  <c r="JM132" i="13"/>
  <c r="JL132" i="13"/>
  <c r="JK132" i="13"/>
  <c r="JI132" i="13"/>
  <c r="JH132" i="13"/>
  <c r="JG132" i="13"/>
  <c r="JC132" i="13"/>
  <c r="JA132" i="13"/>
  <c r="IY132" i="13"/>
  <c r="IX132" i="13"/>
  <c r="IV132" i="13"/>
  <c r="IT132" i="13"/>
  <c r="IR132" i="13"/>
  <c r="IQ132" i="13"/>
  <c r="IN132" i="13"/>
  <c r="IM132" i="13"/>
  <c r="IL132" i="13"/>
  <c r="IK132" i="13"/>
  <c r="IJ132" i="13"/>
  <c r="II132" i="13"/>
  <c r="IE132" i="13"/>
  <c r="ID132" i="13"/>
  <c r="IA132" i="13"/>
  <c r="HZ132" i="13"/>
  <c r="HY132" i="13"/>
  <c r="HX132" i="13"/>
  <c r="HV132" i="13"/>
  <c r="HT132" i="13"/>
  <c r="HS132" i="13"/>
  <c r="HR132" i="13"/>
  <c r="HQ132" i="13"/>
  <c r="HP132" i="13"/>
  <c r="HO132" i="13"/>
  <c r="HN132" i="13"/>
  <c r="HM132" i="13"/>
  <c r="HK132" i="13"/>
  <c r="HI132" i="13"/>
  <c r="HG132" i="13"/>
  <c r="HF132" i="13"/>
  <c r="HE132" i="13"/>
  <c r="HD132" i="13"/>
  <c r="HC132" i="13"/>
  <c r="GO132" i="13"/>
  <c r="GM132" i="13"/>
  <c r="GK132" i="13"/>
  <c r="GD132" i="13"/>
  <c r="FW132" i="13"/>
  <c r="FV132" i="13"/>
  <c r="FU132" i="13"/>
  <c r="FT132" i="13"/>
  <c r="FS132" i="13"/>
  <c r="FR132" i="13"/>
  <c r="FQ132" i="13"/>
  <c r="FP132" i="13"/>
  <c r="FO132" i="13"/>
  <c r="FN132" i="13"/>
  <c r="FL132" i="13"/>
  <c r="FK132" i="13"/>
  <c r="FJ132" i="13"/>
  <c r="FG132" i="13"/>
  <c r="FF132" i="13"/>
  <c r="FE132" i="13"/>
  <c r="FD132" i="13"/>
  <c r="FC132" i="13"/>
  <c r="FB132" i="13"/>
  <c r="EZ132" i="13"/>
  <c r="EY132" i="13"/>
  <c r="EX132" i="13"/>
  <c r="EW132" i="13"/>
  <c r="EV132" i="13"/>
  <c r="EU132" i="13"/>
  <c r="ER132" i="13"/>
  <c r="EQ132" i="13"/>
  <c r="EP132" i="13"/>
  <c r="EO132" i="13"/>
  <c r="EN132" i="13"/>
  <c r="EM132" i="13"/>
  <c r="EL132" i="13"/>
  <c r="EK132" i="13"/>
  <c r="EC132" i="13"/>
  <c r="EB132" i="13"/>
  <c r="EA132" i="13"/>
  <c r="DZ132" i="13"/>
  <c r="DY132" i="13"/>
  <c r="DX132" i="13"/>
  <c r="DV132" i="13"/>
  <c r="DT132" i="13"/>
  <c r="DS132" i="13"/>
  <c r="DR132" i="13"/>
  <c r="DO132" i="13"/>
  <c r="DI132" i="13"/>
  <c r="DH132" i="13"/>
  <c r="DG132" i="13"/>
  <c r="DF132" i="13"/>
  <c r="DC132" i="13"/>
  <c r="CZ132" i="13"/>
  <c r="CY132" i="13"/>
  <c r="CX132" i="13"/>
  <c r="CW132" i="13"/>
  <c r="CV132" i="13"/>
  <c r="CU132" i="13"/>
  <c r="CS132" i="13"/>
  <c r="CR132" i="13"/>
  <c r="CP132" i="13"/>
  <c r="CM132" i="13"/>
  <c r="CL132" i="13"/>
  <c r="CK132" i="13"/>
  <c r="CJ132" i="13"/>
  <c r="CI132" i="13"/>
  <c r="CH132" i="13"/>
  <c r="CG132" i="13"/>
  <c r="CC132" i="13"/>
  <c r="CB132" i="13"/>
  <c r="CA132" i="13"/>
  <c r="BW132" i="13"/>
  <c r="BV132" i="13"/>
  <c r="BS132" i="13"/>
  <c r="BO132" i="13"/>
  <c r="BN132" i="13"/>
  <c r="BM132" i="13"/>
  <c r="BL132" i="13"/>
  <c r="BJ132" i="13"/>
  <c r="BI132" i="13"/>
  <c r="BH132" i="13"/>
  <c r="BE132" i="13"/>
  <c r="BB132" i="13"/>
  <c r="BA132" i="13"/>
  <c r="AY132" i="13"/>
  <c r="AX132" i="13"/>
  <c r="AW132" i="13"/>
  <c r="AU132" i="13"/>
  <c r="AN132" i="13"/>
  <c r="AL132" i="13"/>
  <c r="AK132" i="13"/>
  <c r="AJ132" i="13"/>
  <c r="AI132" i="13"/>
  <c r="AH132" i="13"/>
  <c r="AG132" i="13"/>
  <c r="AF132" i="13"/>
  <c r="AE132" i="13"/>
  <c r="AD132" i="13"/>
  <c r="AC132" i="13"/>
  <c r="Y132" i="13"/>
  <c r="X132" i="13"/>
  <c r="U132" i="13"/>
  <c r="T132" i="13"/>
  <c r="R132" i="13"/>
  <c r="Q132" i="13"/>
  <c r="P132" i="13"/>
  <c r="O132" i="13"/>
  <c r="N132" i="13"/>
  <c r="MI130" i="13"/>
  <c r="MH130" i="13"/>
  <c r="MG130" i="13"/>
  <c r="MF130" i="13"/>
  <c r="MD130" i="13"/>
  <c r="KF130" i="13"/>
  <c r="KE130" i="13"/>
  <c r="KD130" i="13"/>
  <c r="KC130" i="13"/>
  <c r="KB130" i="13"/>
  <c r="JX130" i="13"/>
  <c r="JT130" i="13"/>
  <c r="JR130" i="13"/>
  <c r="JM130" i="13"/>
  <c r="JL130" i="13"/>
  <c r="JK130" i="13"/>
  <c r="JI130" i="13"/>
  <c r="JH130" i="13"/>
  <c r="JG130" i="13"/>
  <c r="JC130" i="13"/>
  <c r="JA130" i="13"/>
  <c r="IY130" i="13"/>
  <c r="IX130" i="13"/>
  <c r="IV130" i="13"/>
  <c r="IT130" i="13"/>
  <c r="IR130" i="13"/>
  <c r="IQ130" i="13"/>
  <c r="IN130" i="13"/>
  <c r="IM130" i="13"/>
  <c r="IL130" i="13"/>
  <c r="IK130" i="13"/>
  <c r="IJ130" i="13"/>
  <c r="II130" i="13"/>
  <c r="IE130" i="13"/>
  <c r="ID130" i="13"/>
  <c r="IA130" i="13"/>
  <c r="HZ130" i="13"/>
  <c r="HY130" i="13"/>
  <c r="HX130" i="13"/>
  <c r="HV130" i="13"/>
  <c r="HT130" i="13"/>
  <c r="HS130" i="13"/>
  <c r="HR130" i="13"/>
  <c r="HQ130" i="13"/>
  <c r="HP130" i="13"/>
  <c r="HO130" i="13"/>
  <c r="HN130" i="13"/>
  <c r="HM130" i="13"/>
  <c r="HK130" i="13"/>
  <c r="HI130" i="13"/>
  <c r="HG130" i="13"/>
  <c r="HF130" i="13"/>
  <c r="HE130" i="13"/>
  <c r="HD130" i="13"/>
  <c r="HC130" i="13"/>
  <c r="GO130" i="13"/>
  <c r="GM130" i="13"/>
  <c r="GK130" i="13"/>
  <c r="GD130" i="13"/>
  <c r="FW130" i="13"/>
  <c r="FV130" i="13"/>
  <c r="FU130" i="13"/>
  <c r="FT130" i="13"/>
  <c r="FS130" i="13"/>
  <c r="FR130" i="13"/>
  <c r="FQ130" i="13"/>
  <c r="FP130" i="13"/>
  <c r="FO130" i="13"/>
  <c r="FN130" i="13"/>
  <c r="FL130" i="13"/>
  <c r="FK130" i="13"/>
  <c r="FJ130" i="13"/>
  <c r="FG130" i="13"/>
  <c r="FF130" i="13"/>
  <c r="FE130" i="13"/>
  <c r="FD130" i="13"/>
  <c r="FC130" i="13"/>
  <c r="FB130" i="13"/>
  <c r="EZ130" i="13"/>
  <c r="EY130" i="13"/>
  <c r="EX130" i="13"/>
  <c r="EW130" i="13"/>
  <c r="EV130" i="13"/>
  <c r="EU130" i="13"/>
  <c r="ER130" i="13"/>
  <c r="EQ130" i="13"/>
  <c r="EP130" i="13"/>
  <c r="EO130" i="13"/>
  <c r="EN130" i="13"/>
  <c r="EM130" i="13"/>
  <c r="EL130" i="13"/>
  <c r="EK130" i="13"/>
  <c r="EC130" i="13"/>
  <c r="EB130" i="13"/>
  <c r="EA130" i="13"/>
  <c r="DZ130" i="13"/>
  <c r="DY130" i="13"/>
  <c r="DX130" i="13"/>
  <c r="DV130" i="13"/>
  <c r="DT130" i="13"/>
  <c r="DS130" i="13"/>
  <c r="DR130" i="13"/>
  <c r="DO130" i="13"/>
  <c r="DI130" i="13"/>
  <c r="DH130" i="13"/>
  <c r="DG130" i="13"/>
  <c r="DF130" i="13"/>
  <c r="DC130" i="13"/>
  <c r="CZ130" i="13"/>
  <c r="CY130" i="13"/>
  <c r="CX130" i="13"/>
  <c r="CW130" i="13"/>
  <c r="CV130" i="13"/>
  <c r="CU130" i="13"/>
  <c r="CS130" i="13"/>
  <c r="CR130" i="13"/>
  <c r="CP130" i="13"/>
  <c r="CM130" i="13"/>
  <c r="CL130" i="13"/>
  <c r="CK130" i="13"/>
  <c r="CJ130" i="13"/>
  <c r="CI130" i="13"/>
  <c r="CH130" i="13"/>
  <c r="CG130" i="13"/>
  <c r="CC130" i="13"/>
  <c r="CB130" i="13"/>
  <c r="CA130" i="13"/>
  <c r="BW130" i="13"/>
  <c r="BV130" i="13"/>
  <c r="BS130" i="13"/>
  <c r="BO130" i="13"/>
  <c r="BN130" i="13"/>
  <c r="BM130" i="13"/>
  <c r="BL130" i="13"/>
  <c r="BJ130" i="13"/>
  <c r="BI130" i="13"/>
  <c r="BH130" i="13"/>
  <c r="BE130" i="13"/>
  <c r="BB130" i="13"/>
  <c r="BA130" i="13"/>
  <c r="AY130" i="13"/>
  <c r="AX130" i="13"/>
  <c r="AW130" i="13"/>
  <c r="AU130" i="13"/>
  <c r="AN130" i="13"/>
  <c r="AL130" i="13"/>
  <c r="AK130" i="13"/>
  <c r="AJ130" i="13"/>
  <c r="AI130" i="13"/>
  <c r="AH130" i="13"/>
  <c r="AG130" i="13"/>
  <c r="AF130" i="13"/>
  <c r="AE130" i="13"/>
  <c r="AD130" i="13"/>
  <c r="AC130" i="13"/>
  <c r="Y130" i="13"/>
  <c r="X130" i="13"/>
  <c r="U130" i="13"/>
  <c r="T130" i="13"/>
  <c r="R130" i="13"/>
  <c r="Q130" i="13"/>
  <c r="P130" i="13"/>
  <c r="O130" i="13"/>
  <c r="N130" i="13"/>
  <c r="MI125" i="13"/>
  <c r="MH125" i="13"/>
  <c r="MG125" i="13"/>
  <c r="MF125" i="13"/>
  <c r="MD125" i="13"/>
  <c r="KF125" i="13"/>
  <c r="KE125" i="13"/>
  <c r="KD125" i="13"/>
  <c r="KC125" i="13"/>
  <c r="KB125" i="13"/>
  <c r="JX125" i="13"/>
  <c r="JT125" i="13"/>
  <c r="JR125" i="13"/>
  <c r="JM125" i="13"/>
  <c r="JL125" i="13"/>
  <c r="JK125" i="13"/>
  <c r="JI125" i="13"/>
  <c r="JH125" i="13"/>
  <c r="JG125" i="13"/>
  <c r="JC125" i="13"/>
  <c r="JA125" i="13"/>
  <c r="IY125" i="13"/>
  <c r="IX125" i="13"/>
  <c r="IV125" i="13"/>
  <c r="IT125" i="13"/>
  <c r="IR125" i="13"/>
  <c r="IQ125" i="13"/>
  <c r="IN125" i="13"/>
  <c r="IM125" i="13"/>
  <c r="IL125" i="13"/>
  <c r="IK125" i="13"/>
  <c r="IJ125" i="13"/>
  <c r="II125" i="13"/>
  <c r="IE125" i="13"/>
  <c r="ID125" i="13"/>
  <c r="IA125" i="13"/>
  <c r="HZ125" i="13"/>
  <c r="HY125" i="13"/>
  <c r="HX125" i="13"/>
  <c r="HV125" i="13"/>
  <c r="HT125" i="13"/>
  <c r="HS125" i="13"/>
  <c r="HR125" i="13"/>
  <c r="HQ125" i="13"/>
  <c r="HP125" i="13"/>
  <c r="HO125" i="13"/>
  <c r="HN125" i="13"/>
  <c r="HM125" i="13"/>
  <c r="HK125" i="13"/>
  <c r="HI125" i="13"/>
  <c r="HG125" i="13"/>
  <c r="HF125" i="13"/>
  <c r="HE125" i="13"/>
  <c r="HD125" i="13"/>
  <c r="HC125" i="13"/>
  <c r="GO125" i="13"/>
  <c r="GM125" i="13"/>
  <c r="GK125" i="13"/>
  <c r="GD125" i="13"/>
  <c r="FW125" i="13"/>
  <c r="FV125" i="13"/>
  <c r="FU125" i="13"/>
  <c r="FT125" i="13"/>
  <c r="FS125" i="13"/>
  <c r="FR125" i="13"/>
  <c r="FQ125" i="13"/>
  <c r="FP125" i="13"/>
  <c r="FO125" i="13"/>
  <c r="FN125" i="13"/>
  <c r="FL125" i="13"/>
  <c r="FK125" i="13"/>
  <c r="FJ125" i="13"/>
  <c r="FG125" i="13"/>
  <c r="FF125" i="13"/>
  <c r="FE125" i="13"/>
  <c r="FD125" i="13"/>
  <c r="FC125" i="13"/>
  <c r="FB125" i="13"/>
  <c r="EZ125" i="13"/>
  <c r="EY125" i="13"/>
  <c r="EX125" i="13"/>
  <c r="EW125" i="13"/>
  <c r="EV125" i="13"/>
  <c r="EU125" i="13"/>
  <c r="ER125" i="13"/>
  <c r="EQ125" i="13"/>
  <c r="EP125" i="13"/>
  <c r="EO125" i="13"/>
  <c r="EN125" i="13"/>
  <c r="EM125" i="13"/>
  <c r="EL125" i="13"/>
  <c r="EK125" i="13"/>
  <c r="EC125" i="13"/>
  <c r="EB125" i="13"/>
  <c r="EA125" i="13"/>
  <c r="DZ125" i="13"/>
  <c r="DY125" i="13"/>
  <c r="DX125" i="13"/>
  <c r="DV125" i="13"/>
  <c r="DT125" i="13"/>
  <c r="DS125" i="13"/>
  <c r="DR125" i="13"/>
  <c r="DO125" i="13"/>
  <c r="DI125" i="13"/>
  <c r="DH125" i="13"/>
  <c r="DG125" i="13"/>
  <c r="DF125" i="13"/>
  <c r="DC125" i="13"/>
  <c r="CZ125" i="13"/>
  <c r="CY125" i="13"/>
  <c r="CX125" i="13"/>
  <c r="CW125" i="13"/>
  <c r="CV125" i="13"/>
  <c r="CU125" i="13"/>
  <c r="CS125" i="13"/>
  <c r="CR125" i="13"/>
  <c r="CP125" i="13"/>
  <c r="CM125" i="13"/>
  <c r="CL125" i="13"/>
  <c r="CK125" i="13"/>
  <c r="CJ125" i="13"/>
  <c r="CI125" i="13"/>
  <c r="CH125" i="13"/>
  <c r="CG125" i="13"/>
  <c r="CC125" i="13"/>
  <c r="CB125" i="13"/>
  <c r="CA125" i="13"/>
  <c r="BW125" i="13"/>
  <c r="BV125" i="13"/>
  <c r="BS125" i="13"/>
  <c r="BO125" i="13"/>
  <c r="BN125" i="13"/>
  <c r="BM125" i="13"/>
  <c r="BL125" i="13"/>
  <c r="BJ125" i="13"/>
  <c r="BI125" i="13"/>
  <c r="BH125" i="13"/>
  <c r="BE125" i="13"/>
  <c r="BB125" i="13"/>
  <c r="BA125" i="13"/>
  <c r="AY125" i="13"/>
  <c r="AX125" i="13"/>
  <c r="AW125" i="13"/>
  <c r="AU125" i="13"/>
  <c r="AN125" i="13"/>
  <c r="AL125" i="13"/>
  <c r="AK125" i="13"/>
  <c r="AJ125" i="13"/>
  <c r="AI125" i="13"/>
  <c r="AH125" i="13"/>
  <c r="AG125" i="13"/>
  <c r="AF125" i="13"/>
  <c r="AE125" i="13"/>
  <c r="AD125" i="13"/>
  <c r="AC125" i="13"/>
  <c r="Y125" i="13"/>
  <c r="X125" i="13"/>
  <c r="U125" i="13"/>
  <c r="T125" i="13"/>
  <c r="R125" i="13"/>
  <c r="Q125" i="13"/>
  <c r="P125" i="13"/>
  <c r="O125" i="13"/>
  <c r="N125" i="13"/>
  <c r="MI107" i="13"/>
  <c r="MH107" i="13"/>
  <c r="MG107" i="13"/>
  <c r="MF107" i="13"/>
  <c r="MD107" i="13"/>
  <c r="KF107" i="13"/>
  <c r="KE107" i="13"/>
  <c r="KD107" i="13"/>
  <c r="KC107" i="13"/>
  <c r="KB107" i="13"/>
  <c r="JX107" i="13"/>
  <c r="JT107" i="13"/>
  <c r="JR107" i="13"/>
  <c r="JM107" i="13"/>
  <c r="JL107" i="13"/>
  <c r="JK107" i="13"/>
  <c r="JI107" i="13"/>
  <c r="JH107" i="13"/>
  <c r="JG107" i="13"/>
  <c r="JC107" i="13"/>
  <c r="JA107" i="13"/>
  <c r="IY107" i="13"/>
  <c r="IX107" i="13"/>
  <c r="IV107" i="13"/>
  <c r="IT107" i="13"/>
  <c r="IR107" i="13"/>
  <c r="IQ107" i="13"/>
  <c r="IN107" i="13"/>
  <c r="IM107" i="13"/>
  <c r="IL107" i="13"/>
  <c r="IK107" i="13"/>
  <c r="IJ107" i="13"/>
  <c r="II107" i="13"/>
  <c r="IE107" i="13"/>
  <c r="ID107" i="13"/>
  <c r="IA107" i="13"/>
  <c r="HZ107" i="13"/>
  <c r="HY107" i="13"/>
  <c r="HX107" i="13"/>
  <c r="HV107" i="13"/>
  <c r="HT107" i="13"/>
  <c r="HS107" i="13"/>
  <c r="HR107" i="13"/>
  <c r="HQ107" i="13"/>
  <c r="HP107" i="13"/>
  <c r="HO107" i="13"/>
  <c r="HN107" i="13"/>
  <c r="HM107" i="13"/>
  <c r="HK107" i="13"/>
  <c r="HI107" i="13"/>
  <c r="HG107" i="13"/>
  <c r="HF107" i="13"/>
  <c r="HE107" i="13"/>
  <c r="HD107" i="13"/>
  <c r="HC107" i="13"/>
  <c r="GO107" i="13"/>
  <c r="GM107" i="13"/>
  <c r="GK107" i="13"/>
  <c r="GD107" i="13"/>
  <c r="FW107" i="13"/>
  <c r="FV107" i="13"/>
  <c r="FU107" i="13"/>
  <c r="FT107" i="13"/>
  <c r="FS107" i="13"/>
  <c r="FR107" i="13"/>
  <c r="FQ107" i="13"/>
  <c r="FP107" i="13"/>
  <c r="FO107" i="13"/>
  <c r="FN107" i="13"/>
  <c r="FL107" i="13"/>
  <c r="FK107" i="13"/>
  <c r="FJ107" i="13"/>
  <c r="FG107" i="13"/>
  <c r="FF107" i="13"/>
  <c r="FE107" i="13"/>
  <c r="FD107" i="13"/>
  <c r="FC107" i="13"/>
  <c r="FB107" i="13"/>
  <c r="EZ107" i="13"/>
  <c r="EY107" i="13"/>
  <c r="EX107" i="13"/>
  <c r="EW107" i="13"/>
  <c r="EV107" i="13"/>
  <c r="EU107" i="13"/>
  <c r="ER107" i="13"/>
  <c r="EQ107" i="13"/>
  <c r="EP107" i="13"/>
  <c r="EO107" i="13"/>
  <c r="EN107" i="13"/>
  <c r="EM107" i="13"/>
  <c r="EL107" i="13"/>
  <c r="EK107" i="13"/>
  <c r="EC107" i="13"/>
  <c r="EB107" i="13"/>
  <c r="EA107" i="13"/>
  <c r="DZ107" i="13"/>
  <c r="DY107" i="13"/>
  <c r="DX107" i="13"/>
  <c r="DV107" i="13"/>
  <c r="DT107" i="13"/>
  <c r="DS107" i="13"/>
  <c r="DR107" i="13"/>
  <c r="DO107" i="13"/>
  <c r="DI107" i="13"/>
  <c r="DH107" i="13"/>
  <c r="DG107" i="13"/>
  <c r="DF107" i="13"/>
  <c r="DC107" i="13"/>
  <c r="CZ107" i="13"/>
  <c r="CY107" i="13"/>
  <c r="CX107" i="13"/>
  <c r="CW107" i="13"/>
  <c r="CV107" i="13"/>
  <c r="CU107" i="13"/>
  <c r="CS107" i="13"/>
  <c r="CR107" i="13"/>
  <c r="CP107" i="13"/>
  <c r="CM107" i="13"/>
  <c r="CL107" i="13"/>
  <c r="CK107" i="13"/>
  <c r="CJ107" i="13"/>
  <c r="CI107" i="13"/>
  <c r="CH107" i="13"/>
  <c r="CG107" i="13"/>
  <c r="CC107" i="13"/>
  <c r="CB107" i="13"/>
  <c r="CA107" i="13"/>
  <c r="BW107" i="13"/>
  <c r="BV107" i="13"/>
  <c r="BS107" i="13"/>
  <c r="BO107" i="13"/>
  <c r="BN107" i="13"/>
  <c r="BM107" i="13"/>
  <c r="BL107" i="13"/>
  <c r="BJ107" i="13"/>
  <c r="BI107" i="13"/>
  <c r="BH107" i="13"/>
  <c r="BE107" i="13"/>
  <c r="BB107" i="13"/>
  <c r="BA107" i="13"/>
  <c r="AY107" i="13"/>
  <c r="AX107" i="13"/>
  <c r="AW107" i="13"/>
  <c r="AU107" i="13"/>
  <c r="AN107" i="13"/>
  <c r="AL107" i="13"/>
  <c r="AK107" i="13"/>
  <c r="AJ107" i="13"/>
  <c r="AI107" i="13"/>
  <c r="AH107" i="13"/>
  <c r="AG107" i="13"/>
  <c r="AF107" i="13"/>
  <c r="AE107" i="13"/>
  <c r="AD107" i="13"/>
  <c r="AC107" i="13"/>
  <c r="Y107" i="13"/>
  <c r="X107" i="13"/>
  <c r="U107" i="13"/>
  <c r="T107" i="13"/>
  <c r="R107" i="13"/>
  <c r="Q107" i="13"/>
  <c r="P107" i="13"/>
  <c r="O107" i="13"/>
  <c r="N107" i="13"/>
  <c r="MI102" i="13"/>
  <c r="MH102" i="13"/>
  <c r="MG102" i="13"/>
  <c r="MF102" i="13"/>
  <c r="MD102" i="13"/>
  <c r="KF102" i="13"/>
  <c r="KE102" i="13"/>
  <c r="KD102" i="13"/>
  <c r="KC102" i="13"/>
  <c r="KB102" i="13"/>
  <c r="JX102" i="13"/>
  <c r="JT102" i="13"/>
  <c r="JR102" i="13"/>
  <c r="JM102" i="13"/>
  <c r="JL102" i="13"/>
  <c r="JK102" i="13"/>
  <c r="JI102" i="13"/>
  <c r="JH102" i="13"/>
  <c r="JG102" i="13"/>
  <c r="JC102" i="13"/>
  <c r="JA102" i="13"/>
  <c r="IY102" i="13"/>
  <c r="IX102" i="13"/>
  <c r="IV102" i="13"/>
  <c r="IT102" i="13"/>
  <c r="IR102" i="13"/>
  <c r="IQ102" i="13"/>
  <c r="IN102" i="13"/>
  <c r="IM102" i="13"/>
  <c r="IL102" i="13"/>
  <c r="IK102" i="13"/>
  <c r="IJ102" i="13"/>
  <c r="II102" i="13"/>
  <c r="IE102" i="13"/>
  <c r="ID102" i="13"/>
  <c r="IA102" i="13"/>
  <c r="HZ102" i="13"/>
  <c r="HY102" i="13"/>
  <c r="HX102" i="13"/>
  <c r="HV102" i="13"/>
  <c r="HT102" i="13"/>
  <c r="HS102" i="13"/>
  <c r="HR102" i="13"/>
  <c r="HQ102" i="13"/>
  <c r="HP102" i="13"/>
  <c r="HO102" i="13"/>
  <c r="HN102" i="13"/>
  <c r="HM102" i="13"/>
  <c r="HK102" i="13"/>
  <c r="HI102" i="13"/>
  <c r="HG102" i="13"/>
  <c r="HF102" i="13"/>
  <c r="HE102" i="13"/>
  <c r="HD102" i="13"/>
  <c r="HC102" i="13"/>
  <c r="GO102" i="13"/>
  <c r="GM102" i="13"/>
  <c r="GK102" i="13"/>
  <c r="GD102" i="13"/>
  <c r="FW102" i="13"/>
  <c r="FV102" i="13"/>
  <c r="FU102" i="13"/>
  <c r="FT102" i="13"/>
  <c r="FS102" i="13"/>
  <c r="FR102" i="13"/>
  <c r="FQ102" i="13"/>
  <c r="FP102" i="13"/>
  <c r="FO102" i="13"/>
  <c r="FN102" i="13"/>
  <c r="FL102" i="13"/>
  <c r="FK102" i="13"/>
  <c r="FJ102" i="13"/>
  <c r="FG102" i="13"/>
  <c r="FF102" i="13"/>
  <c r="FE102" i="13"/>
  <c r="FD102" i="13"/>
  <c r="FC102" i="13"/>
  <c r="FB102" i="13"/>
  <c r="EZ102" i="13"/>
  <c r="EY102" i="13"/>
  <c r="EX102" i="13"/>
  <c r="EW102" i="13"/>
  <c r="EV102" i="13"/>
  <c r="EU102" i="13"/>
  <c r="ER102" i="13"/>
  <c r="EQ102" i="13"/>
  <c r="EP102" i="13"/>
  <c r="EO102" i="13"/>
  <c r="EN102" i="13"/>
  <c r="EM102" i="13"/>
  <c r="EL102" i="13"/>
  <c r="EK102" i="13"/>
  <c r="EC102" i="13"/>
  <c r="EB102" i="13"/>
  <c r="EA102" i="13"/>
  <c r="DZ102" i="13"/>
  <c r="DY102" i="13"/>
  <c r="DX102" i="13"/>
  <c r="DV102" i="13"/>
  <c r="DT102" i="13"/>
  <c r="DS102" i="13"/>
  <c r="DR102" i="13"/>
  <c r="DO102" i="13"/>
  <c r="DI102" i="13"/>
  <c r="DH102" i="13"/>
  <c r="DG102" i="13"/>
  <c r="DF102" i="13"/>
  <c r="DC102" i="13"/>
  <c r="CZ102" i="13"/>
  <c r="CY102" i="13"/>
  <c r="CX102" i="13"/>
  <c r="CW102" i="13"/>
  <c r="CV102" i="13"/>
  <c r="CU102" i="13"/>
  <c r="CS102" i="13"/>
  <c r="CR102" i="13"/>
  <c r="CP102" i="13"/>
  <c r="CM102" i="13"/>
  <c r="CL102" i="13"/>
  <c r="CK102" i="13"/>
  <c r="CJ102" i="13"/>
  <c r="CI102" i="13"/>
  <c r="CH102" i="13"/>
  <c r="CG102" i="13"/>
  <c r="CC102" i="13"/>
  <c r="CB102" i="13"/>
  <c r="CA102" i="13"/>
  <c r="BW102" i="13"/>
  <c r="BV102" i="13"/>
  <c r="BS102" i="13"/>
  <c r="BO102" i="13"/>
  <c r="BN102" i="13"/>
  <c r="BM102" i="13"/>
  <c r="BL102" i="13"/>
  <c r="BJ102" i="13"/>
  <c r="BI102" i="13"/>
  <c r="BH102" i="13"/>
  <c r="BE102" i="13"/>
  <c r="BB102" i="13"/>
  <c r="BA102" i="13"/>
  <c r="AY102" i="13"/>
  <c r="AX102" i="13"/>
  <c r="AW102" i="13"/>
  <c r="AU102" i="13"/>
  <c r="AN102" i="13"/>
  <c r="AL102" i="13"/>
  <c r="AK102" i="13"/>
  <c r="AJ102" i="13"/>
  <c r="AI102" i="13"/>
  <c r="AH102" i="13"/>
  <c r="AG102" i="13"/>
  <c r="AF102" i="13"/>
  <c r="AE102" i="13"/>
  <c r="AD102" i="13"/>
  <c r="AC102" i="13"/>
  <c r="Y102" i="13"/>
  <c r="X102" i="13"/>
  <c r="U102" i="13"/>
  <c r="T102" i="13"/>
  <c r="R102" i="13"/>
  <c r="Q102" i="13"/>
  <c r="P102" i="13"/>
  <c r="O102" i="13"/>
  <c r="N102" i="13"/>
  <c r="MI95" i="13"/>
  <c r="MH95" i="13"/>
  <c r="MG95" i="13"/>
  <c r="MF95" i="13"/>
  <c r="MD95" i="13"/>
  <c r="KF95" i="13"/>
  <c r="KE95" i="13"/>
  <c r="KD95" i="13"/>
  <c r="KC95" i="13"/>
  <c r="KB95" i="13"/>
  <c r="JY95" i="13"/>
  <c r="JX95" i="13"/>
  <c r="JT95" i="13"/>
  <c r="JR95" i="13"/>
  <c r="JM95" i="13"/>
  <c r="JL95" i="13"/>
  <c r="JK95" i="13"/>
  <c r="JI95" i="13"/>
  <c r="JH95" i="13"/>
  <c r="JG95" i="13"/>
  <c r="JC95" i="13"/>
  <c r="JA95" i="13"/>
  <c r="IY95" i="13"/>
  <c r="IX95" i="13"/>
  <c r="IV95" i="13"/>
  <c r="IT95" i="13"/>
  <c r="IR95" i="13"/>
  <c r="IQ95" i="13"/>
  <c r="IN95" i="13"/>
  <c r="IM95" i="13"/>
  <c r="IL95" i="13"/>
  <c r="IK95" i="13"/>
  <c r="IJ95" i="13"/>
  <c r="II95" i="13"/>
  <c r="IE95" i="13"/>
  <c r="ID95" i="13"/>
  <c r="IA95" i="13"/>
  <c r="HZ95" i="13"/>
  <c r="HY95" i="13"/>
  <c r="HX95" i="13"/>
  <c r="HV95" i="13"/>
  <c r="HT95" i="13"/>
  <c r="HS95" i="13"/>
  <c r="HR95" i="13"/>
  <c r="HQ95" i="13"/>
  <c r="HP95" i="13"/>
  <c r="HO95" i="13"/>
  <c r="HN95" i="13"/>
  <c r="HM95" i="13"/>
  <c r="HK95" i="13"/>
  <c r="HI95" i="13"/>
  <c r="HG95" i="13"/>
  <c r="HF95" i="13"/>
  <c r="HE95" i="13"/>
  <c r="HD95" i="13"/>
  <c r="HC95" i="13"/>
  <c r="GO95" i="13"/>
  <c r="GM95" i="13"/>
  <c r="GK95" i="13"/>
  <c r="GD95" i="13"/>
  <c r="FW95" i="13"/>
  <c r="FV95" i="13"/>
  <c r="FU95" i="13"/>
  <c r="FT95" i="13"/>
  <c r="FS95" i="13"/>
  <c r="FR95" i="13"/>
  <c r="FQ95" i="13"/>
  <c r="FP95" i="13"/>
  <c r="FO95" i="13"/>
  <c r="FN95" i="13"/>
  <c r="FL95" i="13"/>
  <c r="FK95" i="13"/>
  <c r="FJ95" i="13"/>
  <c r="FG95" i="13"/>
  <c r="FF95" i="13"/>
  <c r="FE95" i="13"/>
  <c r="FD95" i="13"/>
  <c r="FC95" i="13"/>
  <c r="FB95" i="13"/>
  <c r="EZ95" i="13"/>
  <c r="EY95" i="13"/>
  <c r="EX95" i="13"/>
  <c r="EW95" i="13"/>
  <c r="EV95" i="13"/>
  <c r="EU95" i="13"/>
  <c r="ER95" i="13"/>
  <c r="EQ95" i="13"/>
  <c r="EP95" i="13"/>
  <c r="EO95" i="13"/>
  <c r="EN95" i="13"/>
  <c r="EM95" i="13"/>
  <c r="EL95" i="13"/>
  <c r="EK95" i="13"/>
  <c r="EC95" i="13"/>
  <c r="EB95" i="13"/>
  <c r="EA95" i="13"/>
  <c r="DZ95" i="13"/>
  <c r="DY95" i="13"/>
  <c r="DX95" i="13"/>
  <c r="DV95" i="13"/>
  <c r="DT95" i="13"/>
  <c r="DS95" i="13"/>
  <c r="DR95" i="13"/>
  <c r="DO95" i="13"/>
  <c r="DI95" i="13"/>
  <c r="DH95" i="13"/>
  <c r="DG95" i="13"/>
  <c r="DF95" i="13"/>
  <c r="DC95" i="13"/>
  <c r="CZ95" i="13"/>
  <c r="CY95" i="13"/>
  <c r="CX95" i="13"/>
  <c r="CW95" i="13"/>
  <c r="CV95" i="13"/>
  <c r="CU95" i="13"/>
  <c r="CS95" i="13"/>
  <c r="CR95" i="13"/>
  <c r="CP95" i="13"/>
  <c r="CM95" i="13"/>
  <c r="CL95" i="13"/>
  <c r="CK95" i="13"/>
  <c r="CJ95" i="13"/>
  <c r="CI95" i="13"/>
  <c r="CH95" i="13"/>
  <c r="CG95" i="13"/>
  <c r="CC95" i="13"/>
  <c r="CB95" i="13"/>
  <c r="CA95" i="13"/>
  <c r="BW95" i="13"/>
  <c r="BV95" i="13"/>
  <c r="BS95" i="13"/>
  <c r="BO95" i="13"/>
  <c r="BN95" i="13"/>
  <c r="BM95" i="13"/>
  <c r="BL95" i="13"/>
  <c r="BJ95" i="13"/>
  <c r="BI95" i="13"/>
  <c r="BH95" i="13"/>
  <c r="BE95" i="13"/>
  <c r="BB95" i="13"/>
  <c r="BA95" i="13"/>
  <c r="AY95" i="13"/>
  <c r="AX95" i="13"/>
  <c r="AW95" i="13"/>
  <c r="AU95" i="13"/>
  <c r="AN95" i="13"/>
  <c r="AL95" i="13"/>
  <c r="AK95" i="13"/>
  <c r="AJ95" i="13"/>
  <c r="AI95" i="13"/>
  <c r="AH95" i="13"/>
  <c r="AG95" i="13"/>
  <c r="AF95" i="13"/>
  <c r="AE95" i="13"/>
  <c r="AD95" i="13"/>
  <c r="AC95" i="13"/>
  <c r="Y95" i="13"/>
  <c r="X95" i="13"/>
  <c r="U95" i="13"/>
  <c r="T95" i="13"/>
  <c r="R95" i="13"/>
  <c r="Q95" i="13"/>
  <c r="P95" i="13"/>
  <c r="O95" i="13"/>
  <c r="N95" i="13"/>
  <c r="MI86" i="13"/>
  <c r="MH86" i="13"/>
  <c r="MG86" i="13"/>
  <c r="MF86" i="13"/>
  <c r="MD86" i="13"/>
  <c r="KF86" i="13"/>
  <c r="KE86" i="13"/>
  <c r="KD86" i="13"/>
  <c r="KC86" i="13"/>
  <c r="KB86" i="13"/>
  <c r="JX86" i="13"/>
  <c r="JT86" i="13"/>
  <c r="JR86" i="13"/>
  <c r="JM86" i="13"/>
  <c r="JL86" i="13"/>
  <c r="JK86" i="13"/>
  <c r="JI86" i="13"/>
  <c r="JH86" i="13"/>
  <c r="JG86" i="13"/>
  <c r="JC86" i="13"/>
  <c r="JA86" i="13"/>
  <c r="IY86" i="13"/>
  <c r="IX86" i="13"/>
  <c r="IV86" i="13"/>
  <c r="IT86" i="13"/>
  <c r="IR86" i="13"/>
  <c r="IQ86" i="13"/>
  <c r="IN86" i="13"/>
  <c r="IM86" i="13"/>
  <c r="IL86" i="13"/>
  <c r="IK86" i="13"/>
  <c r="IJ86" i="13"/>
  <c r="II86" i="13"/>
  <c r="IE86" i="13"/>
  <c r="ID86" i="13"/>
  <c r="IA86" i="13"/>
  <c r="HZ86" i="13"/>
  <c r="HY86" i="13"/>
  <c r="HX86" i="13"/>
  <c r="HV86" i="13"/>
  <c r="HT86" i="13"/>
  <c r="HS86" i="13"/>
  <c r="HR86" i="13"/>
  <c r="HQ86" i="13"/>
  <c r="HP86" i="13"/>
  <c r="HO86" i="13"/>
  <c r="HN86" i="13"/>
  <c r="HM86" i="13"/>
  <c r="HK86" i="13"/>
  <c r="HI86" i="13"/>
  <c r="HG86" i="13"/>
  <c r="HF86" i="13"/>
  <c r="HE86" i="13"/>
  <c r="HD86" i="13"/>
  <c r="HC86" i="13"/>
  <c r="GO86" i="13"/>
  <c r="GM86" i="13"/>
  <c r="GK86" i="13"/>
  <c r="GD86" i="13"/>
  <c r="FW86" i="13"/>
  <c r="FV86" i="13"/>
  <c r="FU86" i="13"/>
  <c r="FT86" i="13"/>
  <c r="FS86" i="13"/>
  <c r="FR86" i="13"/>
  <c r="FQ86" i="13"/>
  <c r="FP86" i="13"/>
  <c r="FO86" i="13"/>
  <c r="FN86" i="13"/>
  <c r="FL86" i="13"/>
  <c r="FK86" i="13"/>
  <c r="FJ86" i="13"/>
  <c r="FG86" i="13"/>
  <c r="FF86" i="13"/>
  <c r="FE86" i="13"/>
  <c r="FD86" i="13"/>
  <c r="FC86" i="13"/>
  <c r="FB86" i="13"/>
  <c r="EZ86" i="13"/>
  <c r="EY86" i="13"/>
  <c r="EX86" i="13"/>
  <c r="EW86" i="13"/>
  <c r="EV86" i="13"/>
  <c r="EU86" i="13"/>
  <c r="ER86" i="13"/>
  <c r="EQ86" i="13"/>
  <c r="EP86" i="13"/>
  <c r="EO86" i="13"/>
  <c r="EN86" i="13"/>
  <c r="EM86" i="13"/>
  <c r="EL86" i="13"/>
  <c r="EK86" i="13"/>
  <c r="EC86" i="13"/>
  <c r="EB86" i="13"/>
  <c r="EA86" i="13"/>
  <c r="DZ86" i="13"/>
  <c r="DY86" i="13"/>
  <c r="DX86" i="13"/>
  <c r="DV86" i="13"/>
  <c r="DT86" i="13"/>
  <c r="DS86" i="13"/>
  <c r="DR86" i="13"/>
  <c r="DO86" i="13"/>
  <c r="DI86" i="13"/>
  <c r="DH86" i="13"/>
  <c r="DG86" i="13"/>
  <c r="DF86" i="13"/>
  <c r="DC86" i="13"/>
  <c r="CZ86" i="13"/>
  <c r="CY86" i="13"/>
  <c r="CX86" i="13"/>
  <c r="CW86" i="13"/>
  <c r="CV86" i="13"/>
  <c r="CU86" i="13"/>
  <c r="CS86" i="13"/>
  <c r="CR86" i="13"/>
  <c r="CP86" i="13"/>
  <c r="CM86" i="13"/>
  <c r="CL86" i="13"/>
  <c r="CK86" i="13"/>
  <c r="CJ86" i="13"/>
  <c r="CI86" i="13"/>
  <c r="CH86" i="13"/>
  <c r="CG86" i="13"/>
  <c r="CC86" i="13"/>
  <c r="CB86" i="13"/>
  <c r="CA86" i="13"/>
  <c r="BW86" i="13"/>
  <c r="BV86" i="13"/>
  <c r="BS86" i="13"/>
  <c r="BO86" i="13"/>
  <c r="BN86" i="13"/>
  <c r="BM86" i="13"/>
  <c r="BL86" i="13"/>
  <c r="BJ86" i="13"/>
  <c r="BI86" i="13"/>
  <c r="BH86" i="13"/>
  <c r="BE86" i="13"/>
  <c r="BB86" i="13"/>
  <c r="BA86" i="13"/>
  <c r="AY86" i="13"/>
  <c r="AX86" i="13"/>
  <c r="AW86" i="13"/>
  <c r="AU86" i="13"/>
  <c r="AN86" i="13"/>
  <c r="AL86" i="13"/>
  <c r="AK86" i="13"/>
  <c r="AJ86" i="13"/>
  <c r="AI86" i="13"/>
  <c r="AH86" i="13"/>
  <c r="AG86" i="13"/>
  <c r="AF86" i="13"/>
  <c r="AE86" i="13"/>
  <c r="AD86" i="13"/>
  <c r="AC86" i="13"/>
  <c r="Y86" i="13"/>
  <c r="X86" i="13"/>
  <c r="U86" i="13"/>
  <c r="T86" i="13"/>
  <c r="R86" i="13"/>
  <c r="Q86" i="13"/>
  <c r="P86" i="13"/>
  <c r="O86" i="13"/>
  <c r="N86" i="13"/>
  <c r="MI80" i="13"/>
  <c r="MH80" i="13"/>
  <c r="MG80" i="13"/>
  <c r="MF80" i="13"/>
  <c r="MD80" i="13"/>
  <c r="KF80" i="13"/>
  <c r="KE80" i="13"/>
  <c r="KD80" i="13"/>
  <c r="KC80" i="13"/>
  <c r="KB80" i="13"/>
  <c r="JX80" i="13"/>
  <c r="JT80" i="13"/>
  <c r="JR80" i="13"/>
  <c r="JM80" i="13"/>
  <c r="JL80" i="13"/>
  <c r="JK80" i="13"/>
  <c r="JI80" i="13"/>
  <c r="JH80" i="13"/>
  <c r="JG80" i="13"/>
  <c r="JC80" i="13"/>
  <c r="JA80" i="13"/>
  <c r="IY80" i="13"/>
  <c r="IX80" i="13"/>
  <c r="IV80" i="13"/>
  <c r="IT80" i="13"/>
  <c r="IR80" i="13"/>
  <c r="IQ80" i="13"/>
  <c r="IN80" i="13"/>
  <c r="IM80" i="13"/>
  <c r="IL80" i="13"/>
  <c r="IK80" i="13"/>
  <c r="IJ80" i="13"/>
  <c r="II80" i="13"/>
  <c r="IE80" i="13"/>
  <c r="ID80" i="13"/>
  <c r="IA80" i="13"/>
  <c r="HZ80" i="13"/>
  <c r="HY80" i="13"/>
  <c r="HX80" i="13"/>
  <c r="HV80" i="13"/>
  <c r="HT80" i="13"/>
  <c r="HS80" i="13"/>
  <c r="HR80" i="13"/>
  <c r="HQ80" i="13"/>
  <c r="HP80" i="13"/>
  <c r="HO80" i="13"/>
  <c r="HN80" i="13"/>
  <c r="HM80" i="13"/>
  <c r="HK80" i="13"/>
  <c r="HI80" i="13"/>
  <c r="HG80" i="13"/>
  <c r="HF80" i="13"/>
  <c r="HE80" i="13"/>
  <c r="HD80" i="13"/>
  <c r="HC80" i="13"/>
  <c r="GO80" i="13"/>
  <c r="GM80" i="13"/>
  <c r="GK80" i="13"/>
  <c r="GD80" i="13"/>
  <c r="FW80" i="13"/>
  <c r="FV80" i="13"/>
  <c r="FU80" i="13"/>
  <c r="FT80" i="13"/>
  <c r="FS80" i="13"/>
  <c r="FR80" i="13"/>
  <c r="FQ80" i="13"/>
  <c r="FP80" i="13"/>
  <c r="FO80" i="13"/>
  <c r="FN80" i="13"/>
  <c r="FL80" i="13"/>
  <c r="FK80" i="13"/>
  <c r="FJ80" i="13"/>
  <c r="FG80" i="13"/>
  <c r="FF80" i="13"/>
  <c r="FE80" i="13"/>
  <c r="FD80" i="13"/>
  <c r="FC80" i="13"/>
  <c r="FB80" i="13"/>
  <c r="EZ80" i="13"/>
  <c r="EY80" i="13"/>
  <c r="EX80" i="13"/>
  <c r="EW80" i="13"/>
  <c r="EV80" i="13"/>
  <c r="EU80" i="13"/>
  <c r="ER80" i="13"/>
  <c r="EQ80" i="13"/>
  <c r="EP80" i="13"/>
  <c r="EO80" i="13"/>
  <c r="EN80" i="13"/>
  <c r="EM80" i="13"/>
  <c r="EL80" i="13"/>
  <c r="EK80" i="13"/>
  <c r="EC80" i="13"/>
  <c r="EB80" i="13"/>
  <c r="EA80" i="13"/>
  <c r="DZ80" i="13"/>
  <c r="DY80" i="13"/>
  <c r="DX80" i="13"/>
  <c r="DV80" i="13"/>
  <c r="DT80" i="13"/>
  <c r="DS80" i="13"/>
  <c r="DR80" i="13"/>
  <c r="DO80" i="13"/>
  <c r="DI80" i="13"/>
  <c r="DH80" i="13"/>
  <c r="DG80" i="13"/>
  <c r="DF80" i="13"/>
  <c r="DC80" i="13"/>
  <c r="CZ80" i="13"/>
  <c r="CY80" i="13"/>
  <c r="CX80" i="13"/>
  <c r="CW80" i="13"/>
  <c r="CV80" i="13"/>
  <c r="CU80" i="13"/>
  <c r="CS80" i="13"/>
  <c r="CR80" i="13"/>
  <c r="CP80" i="13"/>
  <c r="CM80" i="13"/>
  <c r="CL80" i="13"/>
  <c r="CK80" i="13"/>
  <c r="CJ80" i="13"/>
  <c r="CI80" i="13"/>
  <c r="CH80" i="13"/>
  <c r="CG80" i="13"/>
  <c r="CC80" i="13"/>
  <c r="CB80" i="13"/>
  <c r="CA80" i="13"/>
  <c r="BW80" i="13"/>
  <c r="BV80" i="13"/>
  <c r="BS80" i="13"/>
  <c r="BO80" i="13"/>
  <c r="BN80" i="13"/>
  <c r="BM80" i="13"/>
  <c r="BL80" i="13"/>
  <c r="BJ80" i="13"/>
  <c r="BI80" i="13"/>
  <c r="BH80" i="13"/>
  <c r="BE80" i="13"/>
  <c r="BB80" i="13"/>
  <c r="BA80" i="13"/>
  <c r="AY80" i="13"/>
  <c r="AX80" i="13"/>
  <c r="AW80" i="13"/>
  <c r="AU80" i="13"/>
  <c r="AN80" i="13"/>
  <c r="AL80" i="13"/>
  <c r="AK80" i="13"/>
  <c r="AJ80" i="13"/>
  <c r="AI80" i="13"/>
  <c r="AH80" i="13"/>
  <c r="AG80" i="13"/>
  <c r="AF80" i="13"/>
  <c r="AE80" i="13"/>
  <c r="AD80" i="13"/>
  <c r="AC80" i="13"/>
  <c r="Y80" i="13"/>
  <c r="X80" i="13"/>
  <c r="U80" i="13"/>
  <c r="T80" i="13"/>
  <c r="R80" i="13"/>
  <c r="Q80" i="13"/>
  <c r="P80" i="13"/>
  <c r="O80" i="13"/>
  <c r="N80" i="13"/>
  <c r="MI70" i="13"/>
  <c r="MH70" i="13"/>
  <c r="MG70" i="13"/>
  <c r="MF70" i="13"/>
  <c r="MD70" i="13"/>
  <c r="KF70" i="13"/>
  <c r="KE70" i="13"/>
  <c r="KD70" i="13"/>
  <c r="KC70" i="13"/>
  <c r="KB70" i="13"/>
  <c r="JX70" i="13"/>
  <c r="JT70" i="13"/>
  <c r="JR70" i="13"/>
  <c r="JM70" i="13"/>
  <c r="JL70" i="13"/>
  <c r="JK70" i="13"/>
  <c r="JI70" i="13"/>
  <c r="JH70" i="13"/>
  <c r="JG70" i="13"/>
  <c r="JC70" i="13"/>
  <c r="JA70" i="13"/>
  <c r="IY70" i="13"/>
  <c r="IX70" i="13"/>
  <c r="IV70" i="13"/>
  <c r="IT70" i="13"/>
  <c r="IR70" i="13"/>
  <c r="IQ70" i="13"/>
  <c r="IN70" i="13"/>
  <c r="IM70" i="13"/>
  <c r="IL70" i="13"/>
  <c r="IK70" i="13"/>
  <c r="IJ70" i="13"/>
  <c r="II70" i="13"/>
  <c r="IE70" i="13"/>
  <c r="ID70" i="13"/>
  <c r="IA70" i="13"/>
  <c r="HZ70" i="13"/>
  <c r="HY70" i="13"/>
  <c r="HX70" i="13"/>
  <c r="HV70" i="13"/>
  <c r="HT70" i="13"/>
  <c r="HS70" i="13"/>
  <c r="HR70" i="13"/>
  <c r="HQ70" i="13"/>
  <c r="HP70" i="13"/>
  <c r="HO70" i="13"/>
  <c r="HN70" i="13"/>
  <c r="HM70" i="13"/>
  <c r="HK70" i="13"/>
  <c r="HI70" i="13"/>
  <c r="HG70" i="13"/>
  <c r="HF70" i="13"/>
  <c r="HE70" i="13"/>
  <c r="HD70" i="13"/>
  <c r="HC70" i="13"/>
  <c r="GO70" i="13"/>
  <c r="GM70" i="13"/>
  <c r="GK70" i="13"/>
  <c r="GD70" i="13"/>
  <c r="FW70" i="13"/>
  <c r="FV70" i="13"/>
  <c r="FU70" i="13"/>
  <c r="FT70" i="13"/>
  <c r="FS70" i="13"/>
  <c r="FR70" i="13"/>
  <c r="FQ70" i="13"/>
  <c r="FP70" i="13"/>
  <c r="FO70" i="13"/>
  <c r="FN70" i="13"/>
  <c r="FL70" i="13"/>
  <c r="FK70" i="13"/>
  <c r="FJ70" i="13"/>
  <c r="FG70" i="13"/>
  <c r="FF70" i="13"/>
  <c r="FE70" i="13"/>
  <c r="FD70" i="13"/>
  <c r="FC70" i="13"/>
  <c r="FB70" i="13"/>
  <c r="EZ70" i="13"/>
  <c r="EY70" i="13"/>
  <c r="EX70" i="13"/>
  <c r="EW70" i="13"/>
  <c r="EV70" i="13"/>
  <c r="EU70" i="13"/>
  <c r="ER70" i="13"/>
  <c r="EQ70" i="13"/>
  <c r="EP70" i="13"/>
  <c r="EO70" i="13"/>
  <c r="EN70" i="13"/>
  <c r="EM70" i="13"/>
  <c r="EL70" i="13"/>
  <c r="EK70" i="13"/>
  <c r="EC70" i="13"/>
  <c r="EB70" i="13"/>
  <c r="EA70" i="13"/>
  <c r="DZ70" i="13"/>
  <c r="DY70" i="13"/>
  <c r="DX70" i="13"/>
  <c r="DV70" i="13"/>
  <c r="DT70" i="13"/>
  <c r="DS70" i="13"/>
  <c r="DR70" i="13"/>
  <c r="DO70" i="13"/>
  <c r="DI70" i="13"/>
  <c r="DH70" i="13"/>
  <c r="DG70" i="13"/>
  <c r="DF70" i="13"/>
  <c r="DC70" i="13"/>
  <c r="CZ70" i="13"/>
  <c r="CY70" i="13"/>
  <c r="CX70" i="13"/>
  <c r="CW70" i="13"/>
  <c r="CV70" i="13"/>
  <c r="CU70" i="13"/>
  <c r="CS70" i="13"/>
  <c r="CR70" i="13"/>
  <c r="CP70" i="13"/>
  <c r="CM70" i="13"/>
  <c r="CL70" i="13"/>
  <c r="CK70" i="13"/>
  <c r="CJ70" i="13"/>
  <c r="CI70" i="13"/>
  <c r="CH70" i="13"/>
  <c r="CG70" i="13"/>
  <c r="CC70" i="13"/>
  <c r="CB70" i="13"/>
  <c r="CA70" i="13"/>
  <c r="BW70" i="13"/>
  <c r="BV70" i="13"/>
  <c r="BS70" i="13"/>
  <c r="BO70" i="13"/>
  <c r="BN70" i="13"/>
  <c r="BM70" i="13"/>
  <c r="BL70" i="13"/>
  <c r="BJ70" i="13"/>
  <c r="BI70" i="13"/>
  <c r="BH70" i="13"/>
  <c r="BE70" i="13"/>
  <c r="BB70" i="13"/>
  <c r="BA70" i="13"/>
  <c r="AY70" i="13"/>
  <c r="AX70" i="13"/>
  <c r="AW70" i="13"/>
  <c r="AU70" i="13"/>
  <c r="AN70" i="13"/>
  <c r="AL70" i="13"/>
  <c r="AK70" i="13"/>
  <c r="AJ70" i="13"/>
  <c r="AI70" i="13"/>
  <c r="AH70" i="13"/>
  <c r="AG70" i="13"/>
  <c r="AF70" i="13"/>
  <c r="AE70" i="13"/>
  <c r="AD70" i="13"/>
  <c r="AC70" i="13"/>
  <c r="Y70" i="13"/>
  <c r="X70" i="13"/>
  <c r="U70" i="13"/>
  <c r="T70" i="13"/>
  <c r="R70" i="13"/>
  <c r="Q70" i="13"/>
  <c r="P70" i="13"/>
  <c r="O70" i="13"/>
  <c r="N70" i="13"/>
  <c r="MI67" i="13"/>
  <c r="MH67" i="13"/>
  <c r="MG67" i="13"/>
  <c r="MF67" i="13"/>
  <c r="MD67" i="13"/>
  <c r="KF67" i="13"/>
  <c r="KE67" i="13"/>
  <c r="KD67" i="13"/>
  <c r="KC67" i="13"/>
  <c r="KB67" i="13"/>
  <c r="JX67" i="13"/>
  <c r="JT67" i="13"/>
  <c r="JR67" i="13"/>
  <c r="JM67" i="13"/>
  <c r="JL67" i="13"/>
  <c r="JK67" i="13"/>
  <c r="JI67" i="13"/>
  <c r="JH67" i="13"/>
  <c r="JG67" i="13"/>
  <c r="JC67" i="13"/>
  <c r="JA67" i="13"/>
  <c r="IY67" i="13"/>
  <c r="IX67" i="13"/>
  <c r="IV67" i="13"/>
  <c r="IT67" i="13"/>
  <c r="IR67" i="13"/>
  <c r="IQ67" i="13"/>
  <c r="IN67" i="13"/>
  <c r="IM67" i="13"/>
  <c r="IL67" i="13"/>
  <c r="IK67" i="13"/>
  <c r="IJ67" i="13"/>
  <c r="II67" i="13"/>
  <c r="IE67" i="13"/>
  <c r="ID67" i="13"/>
  <c r="IA67" i="13"/>
  <c r="HZ67" i="13"/>
  <c r="HY67" i="13"/>
  <c r="HX67" i="13"/>
  <c r="HV67" i="13"/>
  <c r="HT67" i="13"/>
  <c r="HS67" i="13"/>
  <c r="HR67" i="13"/>
  <c r="HQ67" i="13"/>
  <c r="HP67" i="13"/>
  <c r="HO67" i="13"/>
  <c r="HN67" i="13"/>
  <c r="HM67" i="13"/>
  <c r="HK67" i="13"/>
  <c r="HI67" i="13"/>
  <c r="HG67" i="13"/>
  <c r="HF67" i="13"/>
  <c r="HE67" i="13"/>
  <c r="HD67" i="13"/>
  <c r="HC67" i="13"/>
  <c r="GO67" i="13"/>
  <c r="GM67" i="13"/>
  <c r="GK67" i="13"/>
  <c r="GD67" i="13"/>
  <c r="FW67" i="13"/>
  <c r="FV67" i="13"/>
  <c r="FU67" i="13"/>
  <c r="FT67" i="13"/>
  <c r="FS67" i="13"/>
  <c r="FR67" i="13"/>
  <c r="FQ67" i="13"/>
  <c r="FP67" i="13"/>
  <c r="FO67" i="13"/>
  <c r="FN67" i="13"/>
  <c r="FL67" i="13"/>
  <c r="FK67" i="13"/>
  <c r="FJ67" i="13"/>
  <c r="FG67" i="13"/>
  <c r="FF67" i="13"/>
  <c r="FE67" i="13"/>
  <c r="FD67" i="13"/>
  <c r="FC67" i="13"/>
  <c r="FB67" i="13"/>
  <c r="EZ67" i="13"/>
  <c r="EY67" i="13"/>
  <c r="EX67" i="13"/>
  <c r="EW67" i="13"/>
  <c r="EV67" i="13"/>
  <c r="EU67" i="13"/>
  <c r="ER67" i="13"/>
  <c r="EQ67" i="13"/>
  <c r="EP67" i="13"/>
  <c r="EO67" i="13"/>
  <c r="EN67" i="13"/>
  <c r="EM67" i="13"/>
  <c r="EL67" i="13"/>
  <c r="EK67" i="13"/>
  <c r="EC67" i="13"/>
  <c r="EB67" i="13"/>
  <c r="EA67" i="13"/>
  <c r="DZ67" i="13"/>
  <c r="DY67" i="13"/>
  <c r="DX67" i="13"/>
  <c r="DV67" i="13"/>
  <c r="DT67" i="13"/>
  <c r="DS67" i="13"/>
  <c r="DR67" i="13"/>
  <c r="DO67" i="13"/>
  <c r="DI67" i="13"/>
  <c r="DH67" i="13"/>
  <c r="DG67" i="13"/>
  <c r="DF67" i="13"/>
  <c r="DC67" i="13"/>
  <c r="CZ67" i="13"/>
  <c r="CY67" i="13"/>
  <c r="CX67" i="13"/>
  <c r="CW67" i="13"/>
  <c r="CV67" i="13"/>
  <c r="CU67" i="13"/>
  <c r="CS67" i="13"/>
  <c r="CR67" i="13"/>
  <c r="CP67" i="13"/>
  <c r="CM67" i="13"/>
  <c r="CL67" i="13"/>
  <c r="CK67" i="13"/>
  <c r="CJ67" i="13"/>
  <c r="CI67" i="13"/>
  <c r="CH67" i="13"/>
  <c r="CG67" i="13"/>
  <c r="CC67" i="13"/>
  <c r="CB67" i="13"/>
  <c r="CA67" i="13"/>
  <c r="BW67" i="13"/>
  <c r="BV67" i="13"/>
  <c r="BS67" i="13"/>
  <c r="BO67" i="13"/>
  <c r="BN67" i="13"/>
  <c r="BM67" i="13"/>
  <c r="BL67" i="13"/>
  <c r="BJ67" i="13"/>
  <c r="BI67" i="13"/>
  <c r="BH67" i="13"/>
  <c r="BE67" i="13"/>
  <c r="BB67" i="13"/>
  <c r="BA67" i="13"/>
  <c r="AY67" i="13"/>
  <c r="AX67" i="13"/>
  <c r="AW67" i="13"/>
  <c r="AU67" i="13"/>
  <c r="AN67" i="13"/>
  <c r="AL67" i="13"/>
  <c r="AK67" i="13"/>
  <c r="AJ67" i="13"/>
  <c r="AI67" i="13"/>
  <c r="AH67" i="13"/>
  <c r="AG67" i="13"/>
  <c r="AF67" i="13"/>
  <c r="AE67" i="13"/>
  <c r="AD67" i="13"/>
  <c r="AC67" i="13"/>
  <c r="Y67" i="13"/>
  <c r="X67" i="13"/>
  <c r="U67" i="13"/>
  <c r="T67" i="13"/>
  <c r="R67" i="13"/>
  <c r="Q67" i="13"/>
  <c r="P67" i="13"/>
  <c r="O67" i="13"/>
  <c r="N67" i="13"/>
  <c r="MI65" i="13"/>
  <c r="MH65" i="13"/>
  <c r="MG65" i="13"/>
  <c r="MF65" i="13"/>
  <c r="MD65" i="13"/>
  <c r="KF65" i="13"/>
  <c r="KE65" i="13"/>
  <c r="KD65" i="13"/>
  <c r="KC65" i="13"/>
  <c r="KB65" i="13"/>
  <c r="JX65" i="13"/>
  <c r="JT65" i="13"/>
  <c r="JR65" i="13"/>
  <c r="JM65" i="13"/>
  <c r="JL65" i="13"/>
  <c r="JK65" i="13"/>
  <c r="JI65" i="13"/>
  <c r="JH65" i="13"/>
  <c r="JG65" i="13"/>
  <c r="JC65" i="13"/>
  <c r="JA65" i="13"/>
  <c r="IY65" i="13"/>
  <c r="IX65" i="13"/>
  <c r="IV65" i="13"/>
  <c r="IT65" i="13"/>
  <c r="IR65" i="13"/>
  <c r="IQ65" i="13"/>
  <c r="IN65" i="13"/>
  <c r="IM65" i="13"/>
  <c r="IL65" i="13"/>
  <c r="IK65" i="13"/>
  <c r="IJ65" i="13"/>
  <c r="II65" i="13"/>
  <c r="IE65" i="13"/>
  <c r="ID65" i="13"/>
  <c r="IA65" i="13"/>
  <c r="HZ65" i="13"/>
  <c r="HY65" i="13"/>
  <c r="HX65" i="13"/>
  <c r="HV65" i="13"/>
  <c r="HT65" i="13"/>
  <c r="HS65" i="13"/>
  <c r="HR65" i="13"/>
  <c r="HQ65" i="13"/>
  <c r="HP65" i="13"/>
  <c r="HO65" i="13"/>
  <c r="HN65" i="13"/>
  <c r="HM65" i="13"/>
  <c r="HK65" i="13"/>
  <c r="HI65" i="13"/>
  <c r="HG65" i="13"/>
  <c r="HF65" i="13"/>
  <c r="HE65" i="13"/>
  <c r="HD65" i="13"/>
  <c r="HC65" i="13"/>
  <c r="GO65" i="13"/>
  <c r="GM65" i="13"/>
  <c r="GK65" i="13"/>
  <c r="GD65" i="13"/>
  <c r="FW65" i="13"/>
  <c r="FV65" i="13"/>
  <c r="FU65" i="13"/>
  <c r="FT65" i="13"/>
  <c r="FS65" i="13"/>
  <c r="FR65" i="13"/>
  <c r="FQ65" i="13"/>
  <c r="FP65" i="13"/>
  <c r="FO65" i="13"/>
  <c r="FN65" i="13"/>
  <c r="FL65" i="13"/>
  <c r="FK65" i="13"/>
  <c r="FJ65" i="13"/>
  <c r="FG65" i="13"/>
  <c r="FF65" i="13"/>
  <c r="FE65" i="13"/>
  <c r="FD65" i="13"/>
  <c r="FC65" i="13"/>
  <c r="FB65" i="13"/>
  <c r="EZ65" i="13"/>
  <c r="EY65" i="13"/>
  <c r="EX65" i="13"/>
  <c r="EW65" i="13"/>
  <c r="EV65" i="13"/>
  <c r="EU65" i="13"/>
  <c r="ER65" i="13"/>
  <c r="EQ65" i="13"/>
  <c r="EP65" i="13"/>
  <c r="EO65" i="13"/>
  <c r="EN65" i="13"/>
  <c r="EM65" i="13"/>
  <c r="EL65" i="13"/>
  <c r="EK65" i="13"/>
  <c r="EC65" i="13"/>
  <c r="EB65" i="13"/>
  <c r="EA65" i="13"/>
  <c r="DZ65" i="13"/>
  <c r="DY65" i="13"/>
  <c r="DX65" i="13"/>
  <c r="DV65" i="13"/>
  <c r="DT65" i="13"/>
  <c r="DS65" i="13"/>
  <c r="DR65" i="13"/>
  <c r="DO65" i="13"/>
  <c r="DI65" i="13"/>
  <c r="DH65" i="13"/>
  <c r="DG65" i="13"/>
  <c r="DF65" i="13"/>
  <c r="DC65" i="13"/>
  <c r="CZ65" i="13"/>
  <c r="CY65" i="13"/>
  <c r="CX65" i="13"/>
  <c r="CW65" i="13"/>
  <c r="CV65" i="13"/>
  <c r="CU65" i="13"/>
  <c r="CS65" i="13"/>
  <c r="CR65" i="13"/>
  <c r="CP65" i="13"/>
  <c r="CM65" i="13"/>
  <c r="CL65" i="13"/>
  <c r="CK65" i="13"/>
  <c r="CJ65" i="13"/>
  <c r="CI65" i="13"/>
  <c r="CH65" i="13"/>
  <c r="CG65" i="13"/>
  <c r="CC65" i="13"/>
  <c r="CB65" i="13"/>
  <c r="CA65" i="13"/>
  <c r="BW65" i="13"/>
  <c r="BV65" i="13"/>
  <c r="BS65" i="13"/>
  <c r="BO65" i="13"/>
  <c r="BN65" i="13"/>
  <c r="BM65" i="13"/>
  <c r="BL65" i="13"/>
  <c r="BJ65" i="13"/>
  <c r="BI65" i="13"/>
  <c r="BH65" i="13"/>
  <c r="BE65" i="13"/>
  <c r="BB65" i="13"/>
  <c r="BA65" i="13"/>
  <c r="AY65" i="13"/>
  <c r="AX65" i="13"/>
  <c r="AW65" i="13"/>
  <c r="AU65" i="13"/>
  <c r="AN65" i="13"/>
  <c r="AL65" i="13"/>
  <c r="AK65" i="13"/>
  <c r="AJ65" i="13"/>
  <c r="AI65" i="13"/>
  <c r="AH65" i="13"/>
  <c r="AG65" i="13"/>
  <c r="AF65" i="13"/>
  <c r="AE65" i="13"/>
  <c r="AD65" i="13"/>
  <c r="AC65" i="13"/>
  <c r="Y65" i="13"/>
  <c r="X65" i="13"/>
  <c r="U65" i="13"/>
  <c r="T65" i="13"/>
  <c r="R65" i="13"/>
  <c r="Q65" i="13"/>
  <c r="P65" i="13"/>
  <c r="O65" i="13"/>
  <c r="N65" i="13"/>
  <c r="MI44" i="13"/>
  <c r="MH44" i="13"/>
  <c r="MG44" i="13"/>
  <c r="MF44" i="13"/>
  <c r="MD44" i="13"/>
  <c r="KF44" i="13"/>
  <c r="KE44" i="13"/>
  <c r="KD44" i="13"/>
  <c r="KC44" i="13"/>
  <c r="KB44" i="13"/>
  <c r="JX44" i="13"/>
  <c r="JT44" i="13"/>
  <c r="JR44" i="13"/>
  <c r="JM44" i="13"/>
  <c r="JL44" i="13"/>
  <c r="JK44" i="13"/>
  <c r="JI44" i="13"/>
  <c r="JH44" i="13"/>
  <c r="JG44" i="13"/>
  <c r="JC44" i="13"/>
  <c r="JA44" i="13"/>
  <c r="IY44" i="13"/>
  <c r="IX44" i="13"/>
  <c r="IV44" i="13"/>
  <c r="IT44" i="13"/>
  <c r="IR44" i="13"/>
  <c r="IQ44" i="13"/>
  <c r="IN44" i="13"/>
  <c r="IM44" i="13"/>
  <c r="IL44" i="13"/>
  <c r="IK44" i="13"/>
  <c r="IJ44" i="13"/>
  <c r="II44" i="13"/>
  <c r="IE44" i="13"/>
  <c r="ID44" i="13"/>
  <c r="IA44" i="13"/>
  <c r="HZ44" i="13"/>
  <c r="HY44" i="13"/>
  <c r="HX44" i="13"/>
  <c r="HV44" i="13"/>
  <c r="HT44" i="13"/>
  <c r="HS44" i="13"/>
  <c r="HR44" i="13"/>
  <c r="HQ44" i="13"/>
  <c r="HP44" i="13"/>
  <c r="HO44" i="13"/>
  <c r="HN44" i="13"/>
  <c r="HM44" i="13"/>
  <c r="HK44" i="13"/>
  <c r="HI44" i="13"/>
  <c r="HG44" i="13"/>
  <c r="HF44" i="13"/>
  <c r="HE44" i="13"/>
  <c r="HD44" i="13"/>
  <c r="HC44" i="13"/>
  <c r="GO44" i="13"/>
  <c r="GM44" i="13"/>
  <c r="GK44" i="13"/>
  <c r="GD44" i="13"/>
  <c r="FW44" i="13"/>
  <c r="FV44" i="13"/>
  <c r="FU44" i="13"/>
  <c r="FT44" i="13"/>
  <c r="FS44" i="13"/>
  <c r="FR44" i="13"/>
  <c r="FQ44" i="13"/>
  <c r="FP44" i="13"/>
  <c r="FO44" i="13"/>
  <c r="FN44" i="13"/>
  <c r="FL44" i="13"/>
  <c r="FK44" i="13"/>
  <c r="FJ44" i="13"/>
  <c r="FG44" i="13"/>
  <c r="FF44" i="13"/>
  <c r="FE44" i="13"/>
  <c r="FD44" i="13"/>
  <c r="FC44" i="13"/>
  <c r="FB44" i="13"/>
  <c r="EZ44" i="13"/>
  <c r="EY44" i="13"/>
  <c r="EX44" i="13"/>
  <c r="EW44" i="13"/>
  <c r="EV44" i="13"/>
  <c r="EU44" i="13"/>
  <c r="ER44" i="13"/>
  <c r="EQ44" i="13"/>
  <c r="EP44" i="13"/>
  <c r="EO44" i="13"/>
  <c r="EN44" i="13"/>
  <c r="EM44" i="13"/>
  <c r="EL44" i="13"/>
  <c r="EK44" i="13"/>
  <c r="EC44" i="13"/>
  <c r="EB44" i="13"/>
  <c r="EA44" i="13"/>
  <c r="DZ44" i="13"/>
  <c r="DY44" i="13"/>
  <c r="DX44" i="13"/>
  <c r="DV44" i="13"/>
  <c r="DT44" i="13"/>
  <c r="DS44" i="13"/>
  <c r="DR44" i="13"/>
  <c r="DO44" i="13"/>
  <c r="DI44" i="13"/>
  <c r="DH44" i="13"/>
  <c r="DG44" i="13"/>
  <c r="DF44" i="13"/>
  <c r="DC44" i="13"/>
  <c r="CZ44" i="13"/>
  <c r="CY44" i="13"/>
  <c r="CX44" i="13"/>
  <c r="CW44" i="13"/>
  <c r="CV44" i="13"/>
  <c r="CU44" i="13"/>
  <c r="CS44" i="13"/>
  <c r="CR44" i="13"/>
  <c r="CP44" i="13"/>
  <c r="CM44" i="13"/>
  <c r="CL44" i="13"/>
  <c r="CK44" i="13"/>
  <c r="CJ44" i="13"/>
  <c r="CI44" i="13"/>
  <c r="CH44" i="13"/>
  <c r="CG44" i="13"/>
  <c r="CC44" i="13"/>
  <c r="CB44" i="13"/>
  <c r="CA44" i="13"/>
  <c r="BW44" i="13"/>
  <c r="BV44" i="13"/>
  <c r="BS44" i="13"/>
  <c r="BO44" i="13"/>
  <c r="BN44" i="13"/>
  <c r="BM44" i="13"/>
  <c r="BL44" i="13"/>
  <c r="BJ44" i="13"/>
  <c r="BI44" i="13"/>
  <c r="BH44" i="13"/>
  <c r="BE44" i="13"/>
  <c r="BB44" i="13"/>
  <c r="BA44" i="13"/>
  <c r="AY44" i="13"/>
  <c r="AX44" i="13"/>
  <c r="AW44" i="13"/>
  <c r="AU44" i="13"/>
  <c r="AN44" i="13"/>
  <c r="AL44" i="13"/>
  <c r="AK44" i="13"/>
  <c r="AJ44" i="13"/>
  <c r="AI44" i="13"/>
  <c r="AH44" i="13"/>
  <c r="AG44" i="13"/>
  <c r="AF44" i="13"/>
  <c r="AE44" i="13"/>
  <c r="AD44" i="13"/>
  <c r="AC44" i="13"/>
  <c r="Y44" i="13"/>
  <c r="X44" i="13"/>
  <c r="U44" i="13"/>
  <c r="T44" i="13"/>
  <c r="R44" i="13"/>
  <c r="Q44" i="13"/>
  <c r="P44" i="13"/>
  <c r="O44" i="13"/>
  <c r="N44" i="13"/>
  <c r="MI18" i="13"/>
  <c r="MH18" i="13"/>
  <c r="MG18" i="13"/>
  <c r="MF18" i="13"/>
  <c r="MD18" i="13"/>
  <c r="KF18" i="13"/>
  <c r="KE18" i="13"/>
  <c r="KD18" i="13"/>
  <c r="KC18" i="13"/>
  <c r="KB18" i="13"/>
  <c r="JX18" i="13"/>
  <c r="JT18" i="13"/>
  <c r="JR18" i="13"/>
  <c r="JM18" i="13"/>
  <c r="JL18" i="13"/>
  <c r="JK18" i="13"/>
  <c r="JI18" i="13"/>
  <c r="JH18" i="13"/>
  <c r="JG18" i="13"/>
  <c r="JC18" i="13"/>
  <c r="JA18" i="13"/>
  <c r="IY18" i="13"/>
  <c r="IX18" i="13"/>
  <c r="IV18" i="13"/>
  <c r="IT18" i="13"/>
  <c r="IR18" i="13"/>
  <c r="IQ18" i="13"/>
  <c r="IN18" i="13"/>
  <c r="IM18" i="13"/>
  <c r="IL18" i="13"/>
  <c r="IK18" i="13"/>
  <c r="IJ18" i="13"/>
  <c r="II18" i="13"/>
  <c r="IE18" i="13"/>
  <c r="ID18" i="13"/>
  <c r="IA18" i="13"/>
  <c r="HZ18" i="13"/>
  <c r="HY18" i="13"/>
  <c r="HX18" i="13"/>
  <c r="HV18" i="13"/>
  <c r="HT18" i="13"/>
  <c r="HS18" i="13"/>
  <c r="HR18" i="13"/>
  <c r="HQ18" i="13"/>
  <c r="HP18" i="13"/>
  <c r="HO18" i="13"/>
  <c r="HN18" i="13"/>
  <c r="HM18" i="13"/>
  <c r="HK18" i="13"/>
  <c r="HI18" i="13"/>
  <c r="HG18" i="13"/>
  <c r="HF18" i="13"/>
  <c r="HE18" i="13"/>
  <c r="HD18" i="13"/>
  <c r="HC18" i="13"/>
  <c r="GO18" i="13"/>
  <c r="GM18" i="13"/>
  <c r="GK18" i="13"/>
  <c r="GD18" i="13"/>
  <c r="FW18" i="13"/>
  <c r="FV18" i="13"/>
  <c r="FU18" i="13"/>
  <c r="FT18" i="13"/>
  <c r="FS18" i="13"/>
  <c r="FR18" i="13"/>
  <c r="FQ18" i="13"/>
  <c r="FP18" i="13"/>
  <c r="FO18" i="13"/>
  <c r="FN18" i="13"/>
  <c r="FL18" i="13"/>
  <c r="FK18" i="13"/>
  <c r="FJ18" i="13"/>
  <c r="FG18" i="13"/>
  <c r="FF18" i="13"/>
  <c r="FE18" i="13"/>
  <c r="FD18" i="13"/>
  <c r="FC18" i="13"/>
  <c r="FB18" i="13"/>
  <c r="EZ18" i="13"/>
  <c r="EY18" i="13"/>
  <c r="EX18" i="13"/>
  <c r="EW18" i="13"/>
  <c r="EV18" i="13"/>
  <c r="EU18" i="13"/>
  <c r="ER18" i="13"/>
  <c r="EQ18" i="13"/>
  <c r="EP18" i="13"/>
  <c r="EO18" i="13"/>
  <c r="EN18" i="13"/>
  <c r="EM18" i="13"/>
  <c r="EL18" i="13"/>
  <c r="EK18" i="13"/>
  <c r="EC18" i="13"/>
  <c r="EB18" i="13"/>
  <c r="EA18" i="13"/>
  <c r="DZ18" i="13"/>
  <c r="DY18" i="13"/>
  <c r="DX18" i="13"/>
  <c r="DV18" i="13"/>
  <c r="DT18" i="13"/>
  <c r="DS18" i="13"/>
  <c r="DR18" i="13"/>
  <c r="DO18" i="13"/>
  <c r="DI18" i="13"/>
  <c r="DH18" i="13"/>
  <c r="DG18" i="13"/>
  <c r="DF18" i="13"/>
  <c r="DC18" i="13"/>
  <c r="CZ18" i="13"/>
  <c r="CY18" i="13"/>
  <c r="CX18" i="13"/>
  <c r="CW18" i="13"/>
  <c r="CV18" i="13"/>
  <c r="CU18" i="13"/>
  <c r="CS18" i="13"/>
  <c r="CR18" i="13"/>
  <c r="CP18" i="13"/>
  <c r="CM18" i="13"/>
  <c r="CL18" i="13"/>
  <c r="CK18" i="13"/>
  <c r="CJ18" i="13"/>
  <c r="CI18" i="13"/>
  <c r="CH18" i="13"/>
  <c r="CG18" i="13"/>
  <c r="CC18" i="13"/>
  <c r="CB18" i="13"/>
  <c r="CA18" i="13"/>
  <c r="BW18" i="13"/>
  <c r="BV18" i="13"/>
  <c r="BS18" i="13"/>
  <c r="BO18" i="13"/>
  <c r="BN18" i="13"/>
  <c r="BM18" i="13"/>
  <c r="BL18" i="13"/>
  <c r="BJ18" i="13"/>
  <c r="BI18" i="13"/>
  <c r="BH18" i="13"/>
  <c r="BE18" i="13"/>
  <c r="BB18" i="13"/>
  <c r="BA18" i="13"/>
  <c r="AY18" i="13"/>
  <c r="AX18" i="13"/>
  <c r="AW18" i="13"/>
  <c r="AU18" i="13"/>
  <c r="AN18" i="13"/>
  <c r="AL18" i="13"/>
  <c r="AK18" i="13"/>
  <c r="AJ18" i="13"/>
  <c r="AI18" i="13"/>
  <c r="AH18" i="13"/>
  <c r="AG18" i="13"/>
  <c r="AF18" i="13"/>
  <c r="AE18" i="13"/>
  <c r="AD18" i="13"/>
  <c r="AC18" i="13"/>
  <c r="Y18" i="13"/>
  <c r="X18" i="13"/>
  <c r="U18" i="13"/>
  <c r="T18" i="13"/>
  <c r="R18" i="13"/>
  <c r="Q18" i="13"/>
  <c r="P18" i="13"/>
  <c r="O18" i="13"/>
  <c r="N18" i="13"/>
  <c r="MI73" i="13"/>
  <c r="MH73" i="13"/>
  <c r="MG73" i="13"/>
  <c r="MF73" i="13"/>
  <c r="MD73" i="13"/>
  <c r="KF73" i="13"/>
  <c r="KE73" i="13"/>
  <c r="KD73" i="13"/>
  <c r="KC73" i="13"/>
  <c r="KB73" i="13"/>
  <c r="JZ73" i="13"/>
  <c r="JX73" i="13"/>
  <c r="JT73" i="13"/>
  <c r="JR73" i="13"/>
  <c r="JM73" i="13"/>
  <c r="JL73" i="13"/>
  <c r="JK73" i="13"/>
  <c r="JI73" i="13"/>
  <c r="JH73" i="13"/>
  <c r="JG73" i="13"/>
  <c r="JC73" i="13"/>
  <c r="JA73" i="13"/>
  <c r="IY73" i="13"/>
  <c r="IX73" i="13"/>
  <c r="IV73" i="13"/>
  <c r="IT73" i="13"/>
  <c r="IR73" i="13"/>
  <c r="IQ73" i="13"/>
  <c r="IN73" i="13"/>
  <c r="IM73" i="13"/>
  <c r="IL73" i="13"/>
  <c r="IK73" i="13"/>
  <c r="IJ73" i="13"/>
  <c r="II73" i="13"/>
  <c r="IE73" i="13"/>
  <c r="ID73" i="13"/>
  <c r="IA73" i="13"/>
  <c r="HZ73" i="13"/>
  <c r="HY73" i="13"/>
  <c r="HX73" i="13"/>
  <c r="HV73" i="13"/>
  <c r="HT73" i="13"/>
  <c r="HS73" i="13"/>
  <c r="HR73" i="13"/>
  <c r="HQ73" i="13"/>
  <c r="HP73" i="13"/>
  <c r="HO73" i="13"/>
  <c r="HN73" i="13"/>
  <c r="HM73" i="13"/>
  <c r="HK73" i="13"/>
  <c r="HI73" i="13"/>
  <c r="HG73" i="13"/>
  <c r="HF73" i="13"/>
  <c r="HE73" i="13"/>
  <c r="HD73" i="13"/>
  <c r="HC73" i="13"/>
  <c r="GO73" i="13"/>
  <c r="GM73" i="13"/>
  <c r="GK73" i="13"/>
  <c r="GD73" i="13"/>
  <c r="FW73" i="13"/>
  <c r="FV73" i="13"/>
  <c r="FU73" i="13"/>
  <c r="FT73" i="13"/>
  <c r="FS73" i="13"/>
  <c r="FR73" i="13"/>
  <c r="FQ73" i="13"/>
  <c r="FP73" i="13"/>
  <c r="FO73" i="13"/>
  <c r="FN73" i="13"/>
  <c r="FL73" i="13"/>
  <c r="FK73" i="13"/>
  <c r="FJ73" i="13"/>
  <c r="FG73" i="13"/>
  <c r="FF73" i="13"/>
  <c r="FE73" i="13"/>
  <c r="FD73" i="13"/>
  <c r="FC73" i="13"/>
  <c r="FB73" i="13"/>
  <c r="EZ73" i="13"/>
  <c r="EY73" i="13"/>
  <c r="EX73" i="13"/>
  <c r="EW73" i="13"/>
  <c r="EV73" i="13"/>
  <c r="EU73" i="13"/>
  <c r="ER73" i="13"/>
  <c r="EQ73" i="13"/>
  <c r="EP73" i="13"/>
  <c r="EO73" i="13"/>
  <c r="EN73" i="13"/>
  <c r="EM73" i="13"/>
  <c r="EL73" i="13"/>
  <c r="EK73" i="13"/>
  <c r="EC73" i="13"/>
  <c r="EB73" i="13"/>
  <c r="EA73" i="13"/>
  <c r="DZ73" i="13"/>
  <c r="DY73" i="13"/>
  <c r="DX73" i="13"/>
  <c r="DV73" i="13"/>
  <c r="DT73" i="13"/>
  <c r="DS73" i="13"/>
  <c r="DR73" i="13"/>
  <c r="DO73" i="13"/>
  <c r="DI73" i="13"/>
  <c r="DH73" i="13"/>
  <c r="DG73" i="13"/>
  <c r="DF73" i="13"/>
  <c r="DC73" i="13"/>
  <c r="CZ73" i="13"/>
  <c r="CY73" i="13"/>
  <c r="CX73" i="13"/>
  <c r="CW73" i="13"/>
  <c r="CV73" i="13"/>
  <c r="CU73" i="13"/>
  <c r="CS73" i="13"/>
  <c r="CR73" i="13"/>
  <c r="CP73" i="13"/>
  <c r="CM73" i="13"/>
  <c r="CL73" i="13"/>
  <c r="CK73" i="13"/>
  <c r="CJ73" i="13"/>
  <c r="CI73" i="13"/>
  <c r="CH73" i="13"/>
  <c r="CG73" i="13"/>
  <c r="CC73" i="13"/>
  <c r="CB73" i="13"/>
  <c r="CA73" i="13"/>
  <c r="BW73" i="13"/>
  <c r="BV73" i="13"/>
  <c r="BS73" i="13"/>
  <c r="BO73" i="13"/>
  <c r="BN73" i="13"/>
  <c r="BM73" i="13"/>
  <c r="BL73" i="13"/>
  <c r="BJ73" i="13"/>
  <c r="BI73" i="13"/>
  <c r="BH73" i="13"/>
  <c r="BE73" i="13"/>
  <c r="BB73" i="13"/>
  <c r="BA73" i="13"/>
  <c r="AY73" i="13"/>
  <c r="AX73" i="13"/>
  <c r="AW73" i="13"/>
  <c r="AU73" i="13"/>
  <c r="AN73" i="13"/>
  <c r="AL73" i="13"/>
  <c r="AK73" i="13"/>
  <c r="AJ73" i="13"/>
  <c r="AI73" i="13"/>
  <c r="AH73" i="13"/>
  <c r="AG73" i="13"/>
  <c r="AF73" i="13"/>
  <c r="AE73" i="13"/>
  <c r="AD73" i="13"/>
  <c r="AC73" i="13"/>
  <c r="Y73" i="13"/>
  <c r="X73" i="13"/>
  <c r="U73" i="13"/>
  <c r="T73" i="13"/>
  <c r="R73" i="13"/>
  <c r="Q73" i="13"/>
  <c r="P73" i="13"/>
  <c r="O73" i="13"/>
  <c r="N73" i="13"/>
  <c r="MI53" i="13"/>
  <c r="MH53" i="13"/>
  <c r="MG53" i="13"/>
  <c r="MF53" i="13"/>
  <c r="ME53" i="13"/>
  <c r="MD53" i="13"/>
  <c r="MC53" i="13"/>
  <c r="MB53" i="13"/>
  <c r="MA53" i="13"/>
  <c r="LZ53" i="13"/>
  <c r="LY53" i="13"/>
  <c r="LX53" i="13"/>
  <c r="LW53" i="13"/>
  <c r="LV53" i="13"/>
  <c r="LU53" i="13"/>
  <c r="LT53" i="13"/>
  <c r="LS53" i="13"/>
  <c r="LR53" i="13"/>
  <c r="LQ53" i="13"/>
  <c r="LP53" i="13"/>
  <c r="LO53" i="13"/>
  <c r="LN53" i="13"/>
  <c r="LM53" i="13"/>
  <c r="LK53" i="13"/>
  <c r="LJ53" i="13"/>
  <c r="LI53" i="13"/>
  <c r="LH53" i="13"/>
  <c r="LG53" i="13"/>
  <c r="LF53" i="13"/>
  <c r="LE53" i="13"/>
  <c r="LD53" i="13"/>
  <c r="LC53" i="13"/>
  <c r="LB53" i="13"/>
  <c r="LA53" i="13"/>
  <c r="KZ53" i="13"/>
  <c r="KY53" i="13"/>
  <c r="KX53" i="13"/>
  <c r="KW53" i="13"/>
  <c r="KV53" i="13"/>
  <c r="KU53" i="13"/>
  <c r="KT53" i="13"/>
  <c r="KS53" i="13"/>
  <c r="KR53" i="13"/>
  <c r="KQ53" i="13"/>
  <c r="KP53" i="13"/>
  <c r="KO53" i="13"/>
  <c r="KN53" i="13"/>
  <c r="KM53" i="13"/>
  <c r="KL53" i="13"/>
  <c r="KK53" i="13"/>
  <c r="KJ53" i="13"/>
  <c r="KI53" i="13"/>
  <c r="KH53" i="13"/>
  <c r="KG53" i="13"/>
  <c r="KF53" i="13"/>
  <c r="KE53" i="13"/>
  <c r="KD53" i="13"/>
  <c r="KC53" i="13"/>
  <c r="KB53" i="13"/>
  <c r="KA53" i="13"/>
  <c r="JX53" i="13"/>
  <c r="JW53" i="13"/>
  <c r="JV53" i="13"/>
  <c r="JU53" i="13"/>
  <c r="JT53" i="13"/>
  <c r="JS53" i="13"/>
  <c r="JR53" i="13"/>
  <c r="JQ53" i="13"/>
  <c r="JP53" i="13"/>
  <c r="JO53" i="13"/>
  <c r="JN53" i="13"/>
  <c r="JK53" i="13"/>
  <c r="JJ53" i="13"/>
  <c r="JH53" i="13"/>
  <c r="JG53" i="13"/>
  <c r="JF53" i="13"/>
  <c r="JE53" i="13"/>
  <c r="JD53" i="13"/>
  <c r="JC53" i="13"/>
  <c r="JB53" i="13"/>
  <c r="IZ53" i="13"/>
  <c r="IY53" i="13"/>
  <c r="IX53" i="13"/>
  <c r="IW53" i="13"/>
  <c r="IV53" i="13"/>
  <c r="IU53" i="13"/>
  <c r="IT53" i="13"/>
  <c r="IS53" i="13"/>
  <c r="IR53" i="13"/>
  <c r="IQ53" i="13"/>
  <c r="IP53" i="13"/>
  <c r="IO53" i="13"/>
  <c r="IN53" i="13"/>
  <c r="IM53" i="13"/>
  <c r="IL53" i="13"/>
  <c r="IK53" i="13"/>
  <c r="IJ53" i="13"/>
  <c r="II53" i="13"/>
  <c r="IH53" i="13"/>
  <c r="IG53" i="13"/>
  <c r="IF53" i="13"/>
  <c r="IE53" i="13"/>
  <c r="ID53" i="13"/>
  <c r="IC53" i="13"/>
  <c r="IB53" i="13"/>
  <c r="HZ53" i="13"/>
  <c r="HY53" i="13"/>
  <c r="HX53" i="13"/>
  <c r="HW53" i="13"/>
  <c r="HV53" i="13"/>
  <c r="HU53" i="13"/>
  <c r="HT53" i="13"/>
  <c r="HS53" i="13"/>
  <c r="HR53" i="13"/>
  <c r="HQ53" i="13"/>
  <c r="HP53" i="13"/>
  <c r="HO53" i="13"/>
  <c r="HN53" i="13"/>
  <c r="HM53" i="13"/>
  <c r="HL53" i="13"/>
  <c r="HK53" i="13"/>
  <c r="HJ53" i="13"/>
  <c r="HI53" i="13"/>
  <c r="HH53" i="13"/>
  <c r="HG53" i="13"/>
  <c r="HF53" i="13"/>
  <c r="HE53" i="13"/>
  <c r="HD53" i="13"/>
  <c r="HC53" i="13"/>
  <c r="HB53" i="13"/>
  <c r="HA53" i="13"/>
  <c r="GZ53" i="13"/>
  <c r="GY53" i="13"/>
  <c r="GX53" i="13"/>
  <c r="GW53" i="13"/>
  <c r="GV53" i="13"/>
  <c r="GU53" i="13"/>
  <c r="GT53" i="13"/>
  <c r="GS53" i="13"/>
  <c r="GR53" i="13"/>
  <c r="GQ53" i="13"/>
  <c r="GO53" i="13"/>
  <c r="GN53" i="13"/>
  <c r="GM53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FA53" i="13"/>
  <c r="EZ53" i="13"/>
  <c r="EY53" i="13"/>
  <c r="EX53" i="13"/>
  <c r="EW53" i="13"/>
  <c r="EV53" i="13"/>
  <c r="EU53" i="13"/>
  <c r="ET53" i="13"/>
  <c r="ES53" i="13"/>
  <c r="ER53" i="13"/>
  <c r="EQ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U53" i="13"/>
  <c r="DT53" i="13"/>
  <c r="DS53" i="13"/>
  <c r="DR53" i="13"/>
  <c r="DQ53" i="13"/>
  <c r="DP53" i="13"/>
  <c r="DN53" i="13"/>
  <c r="DM53" i="13"/>
  <c r="DL53" i="13"/>
  <c r="DK53" i="13"/>
  <c r="DI53" i="13"/>
  <c r="DH53" i="13"/>
  <c r="DG53" i="13"/>
  <c r="DF53" i="13"/>
  <c r="DE53" i="13"/>
  <c r="DD53" i="13"/>
  <c r="DC53" i="13"/>
  <c r="DB53" i="13"/>
  <c r="DA53" i="13"/>
  <c r="CZ53" i="13"/>
  <c r="CY53" i="13"/>
  <c r="CX53" i="13"/>
  <c r="CW53" i="13"/>
  <c r="CV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H53" i="13"/>
  <c r="CG53" i="13"/>
  <c r="CE53" i="13"/>
  <c r="CD53" i="13"/>
  <c r="CC53" i="13"/>
  <c r="CB53" i="13"/>
  <c r="CA53" i="13"/>
  <c r="BY53" i="13"/>
  <c r="BW53" i="13"/>
  <c r="BV53" i="13"/>
  <c r="BU53" i="13"/>
  <c r="BT53" i="13"/>
  <c r="BS53" i="13"/>
  <c r="BR53" i="13"/>
  <c r="BQ53" i="13"/>
  <c r="BP53" i="13"/>
  <c r="BN53" i="13"/>
  <c r="BM53" i="13"/>
  <c r="BL53" i="13"/>
  <c r="BJ53" i="13"/>
  <c r="BH53" i="13"/>
  <c r="BG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G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B158" i="13"/>
  <c r="JT158" i="13"/>
  <c r="IL158" i="13"/>
  <c r="HZ158" i="13"/>
  <c r="HY158" i="13"/>
  <c r="HC158" i="13"/>
  <c r="GM158" i="13"/>
  <c r="FW158" i="13"/>
  <c r="FV158" i="13"/>
  <c r="FU158" i="13"/>
  <c r="FT158" i="13"/>
  <c r="FS158" i="13"/>
  <c r="FR158" i="13"/>
  <c r="FP158" i="13"/>
  <c r="FK158" i="13"/>
  <c r="FG158" i="13"/>
  <c r="FE158" i="13"/>
  <c r="FD158" i="13"/>
  <c r="EW158" i="13"/>
  <c r="EU158" i="13"/>
  <c r="ES158" i="13"/>
  <c r="ER158" i="13"/>
  <c r="EN158" i="13"/>
  <c r="EM158" i="13"/>
  <c r="DV158" i="13"/>
  <c r="DO158" i="13"/>
  <c r="DI158" i="13"/>
  <c r="DH158" i="13"/>
  <c r="DG158" i="13"/>
  <c r="DF158" i="13"/>
  <c r="CK158" i="13"/>
  <c r="CC158" i="13"/>
  <c r="CB158" i="13"/>
  <c r="CA158" i="13"/>
  <c r="BV158" i="13"/>
  <c r="BS158" i="13"/>
  <c r="BP158" i="13"/>
  <c r="BO158" i="13"/>
  <c r="BM158" i="13"/>
  <c r="BL158" i="13"/>
  <c r="BI158" i="13"/>
  <c r="BH158" i="13"/>
  <c r="BB158" i="13"/>
  <c r="BA158" i="13"/>
  <c r="AX158" i="13"/>
  <c r="AW158" i="13"/>
  <c r="KB14" i="13"/>
  <c r="JT14" i="13"/>
  <c r="IL14" i="13"/>
  <c r="HZ14" i="13"/>
  <c r="HY14" i="13"/>
  <c r="HC14" i="13"/>
  <c r="GM14" i="13"/>
  <c r="FW14" i="13"/>
  <c r="FV14" i="13"/>
  <c r="FU14" i="13"/>
  <c r="FT14" i="13"/>
  <c r="FS14" i="13"/>
  <c r="FR14" i="13"/>
  <c r="FP14" i="13"/>
  <c r="FK14" i="13"/>
  <c r="FG14" i="13"/>
  <c r="FE14" i="13"/>
  <c r="FD14" i="13"/>
  <c r="EW14" i="13"/>
  <c r="EU14" i="13"/>
  <c r="ES14" i="13"/>
  <c r="ER14" i="13"/>
  <c r="EN14" i="13"/>
  <c r="EM14" i="13"/>
  <c r="DV14" i="13"/>
  <c r="DO14" i="13"/>
  <c r="DI14" i="13"/>
  <c r="DH14" i="13"/>
  <c r="DG14" i="13"/>
  <c r="DF14" i="13"/>
  <c r="CK14" i="13"/>
  <c r="CC14" i="13"/>
  <c r="CB14" i="13"/>
  <c r="CA14" i="13"/>
  <c r="BV14" i="13"/>
  <c r="BS14" i="13"/>
  <c r="BP14" i="13"/>
  <c r="BO14" i="13"/>
  <c r="BM14" i="13"/>
  <c r="BL14" i="13"/>
  <c r="BI14" i="13"/>
  <c r="BH14" i="13"/>
  <c r="BB14" i="13"/>
  <c r="BA14" i="13"/>
  <c r="AX14" i="13"/>
  <c r="AW14" i="13"/>
  <c r="JR232" i="13"/>
  <c r="IY232" i="13"/>
  <c r="IV232" i="13"/>
  <c r="HZ232" i="13"/>
  <c r="HY232" i="13"/>
  <c r="HC232" i="13"/>
  <c r="FD232" i="13"/>
  <c r="EW232" i="13"/>
  <c r="ER232" i="13"/>
  <c r="EQ232" i="13"/>
  <c r="EP232" i="13"/>
  <c r="EM232" i="13"/>
  <c r="DV232" i="13"/>
  <c r="DI232" i="13"/>
  <c r="DH232" i="13"/>
  <c r="DG232" i="13"/>
  <c r="DF232" i="13"/>
  <c r="CK232" i="13"/>
  <c r="CJ232" i="13"/>
  <c r="CC232" i="13"/>
  <c r="CB232" i="13"/>
  <c r="CA232" i="13"/>
  <c r="BV232" i="13"/>
  <c r="BS232" i="13"/>
  <c r="BB232" i="13"/>
  <c r="BA232" i="13"/>
  <c r="AX232" i="13"/>
  <c r="AW232" i="13"/>
  <c r="N232" i="13"/>
  <c r="JR213" i="13"/>
  <c r="IY213" i="13"/>
  <c r="IV213" i="13"/>
  <c r="HZ213" i="13"/>
  <c r="HY213" i="13"/>
  <c r="HC213" i="13"/>
  <c r="FD213" i="13"/>
  <c r="EW213" i="13"/>
  <c r="ER213" i="13"/>
  <c r="EQ213" i="13"/>
  <c r="EP213" i="13"/>
  <c r="EM213" i="13"/>
  <c r="DV213" i="13"/>
  <c r="DI213" i="13"/>
  <c r="DH213" i="13"/>
  <c r="DG213" i="13"/>
  <c r="DF213" i="13"/>
  <c r="CK213" i="13"/>
  <c r="CJ213" i="13"/>
  <c r="CC213" i="13"/>
  <c r="CB213" i="13"/>
  <c r="CA213" i="13"/>
  <c r="BV213" i="13"/>
  <c r="BS213" i="13"/>
  <c r="BB213" i="13"/>
  <c r="BA213" i="13"/>
  <c r="AX213" i="13"/>
  <c r="AW213" i="13"/>
  <c r="N213" i="13"/>
  <c r="JR210" i="13"/>
  <c r="IY210" i="13"/>
  <c r="IV210" i="13"/>
  <c r="HZ210" i="13"/>
  <c r="HY210" i="13"/>
  <c r="HC210" i="13"/>
  <c r="FD210" i="13"/>
  <c r="EW210" i="13"/>
  <c r="ER210" i="13"/>
  <c r="EQ210" i="13"/>
  <c r="EP210" i="13"/>
  <c r="EM210" i="13"/>
  <c r="DV210" i="13"/>
  <c r="DI210" i="13"/>
  <c r="DH210" i="13"/>
  <c r="DG210" i="13"/>
  <c r="DF210" i="13"/>
  <c r="CK210" i="13"/>
  <c r="CJ210" i="13"/>
  <c r="CC210" i="13"/>
  <c r="CB210" i="13"/>
  <c r="CA210" i="13"/>
  <c r="BV210" i="13"/>
  <c r="BS210" i="13"/>
  <c r="BB210" i="13"/>
  <c r="BA210" i="13"/>
  <c r="AX210" i="13"/>
  <c r="AW210" i="13"/>
  <c r="N210" i="13"/>
  <c r="JR194" i="13"/>
  <c r="IY194" i="13"/>
  <c r="IV194" i="13"/>
  <c r="HZ194" i="13"/>
  <c r="HY194" i="13"/>
  <c r="HC194" i="13"/>
  <c r="FD194" i="13"/>
  <c r="EW194" i="13"/>
  <c r="ER194" i="13"/>
  <c r="EQ194" i="13"/>
  <c r="EP194" i="13"/>
  <c r="EM194" i="13"/>
  <c r="DV194" i="13"/>
  <c r="DI194" i="13"/>
  <c r="DH194" i="13"/>
  <c r="DG194" i="13"/>
  <c r="DF194" i="13"/>
  <c r="CK194" i="13"/>
  <c r="CJ194" i="13"/>
  <c r="CC194" i="13"/>
  <c r="CB194" i="13"/>
  <c r="CA194" i="13"/>
  <c r="BV194" i="13"/>
  <c r="BS194" i="13"/>
  <c r="BB194" i="13"/>
  <c r="BA194" i="13"/>
  <c r="AX194" i="13"/>
  <c r="AW194" i="13"/>
  <c r="N194" i="13"/>
  <c r="JR164" i="13"/>
  <c r="IY164" i="13"/>
  <c r="IV164" i="13"/>
  <c r="HZ164" i="13"/>
  <c r="HY164" i="13"/>
  <c r="HC164" i="13"/>
  <c r="FD164" i="13"/>
  <c r="EW164" i="13"/>
  <c r="ER164" i="13"/>
  <c r="EQ164" i="13"/>
  <c r="EP164" i="13"/>
  <c r="EM164" i="13"/>
  <c r="DV164" i="13"/>
  <c r="DI164" i="13"/>
  <c r="DH164" i="13"/>
  <c r="DG164" i="13"/>
  <c r="DF164" i="13"/>
  <c r="CK164" i="13"/>
  <c r="CJ164" i="13"/>
  <c r="CC164" i="13"/>
  <c r="CB164" i="13"/>
  <c r="CA164" i="13"/>
  <c r="BV164" i="13"/>
  <c r="BS164" i="13"/>
  <c r="BB164" i="13"/>
  <c r="BA164" i="13"/>
  <c r="AX164" i="13"/>
  <c r="AW164" i="13"/>
  <c r="N164" i="13"/>
  <c r="JR133" i="13"/>
  <c r="IY133" i="13"/>
  <c r="IV133" i="13"/>
  <c r="HZ133" i="13"/>
  <c r="HY133" i="13"/>
  <c r="HC133" i="13"/>
  <c r="FD133" i="13"/>
  <c r="EW133" i="13"/>
  <c r="ER133" i="13"/>
  <c r="EQ133" i="13"/>
  <c r="EP133" i="13"/>
  <c r="EM133" i="13"/>
  <c r="DV133" i="13"/>
  <c r="DI133" i="13"/>
  <c r="DH133" i="13"/>
  <c r="DG133" i="13"/>
  <c r="DF133" i="13"/>
  <c r="CK133" i="13"/>
  <c r="CJ133" i="13"/>
  <c r="CC133" i="13"/>
  <c r="CB133" i="13"/>
  <c r="CA133" i="13"/>
  <c r="BV133" i="13"/>
  <c r="BS133" i="13"/>
  <c r="BB133" i="13"/>
  <c r="BA133" i="13"/>
  <c r="AX133" i="13"/>
  <c r="AW133" i="13"/>
  <c r="N133" i="13"/>
  <c r="JR85" i="13"/>
  <c r="IY85" i="13"/>
  <c r="IV85" i="13"/>
  <c r="HZ85" i="13"/>
  <c r="HY85" i="13"/>
  <c r="HC85" i="13"/>
  <c r="FD85" i="13"/>
  <c r="EW85" i="13"/>
  <c r="ER85" i="13"/>
  <c r="EQ85" i="13"/>
  <c r="EP85" i="13"/>
  <c r="EM85" i="13"/>
  <c r="DV85" i="13"/>
  <c r="DI85" i="13"/>
  <c r="DH85" i="13"/>
  <c r="DG85" i="13"/>
  <c r="DF85" i="13"/>
  <c r="CK85" i="13"/>
  <c r="CJ85" i="13"/>
  <c r="CC85" i="13"/>
  <c r="CB85" i="13"/>
  <c r="CA85" i="13"/>
  <c r="BV85" i="13"/>
  <c r="BS85" i="13"/>
  <c r="BB85" i="13"/>
  <c r="BA85" i="13"/>
  <c r="AX85" i="13"/>
  <c r="AW85" i="13"/>
  <c r="N85" i="13"/>
  <c r="JR50" i="13"/>
  <c r="IY50" i="13"/>
  <c r="IV50" i="13"/>
  <c r="HZ50" i="13"/>
  <c r="HY50" i="13"/>
  <c r="HC50" i="13"/>
  <c r="FD50" i="13"/>
  <c r="EW50" i="13"/>
  <c r="ER50" i="13"/>
  <c r="EQ50" i="13"/>
  <c r="EP50" i="13"/>
  <c r="EM50" i="13"/>
  <c r="DV50" i="13"/>
  <c r="DI50" i="13"/>
  <c r="DH50" i="13"/>
  <c r="DG50" i="13"/>
  <c r="DF50" i="13"/>
  <c r="CK50" i="13"/>
  <c r="CJ50" i="13"/>
  <c r="CC50" i="13"/>
  <c r="CB50" i="13"/>
  <c r="CA50" i="13"/>
  <c r="BV50" i="13"/>
  <c r="BS50" i="13"/>
  <c r="BB50" i="13"/>
  <c r="BA50" i="13"/>
  <c r="AX50" i="13"/>
  <c r="AW50" i="13"/>
  <c r="N50" i="13"/>
  <c r="HZ36" i="13"/>
  <c r="HY36" i="13"/>
  <c r="HC36" i="13"/>
  <c r="FD36" i="13"/>
  <c r="EW36" i="13"/>
  <c r="ER36" i="13"/>
  <c r="EM36" i="13"/>
  <c r="DI36" i="13"/>
  <c r="DH36" i="13"/>
  <c r="DG36" i="13"/>
  <c r="DF36" i="13"/>
  <c r="CK36" i="13"/>
  <c r="CC36" i="13"/>
  <c r="CB36" i="13"/>
  <c r="CA36" i="13"/>
  <c r="BV36" i="13"/>
  <c r="BS36" i="13"/>
  <c r="BB36" i="13"/>
  <c r="BA36" i="13"/>
  <c r="AX36" i="13"/>
  <c r="AW36" i="13"/>
  <c r="HZ152" i="13"/>
  <c r="HY152" i="13"/>
  <c r="HC152" i="13"/>
  <c r="FD152" i="13"/>
  <c r="EW152" i="13"/>
  <c r="ER152" i="13"/>
  <c r="EM152" i="13"/>
  <c r="DI152" i="13"/>
  <c r="DH152" i="13"/>
  <c r="DG152" i="13"/>
  <c r="DF152" i="13"/>
  <c r="CK152" i="13"/>
  <c r="CC152" i="13"/>
  <c r="CB152" i="13"/>
  <c r="CA152" i="13"/>
  <c r="BV152" i="13"/>
  <c r="BS152" i="13"/>
  <c r="BB152" i="13"/>
  <c r="BA152" i="13"/>
  <c r="AX152" i="13"/>
  <c r="AW152" i="13"/>
  <c r="JR225" i="13"/>
  <c r="JM225" i="13"/>
  <c r="IQ225" i="13"/>
  <c r="IN225" i="13"/>
  <c r="HZ225" i="13"/>
  <c r="HY225" i="13"/>
  <c r="HC225" i="13"/>
  <c r="GM225" i="13"/>
  <c r="GD225" i="13"/>
  <c r="FW225" i="13"/>
  <c r="FV225" i="13"/>
  <c r="FU225" i="13"/>
  <c r="FT225" i="13"/>
  <c r="FS225" i="13"/>
  <c r="FR225" i="13"/>
  <c r="FP225" i="13"/>
  <c r="FL225" i="13"/>
  <c r="FK225" i="13"/>
  <c r="FE225" i="13"/>
  <c r="FD225" i="13"/>
  <c r="EW225" i="13"/>
  <c r="EQ225" i="13"/>
  <c r="EP225" i="13"/>
  <c r="DZ225" i="13"/>
  <c r="DV225" i="13"/>
  <c r="DT225" i="13"/>
  <c r="DS225" i="13"/>
  <c r="DQ225" i="13"/>
  <c r="DJ225" i="13"/>
  <c r="DI225" i="13"/>
  <c r="DH225" i="13"/>
  <c r="DG225" i="13"/>
  <c r="DF225" i="13"/>
  <c r="CU225" i="13"/>
  <c r="CP225" i="13"/>
  <c r="CK225" i="13"/>
  <c r="CJ225" i="13"/>
  <c r="CC225" i="13"/>
  <c r="CB225" i="13"/>
  <c r="CA225" i="13"/>
  <c r="BW225" i="13"/>
  <c r="BV225" i="13"/>
  <c r="BS225" i="13"/>
  <c r="BB225" i="13"/>
  <c r="BA225" i="13"/>
  <c r="AX225" i="13"/>
  <c r="AW225" i="13"/>
  <c r="JR181" i="13"/>
  <c r="JM181" i="13"/>
  <c r="IQ181" i="13"/>
  <c r="IN181" i="13"/>
  <c r="HZ181" i="13"/>
  <c r="HY181" i="13"/>
  <c r="HC181" i="13"/>
  <c r="GM181" i="13"/>
  <c r="GD181" i="13"/>
  <c r="FW181" i="13"/>
  <c r="FV181" i="13"/>
  <c r="FU181" i="13"/>
  <c r="FT181" i="13"/>
  <c r="FS181" i="13"/>
  <c r="FR181" i="13"/>
  <c r="FP181" i="13"/>
  <c r="FL181" i="13"/>
  <c r="FK181" i="13"/>
  <c r="FE181" i="13"/>
  <c r="FD181" i="13"/>
  <c r="EW181" i="13"/>
  <c r="EQ181" i="13"/>
  <c r="EP181" i="13"/>
  <c r="DZ181" i="13"/>
  <c r="DV181" i="13"/>
  <c r="DT181" i="13"/>
  <c r="DS181" i="13"/>
  <c r="DQ181" i="13"/>
  <c r="DJ181" i="13"/>
  <c r="DI181" i="13"/>
  <c r="DH181" i="13"/>
  <c r="DG181" i="13"/>
  <c r="DF181" i="13"/>
  <c r="CU181" i="13"/>
  <c r="CP181" i="13"/>
  <c r="CK181" i="13"/>
  <c r="CJ181" i="13"/>
  <c r="CC181" i="13"/>
  <c r="CB181" i="13"/>
  <c r="CA181" i="13"/>
  <c r="BW181" i="13"/>
  <c r="BV181" i="13"/>
  <c r="BS181" i="13"/>
  <c r="BB181" i="13"/>
  <c r="BA181" i="13"/>
  <c r="AX181" i="13"/>
  <c r="AW181" i="13"/>
  <c r="JR170" i="13"/>
  <c r="JM170" i="13"/>
  <c r="IQ170" i="13"/>
  <c r="IN170" i="13"/>
  <c r="HZ170" i="13"/>
  <c r="HY170" i="13"/>
  <c r="HC170" i="13"/>
  <c r="GM170" i="13"/>
  <c r="GD170" i="13"/>
  <c r="FW170" i="13"/>
  <c r="FV170" i="13"/>
  <c r="FU170" i="13"/>
  <c r="FT170" i="13"/>
  <c r="FS170" i="13"/>
  <c r="FR170" i="13"/>
  <c r="FP170" i="13"/>
  <c r="FL170" i="13"/>
  <c r="FK170" i="13"/>
  <c r="FE170" i="13"/>
  <c r="FD170" i="13"/>
  <c r="EW170" i="13"/>
  <c r="EQ170" i="13"/>
  <c r="EP170" i="13"/>
  <c r="DZ170" i="13"/>
  <c r="DV170" i="13"/>
  <c r="DT170" i="13"/>
  <c r="DS170" i="13"/>
  <c r="DQ170" i="13"/>
  <c r="DJ170" i="13"/>
  <c r="DI170" i="13"/>
  <c r="DH170" i="13"/>
  <c r="DG170" i="13"/>
  <c r="DF170" i="13"/>
  <c r="CU170" i="13"/>
  <c r="CP170" i="13"/>
  <c r="CK170" i="13"/>
  <c r="CJ170" i="13"/>
  <c r="CC170" i="13"/>
  <c r="CB170" i="13"/>
  <c r="CA170" i="13"/>
  <c r="BW170" i="13"/>
  <c r="BV170" i="13"/>
  <c r="BS170" i="13"/>
  <c r="BB170" i="13"/>
  <c r="BA170" i="13"/>
  <c r="AX170" i="13"/>
  <c r="AW170" i="13"/>
  <c r="JR145" i="13"/>
  <c r="JM145" i="13"/>
  <c r="IQ145" i="13"/>
  <c r="IN145" i="13"/>
  <c r="HZ145" i="13"/>
  <c r="HY145" i="13"/>
  <c r="HC145" i="13"/>
  <c r="GM145" i="13"/>
  <c r="GD145" i="13"/>
  <c r="FW145" i="13"/>
  <c r="FV145" i="13"/>
  <c r="FU145" i="13"/>
  <c r="FT145" i="13"/>
  <c r="FS145" i="13"/>
  <c r="FR145" i="13"/>
  <c r="FP145" i="13"/>
  <c r="FL145" i="13"/>
  <c r="FK145" i="13"/>
  <c r="FE145" i="13"/>
  <c r="FD145" i="13"/>
  <c r="EW145" i="13"/>
  <c r="EQ145" i="13"/>
  <c r="EP145" i="13"/>
  <c r="DZ145" i="13"/>
  <c r="DV145" i="13"/>
  <c r="DT145" i="13"/>
  <c r="DS145" i="13"/>
  <c r="DQ145" i="13"/>
  <c r="DJ145" i="13"/>
  <c r="DI145" i="13"/>
  <c r="DH145" i="13"/>
  <c r="DG145" i="13"/>
  <c r="DF145" i="13"/>
  <c r="CU145" i="13"/>
  <c r="CP145" i="13"/>
  <c r="CK145" i="13"/>
  <c r="CJ145" i="13"/>
  <c r="CC145" i="13"/>
  <c r="CB145" i="13"/>
  <c r="CA145" i="13"/>
  <c r="BW145" i="13"/>
  <c r="BV145" i="13"/>
  <c r="BS145" i="13"/>
  <c r="BB145" i="13"/>
  <c r="BA145" i="13"/>
  <c r="AX145" i="13"/>
  <c r="AW145" i="13"/>
  <c r="JR141" i="13"/>
  <c r="JM141" i="13"/>
  <c r="IQ141" i="13"/>
  <c r="IN141" i="13"/>
  <c r="HZ141" i="13"/>
  <c r="HY141" i="13"/>
  <c r="HC141" i="13"/>
  <c r="GM141" i="13"/>
  <c r="GD141" i="13"/>
  <c r="FW141" i="13"/>
  <c r="FV141" i="13"/>
  <c r="FU141" i="13"/>
  <c r="FT141" i="13"/>
  <c r="FS141" i="13"/>
  <c r="FR141" i="13"/>
  <c r="FP141" i="13"/>
  <c r="FL141" i="13"/>
  <c r="FK141" i="13"/>
  <c r="FE141" i="13"/>
  <c r="FD141" i="13"/>
  <c r="EW141" i="13"/>
  <c r="EQ141" i="13"/>
  <c r="EP141" i="13"/>
  <c r="DZ141" i="13"/>
  <c r="DV141" i="13"/>
  <c r="DT141" i="13"/>
  <c r="DS141" i="13"/>
  <c r="DQ141" i="13"/>
  <c r="DJ141" i="13"/>
  <c r="DI141" i="13"/>
  <c r="DH141" i="13"/>
  <c r="DG141" i="13"/>
  <c r="DF141" i="13"/>
  <c r="CU141" i="13"/>
  <c r="CP141" i="13"/>
  <c r="CK141" i="13"/>
  <c r="CJ141" i="13"/>
  <c r="CC141" i="13"/>
  <c r="CB141" i="13"/>
  <c r="CA141" i="13"/>
  <c r="BW141" i="13"/>
  <c r="BV141" i="13"/>
  <c r="BS141" i="13"/>
  <c r="BB141" i="13"/>
  <c r="BA141" i="13"/>
  <c r="AX141" i="13"/>
  <c r="AW141" i="13"/>
  <c r="JR45" i="13"/>
  <c r="JM45" i="13"/>
  <c r="IQ45" i="13"/>
  <c r="IN45" i="13"/>
  <c r="HZ45" i="13"/>
  <c r="HY45" i="13"/>
  <c r="HC45" i="13"/>
  <c r="GM45" i="13"/>
  <c r="GD45" i="13"/>
  <c r="FW45" i="13"/>
  <c r="FV45" i="13"/>
  <c r="FU45" i="13"/>
  <c r="FT45" i="13"/>
  <c r="FS45" i="13"/>
  <c r="FR45" i="13"/>
  <c r="FP45" i="13"/>
  <c r="FL45" i="13"/>
  <c r="FK45" i="13"/>
  <c r="FE45" i="13"/>
  <c r="FD45" i="13"/>
  <c r="EW45" i="13"/>
  <c r="EQ45" i="13"/>
  <c r="EP45" i="13"/>
  <c r="DZ45" i="13"/>
  <c r="DV45" i="13"/>
  <c r="DT45" i="13"/>
  <c r="DS45" i="13"/>
  <c r="DQ45" i="13"/>
  <c r="DJ45" i="13"/>
  <c r="DI45" i="13"/>
  <c r="DH45" i="13"/>
  <c r="DG45" i="13"/>
  <c r="DF45" i="13"/>
  <c r="CU45" i="13"/>
  <c r="CP45" i="13"/>
  <c r="CK45" i="13"/>
  <c r="CJ45" i="13"/>
  <c r="CC45" i="13"/>
  <c r="CB45" i="13"/>
  <c r="CA45" i="13"/>
  <c r="BW45" i="13"/>
  <c r="BV45" i="13"/>
  <c r="BS45" i="13"/>
  <c r="BB45" i="13"/>
  <c r="BA45" i="13"/>
  <c r="AX45" i="13"/>
  <c r="AW45" i="13"/>
  <c r="IV115" i="13"/>
  <c r="HZ115" i="13"/>
  <c r="HY115" i="13"/>
  <c r="HC115" i="13"/>
  <c r="FE115" i="13"/>
  <c r="FD115" i="13"/>
  <c r="EW115" i="13"/>
  <c r="ER115" i="13"/>
  <c r="EM115" i="13"/>
  <c r="DV115" i="13"/>
  <c r="DT115" i="13"/>
  <c r="DS115" i="13"/>
  <c r="DJ115" i="13"/>
  <c r="DI115" i="13"/>
  <c r="DH115" i="13"/>
  <c r="DG115" i="13"/>
  <c r="DF115" i="13"/>
  <c r="CK115" i="13"/>
  <c r="CG115" i="13"/>
  <c r="CC115" i="13"/>
  <c r="CB115" i="13"/>
  <c r="CA115" i="13"/>
  <c r="BW115" i="13"/>
  <c r="BV115" i="13"/>
  <c r="BS115" i="13"/>
  <c r="BL115" i="13"/>
  <c r="BI115" i="13"/>
  <c r="BH115" i="13"/>
  <c r="BB115" i="13"/>
  <c r="BA115" i="13"/>
  <c r="AX115" i="13"/>
  <c r="AW115" i="13"/>
  <c r="N115" i="13"/>
  <c r="IV74" i="13"/>
  <c r="HZ74" i="13"/>
  <c r="HY74" i="13"/>
  <c r="HC74" i="13"/>
  <c r="FE74" i="13"/>
  <c r="FD74" i="13"/>
  <c r="EW74" i="13"/>
  <c r="ER74" i="13"/>
  <c r="EM74" i="13"/>
  <c r="DV74" i="13"/>
  <c r="DT74" i="13"/>
  <c r="DS74" i="13"/>
  <c r="DJ74" i="13"/>
  <c r="DI74" i="13"/>
  <c r="DH74" i="13"/>
  <c r="DG74" i="13"/>
  <c r="DF74" i="13"/>
  <c r="CK74" i="13"/>
  <c r="CG74" i="13"/>
  <c r="CC74" i="13"/>
  <c r="CB74" i="13"/>
  <c r="CA74" i="13"/>
  <c r="BW74" i="13"/>
  <c r="BV74" i="13"/>
  <c r="BS74" i="13"/>
  <c r="BL74" i="13"/>
  <c r="BI74" i="13"/>
  <c r="BH74" i="13"/>
  <c r="BB74" i="13"/>
  <c r="BA74" i="13"/>
  <c r="AX74" i="13"/>
  <c r="AW74" i="13"/>
  <c r="N74" i="13"/>
  <c r="IV38" i="13"/>
  <c r="HZ38" i="13"/>
  <c r="HY38" i="13"/>
  <c r="HC38" i="13"/>
  <c r="FE38" i="13"/>
  <c r="FD38" i="13"/>
  <c r="EW38" i="13"/>
  <c r="ER38" i="13"/>
  <c r="EM38" i="13"/>
  <c r="DV38" i="13"/>
  <c r="DT38" i="13"/>
  <c r="DS38" i="13"/>
  <c r="DJ38" i="13"/>
  <c r="DI38" i="13"/>
  <c r="DH38" i="13"/>
  <c r="DG38" i="13"/>
  <c r="DF38" i="13"/>
  <c r="CK38" i="13"/>
  <c r="CG38" i="13"/>
  <c r="CC38" i="13"/>
  <c r="CB38" i="13"/>
  <c r="CA38" i="13"/>
  <c r="BW38" i="13"/>
  <c r="BV38" i="13"/>
  <c r="BS38" i="13"/>
  <c r="BL38" i="13"/>
  <c r="BI38" i="13"/>
  <c r="BH38" i="13"/>
  <c r="BB38" i="13"/>
  <c r="BA38" i="13"/>
  <c r="AX38" i="13"/>
  <c r="AW38" i="13"/>
  <c r="N38" i="13"/>
  <c r="HZ35" i="13"/>
  <c r="HY35" i="13"/>
  <c r="HC35" i="13"/>
  <c r="FE35" i="13"/>
  <c r="FD35" i="13"/>
  <c r="EW35" i="13"/>
  <c r="DI35" i="13"/>
  <c r="DH35" i="13"/>
  <c r="DG35" i="13"/>
  <c r="DF35" i="13"/>
  <c r="CK35" i="13"/>
  <c r="CC35" i="13"/>
  <c r="CB35" i="13"/>
  <c r="CA35" i="13"/>
  <c r="BW35" i="13"/>
  <c r="BV35" i="13"/>
  <c r="BS35" i="13"/>
  <c r="BH35" i="13"/>
  <c r="BB35" i="13"/>
  <c r="BA35" i="13"/>
  <c r="AX35" i="13"/>
  <c r="AW35" i="13"/>
  <c r="MI218" i="13"/>
  <c r="MH218" i="13"/>
  <c r="MG218" i="13"/>
  <c r="MF218" i="13"/>
  <c r="MD218" i="13"/>
  <c r="LZ218" i="13"/>
  <c r="KF218" i="13"/>
  <c r="KE218" i="13"/>
  <c r="KD218" i="13"/>
  <c r="KC218" i="13"/>
  <c r="KB218" i="13"/>
  <c r="KA218" i="13"/>
  <c r="JT218" i="13"/>
  <c r="JR218" i="13"/>
  <c r="JM218" i="13"/>
  <c r="JL218" i="13"/>
  <c r="JK218" i="13"/>
  <c r="JH218" i="13"/>
  <c r="JG218" i="13"/>
  <c r="JA218" i="13"/>
  <c r="IY218" i="13"/>
  <c r="IW218" i="13"/>
  <c r="IV218" i="13"/>
  <c r="IR218" i="13"/>
  <c r="IQ218" i="13"/>
  <c r="IN218" i="13"/>
  <c r="IL218" i="13"/>
  <c r="IK218" i="13"/>
  <c r="ID218" i="13"/>
  <c r="HZ218" i="13"/>
  <c r="HY218" i="13"/>
  <c r="HX218" i="13"/>
  <c r="HL218" i="13"/>
  <c r="HJ218" i="13"/>
  <c r="HG218" i="13"/>
  <c r="HF218" i="13"/>
  <c r="HE218" i="13"/>
  <c r="HD218" i="13"/>
  <c r="HC218" i="13"/>
  <c r="GX218" i="13"/>
  <c r="GU218" i="13"/>
  <c r="GS218" i="13"/>
  <c r="GR218" i="13"/>
  <c r="GP218" i="13"/>
  <c r="GO218" i="13"/>
  <c r="GM218" i="13"/>
  <c r="GJ218" i="13"/>
  <c r="GI218" i="13"/>
  <c r="GD218" i="13"/>
  <c r="GB218" i="13"/>
  <c r="FZ218" i="13"/>
  <c r="FY218" i="13"/>
  <c r="FX218" i="13"/>
  <c r="FW218" i="13"/>
  <c r="FV218" i="13"/>
  <c r="FU218" i="13"/>
  <c r="FT218" i="13"/>
  <c r="FS218" i="13"/>
  <c r="FR218" i="13"/>
  <c r="FQ218" i="13"/>
  <c r="FP218" i="13"/>
  <c r="FN218" i="13"/>
  <c r="FL218" i="13"/>
  <c r="FK218" i="13"/>
  <c r="FJ218" i="13"/>
  <c r="FG218" i="13"/>
  <c r="FF218" i="13"/>
  <c r="FE218" i="13"/>
  <c r="FD218" i="13"/>
  <c r="FB218" i="13"/>
  <c r="EZ218" i="13"/>
  <c r="EY218" i="13"/>
  <c r="EX218" i="13"/>
  <c r="EW218" i="13"/>
  <c r="EV218" i="13"/>
  <c r="EU218" i="13"/>
  <c r="ET218" i="13"/>
  <c r="ER218" i="13"/>
  <c r="EQ218" i="13"/>
  <c r="EP218" i="13"/>
  <c r="EO218" i="13"/>
  <c r="EN218" i="13"/>
  <c r="EM218" i="13"/>
  <c r="EL218" i="13"/>
  <c r="EK218" i="13"/>
  <c r="EC218" i="13"/>
  <c r="EB218" i="13"/>
  <c r="EA218" i="13"/>
  <c r="DZ218" i="13"/>
  <c r="DY218" i="13"/>
  <c r="DX218" i="13"/>
  <c r="DV218" i="13"/>
  <c r="DT218" i="13"/>
  <c r="DS218" i="13"/>
  <c r="DR218" i="13"/>
  <c r="DQ218" i="13"/>
  <c r="DO218" i="13"/>
  <c r="DL218" i="13"/>
  <c r="DJ218" i="13"/>
  <c r="DI218" i="13"/>
  <c r="DH218" i="13"/>
  <c r="DG218" i="13"/>
  <c r="DF218" i="13"/>
  <c r="DC218" i="13"/>
  <c r="DA218" i="13"/>
  <c r="CY218" i="13"/>
  <c r="CU218" i="13"/>
  <c r="CR218" i="13"/>
  <c r="CP218" i="13"/>
  <c r="CL218" i="13"/>
  <c r="CK218" i="13"/>
  <c r="CJ218" i="13"/>
  <c r="CH218" i="13"/>
  <c r="CG218" i="13"/>
  <c r="CF218" i="13"/>
  <c r="CC218" i="13"/>
  <c r="CB218" i="13"/>
  <c r="CA218" i="13"/>
  <c r="BZ218" i="13"/>
  <c r="BW218" i="13"/>
  <c r="BV218" i="13"/>
  <c r="BT218" i="13"/>
  <c r="BS218" i="13"/>
  <c r="BQ218" i="13"/>
  <c r="BN218" i="13"/>
  <c r="BM218" i="13"/>
  <c r="BL218" i="13"/>
  <c r="BK218" i="13"/>
  <c r="BJ218" i="13"/>
  <c r="BI218" i="13"/>
  <c r="BH218" i="13"/>
  <c r="BF218" i="13"/>
  <c r="BE218" i="13"/>
  <c r="BD218" i="13"/>
  <c r="BB218" i="13"/>
  <c r="BA218" i="13"/>
  <c r="AY218" i="13"/>
  <c r="AX218" i="13"/>
  <c r="AW218" i="13"/>
  <c r="AV218" i="13"/>
  <c r="AT218" i="13"/>
  <c r="AN218" i="13"/>
  <c r="AL218" i="13"/>
  <c r="AK218" i="13"/>
  <c r="AJ218" i="13"/>
  <c r="AI218" i="13"/>
  <c r="AG218" i="13"/>
  <c r="AF218" i="13"/>
  <c r="AD218" i="13"/>
  <c r="Y218" i="13"/>
  <c r="X218" i="13"/>
  <c r="U218" i="13"/>
  <c r="T218" i="13"/>
  <c r="R218" i="13"/>
  <c r="Q218" i="13"/>
  <c r="P218" i="13"/>
  <c r="O218" i="13"/>
  <c r="N218" i="13"/>
  <c r="L218" i="13"/>
  <c r="MI215" i="13"/>
  <c r="MH215" i="13"/>
  <c r="MG215" i="13"/>
  <c r="MF215" i="13"/>
  <c r="MD215" i="13"/>
  <c r="LZ215" i="13"/>
  <c r="KF215" i="13"/>
  <c r="KE215" i="13"/>
  <c r="KD215" i="13"/>
  <c r="KC215" i="13"/>
  <c r="KB215" i="13"/>
  <c r="KA215" i="13"/>
  <c r="JT215" i="13"/>
  <c r="JR215" i="13"/>
  <c r="JM215" i="13"/>
  <c r="JL215" i="13"/>
  <c r="JK215" i="13"/>
  <c r="JH215" i="13"/>
  <c r="JG215" i="13"/>
  <c r="JA215" i="13"/>
  <c r="IY215" i="13"/>
  <c r="IW215" i="13"/>
  <c r="IV215" i="13"/>
  <c r="IR215" i="13"/>
  <c r="IQ215" i="13"/>
  <c r="IN215" i="13"/>
  <c r="IL215" i="13"/>
  <c r="IK215" i="13"/>
  <c r="ID215" i="13"/>
  <c r="HZ215" i="13"/>
  <c r="HY215" i="13"/>
  <c r="HX215" i="13"/>
  <c r="HL215" i="13"/>
  <c r="HJ215" i="13"/>
  <c r="HG215" i="13"/>
  <c r="HF215" i="13"/>
  <c r="HE215" i="13"/>
  <c r="HD215" i="13"/>
  <c r="HC215" i="13"/>
  <c r="GX215" i="13"/>
  <c r="GU215" i="13"/>
  <c r="GS215" i="13"/>
  <c r="GR215" i="13"/>
  <c r="GP215" i="13"/>
  <c r="GO215" i="13"/>
  <c r="GM215" i="13"/>
  <c r="GJ215" i="13"/>
  <c r="GI215" i="13"/>
  <c r="GD215" i="13"/>
  <c r="GB215" i="13"/>
  <c r="FZ215" i="13"/>
  <c r="FY215" i="13"/>
  <c r="FX215" i="13"/>
  <c r="FW215" i="13"/>
  <c r="FV215" i="13"/>
  <c r="FU215" i="13"/>
  <c r="FT215" i="13"/>
  <c r="FS215" i="13"/>
  <c r="FR215" i="13"/>
  <c r="FQ215" i="13"/>
  <c r="FP215" i="13"/>
  <c r="FN215" i="13"/>
  <c r="FL215" i="13"/>
  <c r="FK215" i="13"/>
  <c r="FJ215" i="13"/>
  <c r="FG215" i="13"/>
  <c r="FF215" i="13"/>
  <c r="FE215" i="13"/>
  <c r="FD215" i="13"/>
  <c r="FB215" i="13"/>
  <c r="EZ215" i="13"/>
  <c r="EY215" i="13"/>
  <c r="EX215" i="13"/>
  <c r="EW215" i="13"/>
  <c r="EV215" i="13"/>
  <c r="EU215" i="13"/>
  <c r="ET215" i="13"/>
  <c r="ER215" i="13"/>
  <c r="EQ215" i="13"/>
  <c r="EP215" i="13"/>
  <c r="EO215" i="13"/>
  <c r="EN215" i="13"/>
  <c r="EM215" i="13"/>
  <c r="EL215" i="13"/>
  <c r="EK215" i="13"/>
  <c r="EC215" i="13"/>
  <c r="EB215" i="13"/>
  <c r="EA215" i="13"/>
  <c r="DZ215" i="13"/>
  <c r="DY215" i="13"/>
  <c r="DX215" i="13"/>
  <c r="DV215" i="13"/>
  <c r="DT215" i="13"/>
  <c r="DS215" i="13"/>
  <c r="DR215" i="13"/>
  <c r="DQ215" i="13"/>
  <c r="DO215" i="13"/>
  <c r="DL215" i="13"/>
  <c r="DJ215" i="13"/>
  <c r="DI215" i="13"/>
  <c r="DH215" i="13"/>
  <c r="DG215" i="13"/>
  <c r="DF215" i="13"/>
  <c r="DC215" i="13"/>
  <c r="DA215" i="13"/>
  <c r="CY215" i="13"/>
  <c r="CU215" i="13"/>
  <c r="CR215" i="13"/>
  <c r="CP215" i="13"/>
  <c r="CL215" i="13"/>
  <c r="CK215" i="13"/>
  <c r="CJ215" i="13"/>
  <c r="CH215" i="13"/>
  <c r="CG215" i="13"/>
  <c r="CF215" i="13"/>
  <c r="CC215" i="13"/>
  <c r="CB215" i="13"/>
  <c r="CA215" i="13"/>
  <c r="BZ215" i="13"/>
  <c r="BW215" i="13"/>
  <c r="BV215" i="13"/>
  <c r="BT215" i="13"/>
  <c r="BS215" i="13"/>
  <c r="BQ215" i="13"/>
  <c r="BN215" i="13"/>
  <c r="BM215" i="13"/>
  <c r="BL215" i="13"/>
  <c r="BK215" i="13"/>
  <c r="BJ215" i="13"/>
  <c r="BI215" i="13"/>
  <c r="BH215" i="13"/>
  <c r="BF215" i="13"/>
  <c r="BE215" i="13"/>
  <c r="BD215" i="13"/>
  <c r="BB215" i="13"/>
  <c r="BA215" i="13"/>
  <c r="AY215" i="13"/>
  <c r="AX215" i="13"/>
  <c r="AW215" i="13"/>
  <c r="AV215" i="13"/>
  <c r="AT215" i="13"/>
  <c r="AN215" i="13"/>
  <c r="AL215" i="13"/>
  <c r="AK215" i="13"/>
  <c r="AJ215" i="13"/>
  <c r="AI215" i="13"/>
  <c r="AG215" i="13"/>
  <c r="AF215" i="13"/>
  <c r="AD215" i="13"/>
  <c r="Y215" i="13"/>
  <c r="X215" i="13"/>
  <c r="U215" i="13"/>
  <c r="T215" i="13"/>
  <c r="R215" i="13"/>
  <c r="Q215" i="13"/>
  <c r="P215" i="13"/>
  <c r="O215" i="13"/>
  <c r="N215" i="13"/>
  <c r="L215" i="13"/>
  <c r="MI206" i="13"/>
  <c r="MH206" i="13"/>
  <c r="MG206" i="13"/>
  <c r="MF206" i="13"/>
  <c r="MD206" i="13"/>
  <c r="LZ206" i="13"/>
  <c r="KF206" i="13"/>
  <c r="KE206" i="13"/>
  <c r="KD206" i="13"/>
  <c r="KC206" i="13"/>
  <c r="KB206" i="13"/>
  <c r="KA206" i="13"/>
  <c r="JT206" i="13"/>
  <c r="JR206" i="13"/>
  <c r="JM206" i="13"/>
  <c r="JL206" i="13"/>
  <c r="JK206" i="13"/>
  <c r="JH206" i="13"/>
  <c r="JG206" i="13"/>
  <c r="JA206" i="13"/>
  <c r="IY206" i="13"/>
  <c r="IW206" i="13"/>
  <c r="IV206" i="13"/>
  <c r="IR206" i="13"/>
  <c r="IQ206" i="13"/>
  <c r="IN206" i="13"/>
  <c r="IL206" i="13"/>
  <c r="IK206" i="13"/>
  <c r="ID206" i="13"/>
  <c r="HZ206" i="13"/>
  <c r="HY206" i="13"/>
  <c r="HX206" i="13"/>
  <c r="HL206" i="13"/>
  <c r="HJ206" i="13"/>
  <c r="HG206" i="13"/>
  <c r="HF206" i="13"/>
  <c r="HE206" i="13"/>
  <c r="HD206" i="13"/>
  <c r="HC206" i="13"/>
  <c r="GX206" i="13"/>
  <c r="GU206" i="13"/>
  <c r="GS206" i="13"/>
  <c r="GR206" i="13"/>
  <c r="GP206" i="13"/>
  <c r="GO206" i="13"/>
  <c r="GM206" i="13"/>
  <c r="GJ206" i="13"/>
  <c r="GI206" i="13"/>
  <c r="GD206" i="13"/>
  <c r="GB206" i="13"/>
  <c r="FZ206" i="13"/>
  <c r="FY206" i="13"/>
  <c r="FX206" i="13"/>
  <c r="FW206" i="13"/>
  <c r="FV206" i="13"/>
  <c r="FU206" i="13"/>
  <c r="FT206" i="13"/>
  <c r="FS206" i="13"/>
  <c r="FR206" i="13"/>
  <c r="FQ206" i="13"/>
  <c r="FP206" i="13"/>
  <c r="FN206" i="13"/>
  <c r="FL206" i="13"/>
  <c r="FK206" i="13"/>
  <c r="FJ206" i="13"/>
  <c r="FG206" i="13"/>
  <c r="FF206" i="13"/>
  <c r="FE206" i="13"/>
  <c r="FD206" i="13"/>
  <c r="FB206" i="13"/>
  <c r="EZ206" i="13"/>
  <c r="EY206" i="13"/>
  <c r="EX206" i="13"/>
  <c r="EW206" i="13"/>
  <c r="EV206" i="13"/>
  <c r="EU206" i="13"/>
  <c r="ET206" i="13"/>
  <c r="ER206" i="13"/>
  <c r="EQ206" i="13"/>
  <c r="EP206" i="13"/>
  <c r="EO206" i="13"/>
  <c r="EN206" i="13"/>
  <c r="EM206" i="13"/>
  <c r="EL206" i="13"/>
  <c r="EK206" i="13"/>
  <c r="EC206" i="13"/>
  <c r="EB206" i="13"/>
  <c r="EA206" i="13"/>
  <c r="DZ206" i="13"/>
  <c r="DY206" i="13"/>
  <c r="DX206" i="13"/>
  <c r="DV206" i="13"/>
  <c r="DT206" i="13"/>
  <c r="DS206" i="13"/>
  <c r="DR206" i="13"/>
  <c r="DQ206" i="13"/>
  <c r="DO206" i="13"/>
  <c r="DL206" i="13"/>
  <c r="DJ206" i="13"/>
  <c r="DI206" i="13"/>
  <c r="DH206" i="13"/>
  <c r="DG206" i="13"/>
  <c r="DF206" i="13"/>
  <c r="DC206" i="13"/>
  <c r="DA206" i="13"/>
  <c r="CY206" i="13"/>
  <c r="CU206" i="13"/>
  <c r="CR206" i="13"/>
  <c r="CP206" i="13"/>
  <c r="CL206" i="13"/>
  <c r="CK206" i="13"/>
  <c r="CJ206" i="13"/>
  <c r="CH206" i="13"/>
  <c r="CG206" i="13"/>
  <c r="CF206" i="13"/>
  <c r="CC206" i="13"/>
  <c r="CB206" i="13"/>
  <c r="CA206" i="13"/>
  <c r="BZ206" i="13"/>
  <c r="BW206" i="13"/>
  <c r="BV206" i="13"/>
  <c r="BT206" i="13"/>
  <c r="BS206" i="13"/>
  <c r="BQ206" i="13"/>
  <c r="BN206" i="13"/>
  <c r="BM206" i="13"/>
  <c r="BL206" i="13"/>
  <c r="BK206" i="13"/>
  <c r="BJ206" i="13"/>
  <c r="BI206" i="13"/>
  <c r="BH206" i="13"/>
  <c r="BF206" i="13"/>
  <c r="BE206" i="13"/>
  <c r="BD206" i="13"/>
  <c r="BB206" i="13"/>
  <c r="BA206" i="13"/>
  <c r="AY206" i="13"/>
  <c r="AX206" i="13"/>
  <c r="AW206" i="13"/>
  <c r="AV206" i="13"/>
  <c r="AT206" i="13"/>
  <c r="AN206" i="13"/>
  <c r="AL206" i="13"/>
  <c r="AK206" i="13"/>
  <c r="AJ206" i="13"/>
  <c r="AI206" i="13"/>
  <c r="AG206" i="13"/>
  <c r="AF206" i="13"/>
  <c r="AD206" i="13"/>
  <c r="Y206" i="13"/>
  <c r="X206" i="13"/>
  <c r="U206" i="13"/>
  <c r="T206" i="13"/>
  <c r="R206" i="13"/>
  <c r="Q206" i="13"/>
  <c r="P206" i="13"/>
  <c r="O206" i="13"/>
  <c r="N206" i="13"/>
  <c r="L206" i="13"/>
  <c r="MI204" i="13"/>
  <c r="MH204" i="13"/>
  <c r="MG204" i="13"/>
  <c r="MF204" i="13"/>
  <c r="MD204" i="13"/>
  <c r="LZ204" i="13"/>
  <c r="KF204" i="13"/>
  <c r="KE204" i="13"/>
  <c r="KD204" i="13"/>
  <c r="KC204" i="13"/>
  <c r="KB204" i="13"/>
  <c r="KA204" i="13"/>
  <c r="JT204" i="13"/>
  <c r="JR204" i="13"/>
  <c r="JM204" i="13"/>
  <c r="JL204" i="13"/>
  <c r="JK204" i="13"/>
  <c r="JH204" i="13"/>
  <c r="JG204" i="13"/>
  <c r="JA204" i="13"/>
  <c r="IY204" i="13"/>
  <c r="IW204" i="13"/>
  <c r="IV204" i="13"/>
  <c r="IR204" i="13"/>
  <c r="IQ204" i="13"/>
  <c r="IN204" i="13"/>
  <c r="IL204" i="13"/>
  <c r="IK204" i="13"/>
  <c r="ID204" i="13"/>
  <c r="HZ204" i="13"/>
  <c r="HY204" i="13"/>
  <c r="HX204" i="13"/>
  <c r="HL204" i="13"/>
  <c r="HJ204" i="13"/>
  <c r="HG204" i="13"/>
  <c r="HF204" i="13"/>
  <c r="HE204" i="13"/>
  <c r="HD204" i="13"/>
  <c r="HC204" i="13"/>
  <c r="GX204" i="13"/>
  <c r="GU204" i="13"/>
  <c r="GS204" i="13"/>
  <c r="GR204" i="13"/>
  <c r="GP204" i="13"/>
  <c r="GO204" i="13"/>
  <c r="GM204" i="13"/>
  <c r="GJ204" i="13"/>
  <c r="GI204" i="13"/>
  <c r="GD204" i="13"/>
  <c r="GB204" i="13"/>
  <c r="FZ204" i="13"/>
  <c r="FY204" i="13"/>
  <c r="FX204" i="13"/>
  <c r="FW204" i="13"/>
  <c r="FV204" i="13"/>
  <c r="FU204" i="13"/>
  <c r="FT204" i="13"/>
  <c r="FS204" i="13"/>
  <c r="FR204" i="13"/>
  <c r="FQ204" i="13"/>
  <c r="FP204" i="13"/>
  <c r="FN204" i="13"/>
  <c r="FL204" i="13"/>
  <c r="FK204" i="13"/>
  <c r="FJ204" i="13"/>
  <c r="FG204" i="13"/>
  <c r="FF204" i="13"/>
  <c r="FE204" i="13"/>
  <c r="FD204" i="13"/>
  <c r="FB204" i="13"/>
  <c r="EZ204" i="13"/>
  <c r="EY204" i="13"/>
  <c r="EX204" i="13"/>
  <c r="EW204" i="13"/>
  <c r="EV204" i="13"/>
  <c r="EU204" i="13"/>
  <c r="ET204" i="13"/>
  <c r="ER204" i="13"/>
  <c r="EQ204" i="13"/>
  <c r="EP204" i="13"/>
  <c r="EO204" i="13"/>
  <c r="EN204" i="13"/>
  <c r="EM204" i="13"/>
  <c r="EL204" i="13"/>
  <c r="EK204" i="13"/>
  <c r="EC204" i="13"/>
  <c r="EB204" i="13"/>
  <c r="EA204" i="13"/>
  <c r="DZ204" i="13"/>
  <c r="DY204" i="13"/>
  <c r="DX204" i="13"/>
  <c r="DV204" i="13"/>
  <c r="DT204" i="13"/>
  <c r="DS204" i="13"/>
  <c r="DR204" i="13"/>
  <c r="DQ204" i="13"/>
  <c r="DO204" i="13"/>
  <c r="DL204" i="13"/>
  <c r="DJ204" i="13"/>
  <c r="DI204" i="13"/>
  <c r="DH204" i="13"/>
  <c r="DG204" i="13"/>
  <c r="DF204" i="13"/>
  <c r="DC204" i="13"/>
  <c r="DA204" i="13"/>
  <c r="CY204" i="13"/>
  <c r="CU204" i="13"/>
  <c r="CR204" i="13"/>
  <c r="CP204" i="13"/>
  <c r="CL204" i="13"/>
  <c r="CK204" i="13"/>
  <c r="CJ204" i="13"/>
  <c r="CH204" i="13"/>
  <c r="CG204" i="13"/>
  <c r="CF204" i="13"/>
  <c r="CC204" i="13"/>
  <c r="CB204" i="13"/>
  <c r="CA204" i="13"/>
  <c r="BZ204" i="13"/>
  <c r="BW204" i="13"/>
  <c r="BV204" i="13"/>
  <c r="BT204" i="13"/>
  <c r="BS204" i="13"/>
  <c r="BQ204" i="13"/>
  <c r="BN204" i="13"/>
  <c r="BM204" i="13"/>
  <c r="BL204" i="13"/>
  <c r="BK204" i="13"/>
  <c r="BJ204" i="13"/>
  <c r="BI204" i="13"/>
  <c r="BH204" i="13"/>
  <c r="BF204" i="13"/>
  <c r="BE204" i="13"/>
  <c r="BD204" i="13"/>
  <c r="BB204" i="13"/>
  <c r="BA204" i="13"/>
  <c r="AY204" i="13"/>
  <c r="AX204" i="13"/>
  <c r="AW204" i="13"/>
  <c r="AV204" i="13"/>
  <c r="AT204" i="13"/>
  <c r="AN204" i="13"/>
  <c r="AL204" i="13"/>
  <c r="AK204" i="13"/>
  <c r="AJ204" i="13"/>
  <c r="AI204" i="13"/>
  <c r="AG204" i="13"/>
  <c r="AF204" i="13"/>
  <c r="AD204" i="13"/>
  <c r="Y204" i="13"/>
  <c r="X204" i="13"/>
  <c r="U204" i="13"/>
  <c r="T204" i="13"/>
  <c r="R204" i="13"/>
  <c r="Q204" i="13"/>
  <c r="P204" i="13"/>
  <c r="O204" i="13"/>
  <c r="N204" i="13"/>
  <c r="L204" i="13"/>
  <c r="MI200" i="13"/>
  <c r="MH200" i="13"/>
  <c r="MG200" i="13"/>
  <c r="MF200" i="13"/>
  <c r="MD200" i="13"/>
  <c r="LZ200" i="13"/>
  <c r="KF200" i="13"/>
  <c r="KE200" i="13"/>
  <c r="KD200" i="13"/>
  <c r="KC200" i="13"/>
  <c r="KB200" i="13"/>
  <c r="KA200" i="13"/>
  <c r="JT200" i="13"/>
  <c r="JR200" i="13"/>
  <c r="JM200" i="13"/>
  <c r="JL200" i="13"/>
  <c r="JK200" i="13"/>
  <c r="JH200" i="13"/>
  <c r="JG200" i="13"/>
  <c r="JA200" i="13"/>
  <c r="IY200" i="13"/>
  <c r="IW200" i="13"/>
  <c r="IV200" i="13"/>
  <c r="IR200" i="13"/>
  <c r="IQ200" i="13"/>
  <c r="IN200" i="13"/>
  <c r="IL200" i="13"/>
  <c r="IK200" i="13"/>
  <c r="ID200" i="13"/>
  <c r="HZ200" i="13"/>
  <c r="HY200" i="13"/>
  <c r="HX200" i="13"/>
  <c r="HL200" i="13"/>
  <c r="HJ200" i="13"/>
  <c r="HG200" i="13"/>
  <c r="HF200" i="13"/>
  <c r="HE200" i="13"/>
  <c r="HD200" i="13"/>
  <c r="HC200" i="13"/>
  <c r="GX200" i="13"/>
  <c r="GU200" i="13"/>
  <c r="GS200" i="13"/>
  <c r="GR200" i="13"/>
  <c r="GP200" i="13"/>
  <c r="GO200" i="13"/>
  <c r="GM200" i="13"/>
  <c r="GJ200" i="13"/>
  <c r="GI200" i="13"/>
  <c r="GD200" i="13"/>
  <c r="GB200" i="13"/>
  <c r="FZ200" i="13"/>
  <c r="FY200" i="13"/>
  <c r="FX200" i="13"/>
  <c r="FW200" i="13"/>
  <c r="FV200" i="13"/>
  <c r="FU200" i="13"/>
  <c r="FT200" i="13"/>
  <c r="FS200" i="13"/>
  <c r="FR200" i="13"/>
  <c r="FQ200" i="13"/>
  <c r="FP200" i="13"/>
  <c r="FN200" i="13"/>
  <c r="FL200" i="13"/>
  <c r="FK200" i="13"/>
  <c r="FJ200" i="13"/>
  <c r="FG200" i="13"/>
  <c r="FF200" i="13"/>
  <c r="FE200" i="13"/>
  <c r="FD200" i="13"/>
  <c r="FB200" i="13"/>
  <c r="EZ200" i="13"/>
  <c r="EY200" i="13"/>
  <c r="EX200" i="13"/>
  <c r="EW200" i="13"/>
  <c r="EV200" i="13"/>
  <c r="EU200" i="13"/>
  <c r="ET200" i="13"/>
  <c r="ER200" i="13"/>
  <c r="EQ200" i="13"/>
  <c r="EP200" i="13"/>
  <c r="EO200" i="13"/>
  <c r="EN200" i="13"/>
  <c r="EM200" i="13"/>
  <c r="EL200" i="13"/>
  <c r="EK200" i="13"/>
  <c r="EC200" i="13"/>
  <c r="EB200" i="13"/>
  <c r="EA200" i="13"/>
  <c r="DZ200" i="13"/>
  <c r="DY200" i="13"/>
  <c r="DX200" i="13"/>
  <c r="DV200" i="13"/>
  <c r="DT200" i="13"/>
  <c r="DS200" i="13"/>
  <c r="DR200" i="13"/>
  <c r="DQ200" i="13"/>
  <c r="DO200" i="13"/>
  <c r="DL200" i="13"/>
  <c r="DJ200" i="13"/>
  <c r="DI200" i="13"/>
  <c r="DH200" i="13"/>
  <c r="DG200" i="13"/>
  <c r="DF200" i="13"/>
  <c r="DC200" i="13"/>
  <c r="DA200" i="13"/>
  <c r="CY200" i="13"/>
  <c r="CU200" i="13"/>
  <c r="CR200" i="13"/>
  <c r="CP200" i="13"/>
  <c r="CL200" i="13"/>
  <c r="CK200" i="13"/>
  <c r="CJ200" i="13"/>
  <c r="CH200" i="13"/>
  <c r="CG200" i="13"/>
  <c r="CF200" i="13"/>
  <c r="CC200" i="13"/>
  <c r="CB200" i="13"/>
  <c r="CA200" i="13"/>
  <c r="BZ200" i="13"/>
  <c r="BW200" i="13"/>
  <c r="BV200" i="13"/>
  <c r="BT200" i="13"/>
  <c r="BS200" i="13"/>
  <c r="BQ200" i="13"/>
  <c r="BN200" i="13"/>
  <c r="BM200" i="13"/>
  <c r="BL200" i="13"/>
  <c r="BK200" i="13"/>
  <c r="BJ200" i="13"/>
  <c r="BI200" i="13"/>
  <c r="BH200" i="13"/>
  <c r="BF200" i="13"/>
  <c r="BE200" i="13"/>
  <c r="BD200" i="13"/>
  <c r="BB200" i="13"/>
  <c r="BA200" i="13"/>
  <c r="AY200" i="13"/>
  <c r="AX200" i="13"/>
  <c r="AW200" i="13"/>
  <c r="AV200" i="13"/>
  <c r="AT200" i="13"/>
  <c r="AN200" i="13"/>
  <c r="AL200" i="13"/>
  <c r="AK200" i="13"/>
  <c r="AJ200" i="13"/>
  <c r="AI200" i="13"/>
  <c r="AG200" i="13"/>
  <c r="AF200" i="13"/>
  <c r="AD200" i="13"/>
  <c r="Y200" i="13"/>
  <c r="X200" i="13"/>
  <c r="U200" i="13"/>
  <c r="T200" i="13"/>
  <c r="R200" i="13"/>
  <c r="Q200" i="13"/>
  <c r="P200" i="13"/>
  <c r="O200" i="13"/>
  <c r="N200" i="13"/>
  <c r="L200" i="13"/>
  <c r="MI177" i="13"/>
  <c r="MH177" i="13"/>
  <c r="MG177" i="13"/>
  <c r="MF177" i="13"/>
  <c r="MD177" i="13"/>
  <c r="LZ177" i="13"/>
  <c r="KF177" i="13"/>
  <c r="KE177" i="13"/>
  <c r="KD177" i="13"/>
  <c r="KC177" i="13"/>
  <c r="KB177" i="13"/>
  <c r="KA177" i="13"/>
  <c r="JT177" i="13"/>
  <c r="JR177" i="13"/>
  <c r="JM177" i="13"/>
  <c r="JL177" i="13"/>
  <c r="JK177" i="13"/>
  <c r="JH177" i="13"/>
  <c r="JG177" i="13"/>
  <c r="JA177" i="13"/>
  <c r="IY177" i="13"/>
  <c r="IW177" i="13"/>
  <c r="IV177" i="13"/>
  <c r="IR177" i="13"/>
  <c r="IQ177" i="13"/>
  <c r="IN177" i="13"/>
  <c r="IL177" i="13"/>
  <c r="IK177" i="13"/>
  <c r="ID177" i="13"/>
  <c r="HZ177" i="13"/>
  <c r="HY177" i="13"/>
  <c r="HX177" i="13"/>
  <c r="HL177" i="13"/>
  <c r="HJ177" i="13"/>
  <c r="HG177" i="13"/>
  <c r="HF177" i="13"/>
  <c r="HE177" i="13"/>
  <c r="HD177" i="13"/>
  <c r="HC177" i="13"/>
  <c r="GX177" i="13"/>
  <c r="GU177" i="13"/>
  <c r="GS177" i="13"/>
  <c r="GR177" i="13"/>
  <c r="GP177" i="13"/>
  <c r="GO177" i="13"/>
  <c r="GM177" i="13"/>
  <c r="GJ177" i="13"/>
  <c r="GI177" i="13"/>
  <c r="GD177" i="13"/>
  <c r="GB177" i="13"/>
  <c r="FZ177" i="13"/>
  <c r="FY177" i="13"/>
  <c r="FX177" i="13"/>
  <c r="FW177" i="13"/>
  <c r="FV177" i="13"/>
  <c r="FU177" i="13"/>
  <c r="FT177" i="13"/>
  <c r="FS177" i="13"/>
  <c r="FR177" i="13"/>
  <c r="FQ177" i="13"/>
  <c r="FP177" i="13"/>
  <c r="FN177" i="13"/>
  <c r="FL177" i="13"/>
  <c r="FK177" i="13"/>
  <c r="FJ177" i="13"/>
  <c r="FG177" i="13"/>
  <c r="FF177" i="13"/>
  <c r="FE177" i="13"/>
  <c r="FD177" i="13"/>
  <c r="FB177" i="13"/>
  <c r="EZ177" i="13"/>
  <c r="EY177" i="13"/>
  <c r="EX177" i="13"/>
  <c r="EW177" i="13"/>
  <c r="EV177" i="13"/>
  <c r="EU177" i="13"/>
  <c r="ET177" i="13"/>
  <c r="ER177" i="13"/>
  <c r="EQ177" i="13"/>
  <c r="EP177" i="13"/>
  <c r="EO177" i="13"/>
  <c r="EN177" i="13"/>
  <c r="EM177" i="13"/>
  <c r="EL177" i="13"/>
  <c r="EK177" i="13"/>
  <c r="EC177" i="13"/>
  <c r="EB177" i="13"/>
  <c r="EA177" i="13"/>
  <c r="DZ177" i="13"/>
  <c r="DY177" i="13"/>
  <c r="DX177" i="13"/>
  <c r="DV177" i="13"/>
  <c r="DT177" i="13"/>
  <c r="DS177" i="13"/>
  <c r="DR177" i="13"/>
  <c r="DQ177" i="13"/>
  <c r="DO177" i="13"/>
  <c r="DL177" i="13"/>
  <c r="DJ177" i="13"/>
  <c r="DI177" i="13"/>
  <c r="DH177" i="13"/>
  <c r="DG177" i="13"/>
  <c r="DF177" i="13"/>
  <c r="DC177" i="13"/>
  <c r="DA177" i="13"/>
  <c r="CY177" i="13"/>
  <c r="CU177" i="13"/>
  <c r="CR177" i="13"/>
  <c r="CP177" i="13"/>
  <c r="CL177" i="13"/>
  <c r="CK177" i="13"/>
  <c r="CJ177" i="13"/>
  <c r="CH177" i="13"/>
  <c r="CG177" i="13"/>
  <c r="CF177" i="13"/>
  <c r="CC177" i="13"/>
  <c r="CB177" i="13"/>
  <c r="CA177" i="13"/>
  <c r="BZ177" i="13"/>
  <c r="BW177" i="13"/>
  <c r="BV177" i="13"/>
  <c r="BT177" i="13"/>
  <c r="BS177" i="13"/>
  <c r="BQ177" i="13"/>
  <c r="BN177" i="13"/>
  <c r="BM177" i="13"/>
  <c r="BL177" i="13"/>
  <c r="BK177" i="13"/>
  <c r="BJ177" i="13"/>
  <c r="BI177" i="13"/>
  <c r="BH177" i="13"/>
  <c r="BF177" i="13"/>
  <c r="BE177" i="13"/>
  <c r="BD177" i="13"/>
  <c r="BB177" i="13"/>
  <c r="BA177" i="13"/>
  <c r="AY177" i="13"/>
  <c r="AX177" i="13"/>
  <c r="AW177" i="13"/>
  <c r="AV177" i="13"/>
  <c r="AT177" i="13"/>
  <c r="AN177" i="13"/>
  <c r="AL177" i="13"/>
  <c r="AK177" i="13"/>
  <c r="AJ177" i="13"/>
  <c r="AI177" i="13"/>
  <c r="AG177" i="13"/>
  <c r="AF177" i="13"/>
  <c r="AD177" i="13"/>
  <c r="Y177" i="13"/>
  <c r="X177" i="13"/>
  <c r="U177" i="13"/>
  <c r="T177" i="13"/>
  <c r="R177" i="13"/>
  <c r="Q177" i="13"/>
  <c r="P177" i="13"/>
  <c r="O177" i="13"/>
  <c r="N177" i="13"/>
  <c r="L177" i="13"/>
  <c r="MI163" i="13"/>
  <c r="MH163" i="13"/>
  <c r="MG163" i="13"/>
  <c r="MF163" i="13"/>
  <c r="MD163" i="13"/>
  <c r="LZ163" i="13"/>
  <c r="KF163" i="13"/>
  <c r="KE163" i="13"/>
  <c r="KD163" i="13"/>
  <c r="KC163" i="13"/>
  <c r="KB163" i="13"/>
  <c r="KA163" i="13"/>
  <c r="JT163" i="13"/>
  <c r="JR163" i="13"/>
  <c r="JM163" i="13"/>
  <c r="JL163" i="13"/>
  <c r="JK163" i="13"/>
  <c r="JH163" i="13"/>
  <c r="JG163" i="13"/>
  <c r="JA163" i="13"/>
  <c r="IY163" i="13"/>
  <c r="IW163" i="13"/>
  <c r="IV163" i="13"/>
  <c r="IR163" i="13"/>
  <c r="IQ163" i="13"/>
  <c r="IN163" i="13"/>
  <c r="IL163" i="13"/>
  <c r="IK163" i="13"/>
  <c r="ID163" i="13"/>
  <c r="HZ163" i="13"/>
  <c r="HY163" i="13"/>
  <c r="HX163" i="13"/>
  <c r="HL163" i="13"/>
  <c r="HJ163" i="13"/>
  <c r="HG163" i="13"/>
  <c r="HF163" i="13"/>
  <c r="HE163" i="13"/>
  <c r="HD163" i="13"/>
  <c r="HC163" i="13"/>
  <c r="GX163" i="13"/>
  <c r="GU163" i="13"/>
  <c r="GS163" i="13"/>
  <c r="GR163" i="13"/>
  <c r="GP163" i="13"/>
  <c r="GO163" i="13"/>
  <c r="GM163" i="13"/>
  <c r="GJ163" i="13"/>
  <c r="GI163" i="13"/>
  <c r="GD163" i="13"/>
  <c r="GB163" i="13"/>
  <c r="FZ163" i="13"/>
  <c r="FY163" i="13"/>
  <c r="FX163" i="13"/>
  <c r="FW163" i="13"/>
  <c r="FV163" i="13"/>
  <c r="FU163" i="13"/>
  <c r="FT163" i="13"/>
  <c r="FS163" i="13"/>
  <c r="FR163" i="13"/>
  <c r="FQ163" i="13"/>
  <c r="FP163" i="13"/>
  <c r="FN163" i="13"/>
  <c r="FL163" i="13"/>
  <c r="FK163" i="13"/>
  <c r="FJ163" i="13"/>
  <c r="FG163" i="13"/>
  <c r="FF163" i="13"/>
  <c r="FE163" i="13"/>
  <c r="FD163" i="13"/>
  <c r="FB163" i="13"/>
  <c r="EZ163" i="13"/>
  <c r="EY163" i="13"/>
  <c r="EX163" i="13"/>
  <c r="EW163" i="13"/>
  <c r="EV163" i="13"/>
  <c r="EU163" i="13"/>
  <c r="ET163" i="13"/>
  <c r="ER163" i="13"/>
  <c r="EQ163" i="13"/>
  <c r="EP163" i="13"/>
  <c r="EO163" i="13"/>
  <c r="EN163" i="13"/>
  <c r="EM163" i="13"/>
  <c r="EL163" i="13"/>
  <c r="EK163" i="13"/>
  <c r="EC163" i="13"/>
  <c r="EB163" i="13"/>
  <c r="EA163" i="13"/>
  <c r="DZ163" i="13"/>
  <c r="DY163" i="13"/>
  <c r="DX163" i="13"/>
  <c r="DV163" i="13"/>
  <c r="DT163" i="13"/>
  <c r="DS163" i="13"/>
  <c r="DR163" i="13"/>
  <c r="DQ163" i="13"/>
  <c r="DO163" i="13"/>
  <c r="DL163" i="13"/>
  <c r="DJ163" i="13"/>
  <c r="DI163" i="13"/>
  <c r="DH163" i="13"/>
  <c r="DG163" i="13"/>
  <c r="DF163" i="13"/>
  <c r="DC163" i="13"/>
  <c r="DA163" i="13"/>
  <c r="CY163" i="13"/>
  <c r="CU163" i="13"/>
  <c r="CR163" i="13"/>
  <c r="CP163" i="13"/>
  <c r="CL163" i="13"/>
  <c r="CK163" i="13"/>
  <c r="CJ163" i="13"/>
  <c r="CH163" i="13"/>
  <c r="CG163" i="13"/>
  <c r="CF163" i="13"/>
  <c r="CC163" i="13"/>
  <c r="CB163" i="13"/>
  <c r="CA163" i="13"/>
  <c r="BZ163" i="13"/>
  <c r="BW163" i="13"/>
  <c r="BV163" i="13"/>
  <c r="BT163" i="13"/>
  <c r="BS163" i="13"/>
  <c r="BQ163" i="13"/>
  <c r="BN163" i="13"/>
  <c r="BM163" i="13"/>
  <c r="BL163" i="13"/>
  <c r="BK163" i="13"/>
  <c r="BJ163" i="13"/>
  <c r="BI163" i="13"/>
  <c r="BH163" i="13"/>
  <c r="BF163" i="13"/>
  <c r="BE163" i="13"/>
  <c r="BD163" i="13"/>
  <c r="BB163" i="13"/>
  <c r="BA163" i="13"/>
  <c r="AY163" i="13"/>
  <c r="AX163" i="13"/>
  <c r="AW163" i="13"/>
  <c r="AV163" i="13"/>
  <c r="AT163" i="13"/>
  <c r="AN163" i="13"/>
  <c r="AL163" i="13"/>
  <c r="AK163" i="13"/>
  <c r="AJ163" i="13"/>
  <c r="AI163" i="13"/>
  <c r="AG163" i="13"/>
  <c r="AF163" i="13"/>
  <c r="AD163" i="13"/>
  <c r="Y163" i="13"/>
  <c r="X163" i="13"/>
  <c r="U163" i="13"/>
  <c r="T163" i="13"/>
  <c r="R163" i="13"/>
  <c r="Q163" i="13"/>
  <c r="P163" i="13"/>
  <c r="O163" i="13"/>
  <c r="N163" i="13"/>
  <c r="L163" i="13"/>
  <c r="MI139" i="13"/>
  <c r="MH139" i="13"/>
  <c r="MG139" i="13"/>
  <c r="MF139" i="13"/>
  <c r="MD139" i="13"/>
  <c r="LZ139" i="13"/>
  <c r="KF139" i="13"/>
  <c r="KE139" i="13"/>
  <c r="KD139" i="13"/>
  <c r="KC139" i="13"/>
  <c r="KB139" i="13"/>
  <c r="KA139" i="13"/>
  <c r="JT139" i="13"/>
  <c r="JR139" i="13"/>
  <c r="JM139" i="13"/>
  <c r="JL139" i="13"/>
  <c r="JK139" i="13"/>
  <c r="JH139" i="13"/>
  <c r="JG139" i="13"/>
  <c r="JA139" i="13"/>
  <c r="IY139" i="13"/>
  <c r="IW139" i="13"/>
  <c r="IV139" i="13"/>
  <c r="IR139" i="13"/>
  <c r="IQ139" i="13"/>
  <c r="IN139" i="13"/>
  <c r="IL139" i="13"/>
  <c r="IK139" i="13"/>
  <c r="ID139" i="13"/>
  <c r="HZ139" i="13"/>
  <c r="HY139" i="13"/>
  <c r="HX139" i="13"/>
  <c r="HL139" i="13"/>
  <c r="HJ139" i="13"/>
  <c r="HG139" i="13"/>
  <c r="HF139" i="13"/>
  <c r="HE139" i="13"/>
  <c r="HD139" i="13"/>
  <c r="HC139" i="13"/>
  <c r="GX139" i="13"/>
  <c r="GU139" i="13"/>
  <c r="GS139" i="13"/>
  <c r="GR139" i="13"/>
  <c r="GP139" i="13"/>
  <c r="GO139" i="13"/>
  <c r="GM139" i="13"/>
  <c r="GJ139" i="13"/>
  <c r="GI139" i="13"/>
  <c r="GD139" i="13"/>
  <c r="GB139" i="13"/>
  <c r="FZ139" i="13"/>
  <c r="FY139" i="13"/>
  <c r="FX139" i="13"/>
  <c r="FW139" i="13"/>
  <c r="FV139" i="13"/>
  <c r="FU139" i="13"/>
  <c r="FT139" i="13"/>
  <c r="FS139" i="13"/>
  <c r="FR139" i="13"/>
  <c r="FQ139" i="13"/>
  <c r="FP139" i="13"/>
  <c r="FN139" i="13"/>
  <c r="FL139" i="13"/>
  <c r="FK139" i="13"/>
  <c r="FJ139" i="13"/>
  <c r="FG139" i="13"/>
  <c r="FF139" i="13"/>
  <c r="FE139" i="13"/>
  <c r="FD139" i="13"/>
  <c r="FB139" i="13"/>
  <c r="EZ139" i="13"/>
  <c r="EY139" i="13"/>
  <c r="EX139" i="13"/>
  <c r="EW139" i="13"/>
  <c r="EV139" i="13"/>
  <c r="EU139" i="13"/>
  <c r="ET139" i="13"/>
  <c r="ER139" i="13"/>
  <c r="EQ139" i="13"/>
  <c r="EP139" i="13"/>
  <c r="EO139" i="13"/>
  <c r="EN139" i="13"/>
  <c r="EM139" i="13"/>
  <c r="EL139" i="13"/>
  <c r="EK139" i="13"/>
  <c r="EC139" i="13"/>
  <c r="EB139" i="13"/>
  <c r="EA139" i="13"/>
  <c r="DZ139" i="13"/>
  <c r="DY139" i="13"/>
  <c r="DX139" i="13"/>
  <c r="DV139" i="13"/>
  <c r="DT139" i="13"/>
  <c r="DS139" i="13"/>
  <c r="DR139" i="13"/>
  <c r="DQ139" i="13"/>
  <c r="DO139" i="13"/>
  <c r="DL139" i="13"/>
  <c r="DJ139" i="13"/>
  <c r="DI139" i="13"/>
  <c r="DH139" i="13"/>
  <c r="DG139" i="13"/>
  <c r="DF139" i="13"/>
  <c r="DC139" i="13"/>
  <c r="DA139" i="13"/>
  <c r="CY139" i="13"/>
  <c r="CU139" i="13"/>
  <c r="CR139" i="13"/>
  <c r="CP139" i="13"/>
  <c r="CL139" i="13"/>
  <c r="CK139" i="13"/>
  <c r="CJ139" i="13"/>
  <c r="CH139" i="13"/>
  <c r="CG139" i="13"/>
  <c r="CF139" i="13"/>
  <c r="CC139" i="13"/>
  <c r="CB139" i="13"/>
  <c r="CA139" i="13"/>
  <c r="BZ139" i="13"/>
  <c r="BW139" i="13"/>
  <c r="BV139" i="13"/>
  <c r="BT139" i="13"/>
  <c r="BS139" i="13"/>
  <c r="BQ139" i="13"/>
  <c r="BN139" i="13"/>
  <c r="BM139" i="13"/>
  <c r="BL139" i="13"/>
  <c r="BK139" i="13"/>
  <c r="BJ139" i="13"/>
  <c r="BI139" i="13"/>
  <c r="BH139" i="13"/>
  <c r="BF139" i="13"/>
  <c r="BE139" i="13"/>
  <c r="BD139" i="13"/>
  <c r="BB139" i="13"/>
  <c r="BA139" i="13"/>
  <c r="AY139" i="13"/>
  <c r="AX139" i="13"/>
  <c r="AW139" i="13"/>
  <c r="AV139" i="13"/>
  <c r="AT139" i="13"/>
  <c r="AN139" i="13"/>
  <c r="AL139" i="13"/>
  <c r="AK139" i="13"/>
  <c r="AJ139" i="13"/>
  <c r="AI139" i="13"/>
  <c r="AG139" i="13"/>
  <c r="AF139" i="13"/>
  <c r="AD139" i="13"/>
  <c r="Y139" i="13"/>
  <c r="X139" i="13"/>
  <c r="U139" i="13"/>
  <c r="T139" i="13"/>
  <c r="R139" i="13"/>
  <c r="Q139" i="13"/>
  <c r="P139" i="13"/>
  <c r="O139" i="13"/>
  <c r="N139" i="13"/>
  <c r="L139" i="13"/>
  <c r="MI136" i="13"/>
  <c r="MH136" i="13"/>
  <c r="MG136" i="13"/>
  <c r="MF136" i="13"/>
  <c r="MD136" i="13"/>
  <c r="LZ136" i="13"/>
  <c r="KF136" i="13"/>
  <c r="KE136" i="13"/>
  <c r="KD136" i="13"/>
  <c r="KC136" i="13"/>
  <c r="KB136" i="13"/>
  <c r="KA136" i="13"/>
  <c r="JT136" i="13"/>
  <c r="JR136" i="13"/>
  <c r="JM136" i="13"/>
  <c r="JL136" i="13"/>
  <c r="JK136" i="13"/>
  <c r="JH136" i="13"/>
  <c r="JG136" i="13"/>
  <c r="JA136" i="13"/>
  <c r="IY136" i="13"/>
  <c r="IW136" i="13"/>
  <c r="IV136" i="13"/>
  <c r="IR136" i="13"/>
  <c r="IQ136" i="13"/>
  <c r="IN136" i="13"/>
  <c r="IL136" i="13"/>
  <c r="IK136" i="13"/>
  <c r="ID136" i="13"/>
  <c r="HZ136" i="13"/>
  <c r="HY136" i="13"/>
  <c r="HX136" i="13"/>
  <c r="HL136" i="13"/>
  <c r="HJ136" i="13"/>
  <c r="HG136" i="13"/>
  <c r="HF136" i="13"/>
  <c r="HE136" i="13"/>
  <c r="HD136" i="13"/>
  <c r="HC136" i="13"/>
  <c r="GX136" i="13"/>
  <c r="GU136" i="13"/>
  <c r="GS136" i="13"/>
  <c r="GR136" i="13"/>
  <c r="GP136" i="13"/>
  <c r="GO136" i="13"/>
  <c r="GM136" i="13"/>
  <c r="GJ136" i="13"/>
  <c r="GI136" i="13"/>
  <c r="GD136" i="13"/>
  <c r="GB136" i="13"/>
  <c r="FZ136" i="13"/>
  <c r="FY136" i="13"/>
  <c r="FX136" i="13"/>
  <c r="FW136" i="13"/>
  <c r="FV136" i="13"/>
  <c r="FU136" i="13"/>
  <c r="FT136" i="13"/>
  <c r="FS136" i="13"/>
  <c r="FR136" i="13"/>
  <c r="FQ136" i="13"/>
  <c r="FP136" i="13"/>
  <c r="FN136" i="13"/>
  <c r="FL136" i="13"/>
  <c r="FK136" i="13"/>
  <c r="FJ136" i="13"/>
  <c r="FG136" i="13"/>
  <c r="FF136" i="13"/>
  <c r="FE136" i="13"/>
  <c r="FD136" i="13"/>
  <c r="FB136" i="13"/>
  <c r="EZ136" i="13"/>
  <c r="EY136" i="13"/>
  <c r="EX136" i="13"/>
  <c r="EW136" i="13"/>
  <c r="EV136" i="13"/>
  <c r="EU136" i="13"/>
  <c r="ET136" i="13"/>
  <c r="ER136" i="13"/>
  <c r="EQ136" i="13"/>
  <c r="EP136" i="13"/>
  <c r="EO136" i="13"/>
  <c r="EN136" i="13"/>
  <c r="EM136" i="13"/>
  <c r="EL136" i="13"/>
  <c r="EK136" i="13"/>
  <c r="EC136" i="13"/>
  <c r="EB136" i="13"/>
  <c r="EA136" i="13"/>
  <c r="DZ136" i="13"/>
  <c r="DY136" i="13"/>
  <c r="DX136" i="13"/>
  <c r="DV136" i="13"/>
  <c r="DT136" i="13"/>
  <c r="DS136" i="13"/>
  <c r="DR136" i="13"/>
  <c r="DQ136" i="13"/>
  <c r="DO136" i="13"/>
  <c r="DL136" i="13"/>
  <c r="DJ136" i="13"/>
  <c r="DI136" i="13"/>
  <c r="DH136" i="13"/>
  <c r="DG136" i="13"/>
  <c r="DF136" i="13"/>
  <c r="DC136" i="13"/>
  <c r="DA136" i="13"/>
  <c r="CY136" i="13"/>
  <c r="CU136" i="13"/>
  <c r="CR136" i="13"/>
  <c r="CP136" i="13"/>
  <c r="CL136" i="13"/>
  <c r="CK136" i="13"/>
  <c r="CJ136" i="13"/>
  <c r="CH136" i="13"/>
  <c r="CG136" i="13"/>
  <c r="CF136" i="13"/>
  <c r="CC136" i="13"/>
  <c r="CB136" i="13"/>
  <c r="CA136" i="13"/>
  <c r="BZ136" i="13"/>
  <c r="BW136" i="13"/>
  <c r="BV136" i="13"/>
  <c r="BT136" i="13"/>
  <c r="BS136" i="13"/>
  <c r="BQ136" i="13"/>
  <c r="BN136" i="13"/>
  <c r="BM136" i="13"/>
  <c r="BL136" i="13"/>
  <c r="BK136" i="13"/>
  <c r="BJ136" i="13"/>
  <c r="BI136" i="13"/>
  <c r="BH136" i="13"/>
  <c r="BF136" i="13"/>
  <c r="BE136" i="13"/>
  <c r="BD136" i="13"/>
  <c r="BB136" i="13"/>
  <c r="BA136" i="13"/>
  <c r="AY136" i="13"/>
  <c r="AX136" i="13"/>
  <c r="AW136" i="13"/>
  <c r="AV136" i="13"/>
  <c r="AT136" i="13"/>
  <c r="AN136" i="13"/>
  <c r="AL136" i="13"/>
  <c r="AK136" i="13"/>
  <c r="AJ136" i="13"/>
  <c r="AI136" i="13"/>
  <c r="AG136" i="13"/>
  <c r="AF136" i="13"/>
  <c r="AD136" i="13"/>
  <c r="Y136" i="13"/>
  <c r="X136" i="13"/>
  <c r="U136" i="13"/>
  <c r="T136" i="13"/>
  <c r="R136" i="13"/>
  <c r="Q136" i="13"/>
  <c r="P136" i="13"/>
  <c r="O136" i="13"/>
  <c r="N136" i="13"/>
  <c r="L136" i="13"/>
  <c r="MI131" i="13"/>
  <c r="MH131" i="13"/>
  <c r="MG131" i="13"/>
  <c r="MF131" i="13"/>
  <c r="MD131" i="13"/>
  <c r="LZ131" i="13"/>
  <c r="KF131" i="13"/>
  <c r="KE131" i="13"/>
  <c r="KD131" i="13"/>
  <c r="KC131" i="13"/>
  <c r="KB131" i="13"/>
  <c r="KA131" i="13"/>
  <c r="JT131" i="13"/>
  <c r="JR131" i="13"/>
  <c r="JM131" i="13"/>
  <c r="JL131" i="13"/>
  <c r="JK131" i="13"/>
  <c r="JH131" i="13"/>
  <c r="JG131" i="13"/>
  <c r="JA131" i="13"/>
  <c r="IY131" i="13"/>
  <c r="IW131" i="13"/>
  <c r="IV131" i="13"/>
  <c r="IR131" i="13"/>
  <c r="IQ131" i="13"/>
  <c r="IN131" i="13"/>
  <c r="IL131" i="13"/>
  <c r="IK131" i="13"/>
  <c r="ID131" i="13"/>
  <c r="HZ131" i="13"/>
  <c r="HY131" i="13"/>
  <c r="HX131" i="13"/>
  <c r="HL131" i="13"/>
  <c r="HJ131" i="13"/>
  <c r="HG131" i="13"/>
  <c r="HF131" i="13"/>
  <c r="HE131" i="13"/>
  <c r="HD131" i="13"/>
  <c r="HC131" i="13"/>
  <c r="GX131" i="13"/>
  <c r="GU131" i="13"/>
  <c r="GS131" i="13"/>
  <c r="GR131" i="13"/>
  <c r="GP131" i="13"/>
  <c r="GO131" i="13"/>
  <c r="GM131" i="13"/>
  <c r="GJ131" i="13"/>
  <c r="GI131" i="13"/>
  <c r="GD131" i="13"/>
  <c r="GB131" i="13"/>
  <c r="FZ131" i="13"/>
  <c r="FY131" i="13"/>
  <c r="FX131" i="13"/>
  <c r="FW131" i="13"/>
  <c r="FV131" i="13"/>
  <c r="FU131" i="13"/>
  <c r="FT131" i="13"/>
  <c r="FS131" i="13"/>
  <c r="FR131" i="13"/>
  <c r="FQ131" i="13"/>
  <c r="FP131" i="13"/>
  <c r="FN131" i="13"/>
  <c r="FL131" i="13"/>
  <c r="FK131" i="13"/>
  <c r="FJ131" i="13"/>
  <c r="FG131" i="13"/>
  <c r="FF131" i="13"/>
  <c r="FE131" i="13"/>
  <c r="FD131" i="13"/>
  <c r="FB131" i="13"/>
  <c r="EZ131" i="13"/>
  <c r="EY131" i="13"/>
  <c r="EX131" i="13"/>
  <c r="EW131" i="13"/>
  <c r="EV131" i="13"/>
  <c r="EU131" i="13"/>
  <c r="ET131" i="13"/>
  <c r="ER131" i="13"/>
  <c r="EQ131" i="13"/>
  <c r="EP131" i="13"/>
  <c r="EO131" i="13"/>
  <c r="EN131" i="13"/>
  <c r="EM131" i="13"/>
  <c r="EL131" i="13"/>
  <c r="EK131" i="13"/>
  <c r="EC131" i="13"/>
  <c r="EB131" i="13"/>
  <c r="EA131" i="13"/>
  <c r="DZ131" i="13"/>
  <c r="DY131" i="13"/>
  <c r="DX131" i="13"/>
  <c r="DV131" i="13"/>
  <c r="DT131" i="13"/>
  <c r="DS131" i="13"/>
  <c r="DR131" i="13"/>
  <c r="DQ131" i="13"/>
  <c r="DO131" i="13"/>
  <c r="DL131" i="13"/>
  <c r="DJ131" i="13"/>
  <c r="DI131" i="13"/>
  <c r="DH131" i="13"/>
  <c r="DG131" i="13"/>
  <c r="DF131" i="13"/>
  <c r="DC131" i="13"/>
  <c r="DA131" i="13"/>
  <c r="CY131" i="13"/>
  <c r="CU131" i="13"/>
  <c r="CR131" i="13"/>
  <c r="CP131" i="13"/>
  <c r="CL131" i="13"/>
  <c r="CK131" i="13"/>
  <c r="CJ131" i="13"/>
  <c r="CH131" i="13"/>
  <c r="CG131" i="13"/>
  <c r="CF131" i="13"/>
  <c r="CC131" i="13"/>
  <c r="CB131" i="13"/>
  <c r="CA131" i="13"/>
  <c r="BZ131" i="13"/>
  <c r="BW131" i="13"/>
  <c r="BV131" i="13"/>
  <c r="BT131" i="13"/>
  <c r="BS131" i="13"/>
  <c r="BQ131" i="13"/>
  <c r="BN131" i="13"/>
  <c r="BM131" i="13"/>
  <c r="BL131" i="13"/>
  <c r="BK131" i="13"/>
  <c r="BJ131" i="13"/>
  <c r="BI131" i="13"/>
  <c r="BH131" i="13"/>
  <c r="BF131" i="13"/>
  <c r="BE131" i="13"/>
  <c r="BD131" i="13"/>
  <c r="BB131" i="13"/>
  <c r="BA131" i="13"/>
  <c r="AY131" i="13"/>
  <c r="AX131" i="13"/>
  <c r="AW131" i="13"/>
  <c r="AV131" i="13"/>
  <c r="AT131" i="13"/>
  <c r="AN131" i="13"/>
  <c r="AL131" i="13"/>
  <c r="AK131" i="13"/>
  <c r="AJ131" i="13"/>
  <c r="AI131" i="13"/>
  <c r="AG131" i="13"/>
  <c r="AF131" i="13"/>
  <c r="AD131" i="13"/>
  <c r="Y131" i="13"/>
  <c r="X131" i="13"/>
  <c r="U131" i="13"/>
  <c r="T131" i="13"/>
  <c r="R131" i="13"/>
  <c r="Q131" i="13"/>
  <c r="P131" i="13"/>
  <c r="O131" i="13"/>
  <c r="N131" i="13"/>
  <c r="L131" i="13"/>
  <c r="MI127" i="13"/>
  <c r="MH127" i="13"/>
  <c r="MG127" i="13"/>
  <c r="MF127" i="13"/>
  <c r="MD127" i="13"/>
  <c r="LZ127" i="13"/>
  <c r="KF127" i="13"/>
  <c r="KE127" i="13"/>
  <c r="KD127" i="13"/>
  <c r="KC127" i="13"/>
  <c r="KB127" i="13"/>
  <c r="KA127" i="13"/>
  <c r="JT127" i="13"/>
  <c r="JR127" i="13"/>
  <c r="JM127" i="13"/>
  <c r="JL127" i="13"/>
  <c r="JK127" i="13"/>
  <c r="JH127" i="13"/>
  <c r="JG127" i="13"/>
  <c r="JA127" i="13"/>
  <c r="IY127" i="13"/>
  <c r="IW127" i="13"/>
  <c r="IV127" i="13"/>
  <c r="IR127" i="13"/>
  <c r="IQ127" i="13"/>
  <c r="IN127" i="13"/>
  <c r="IL127" i="13"/>
  <c r="IK127" i="13"/>
  <c r="ID127" i="13"/>
  <c r="HZ127" i="13"/>
  <c r="HY127" i="13"/>
  <c r="HX127" i="13"/>
  <c r="HL127" i="13"/>
  <c r="HJ127" i="13"/>
  <c r="HG127" i="13"/>
  <c r="HF127" i="13"/>
  <c r="HE127" i="13"/>
  <c r="HD127" i="13"/>
  <c r="HC127" i="13"/>
  <c r="GX127" i="13"/>
  <c r="GU127" i="13"/>
  <c r="GS127" i="13"/>
  <c r="GR127" i="13"/>
  <c r="GP127" i="13"/>
  <c r="GO127" i="13"/>
  <c r="GM127" i="13"/>
  <c r="GJ127" i="13"/>
  <c r="GI127" i="13"/>
  <c r="GD127" i="13"/>
  <c r="GB127" i="13"/>
  <c r="FZ127" i="13"/>
  <c r="FY127" i="13"/>
  <c r="FX127" i="13"/>
  <c r="FW127" i="13"/>
  <c r="FV127" i="13"/>
  <c r="FU127" i="13"/>
  <c r="FT127" i="13"/>
  <c r="FS127" i="13"/>
  <c r="FR127" i="13"/>
  <c r="FQ127" i="13"/>
  <c r="FP127" i="13"/>
  <c r="FN127" i="13"/>
  <c r="FL127" i="13"/>
  <c r="FK127" i="13"/>
  <c r="FJ127" i="13"/>
  <c r="FG127" i="13"/>
  <c r="FF127" i="13"/>
  <c r="FE127" i="13"/>
  <c r="FD127" i="13"/>
  <c r="FB127" i="13"/>
  <c r="EZ127" i="13"/>
  <c r="EY127" i="13"/>
  <c r="EX127" i="13"/>
  <c r="EW127" i="13"/>
  <c r="EV127" i="13"/>
  <c r="EU127" i="13"/>
  <c r="ET127" i="13"/>
  <c r="ER127" i="13"/>
  <c r="EQ127" i="13"/>
  <c r="EP127" i="13"/>
  <c r="EO127" i="13"/>
  <c r="EN127" i="13"/>
  <c r="EM127" i="13"/>
  <c r="EL127" i="13"/>
  <c r="EK127" i="13"/>
  <c r="EC127" i="13"/>
  <c r="EB127" i="13"/>
  <c r="EA127" i="13"/>
  <c r="DZ127" i="13"/>
  <c r="DY127" i="13"/>
  <c r="DX127" i="13"/>
  <c r="DV127" i="13"/>
  <c r="DT127" i="13"/>
  <c r="DS127" i="13"/>
  <c r="DR127" i="13"/>
  <c r="DQ127" i="13"/>
  <c r="DO127" i="13"/>
  <c r="DL127" i="13"/>
  <c r="DJ127" i="13"/>
  <c r="DI127" i="13"/>
  <c r="DH127" i="13"/>
  <c r="DG127" i="13"/>
  <c r="DF127" i="13"/>
  <c r="DC127" i="13"/>
  <c r="DA127" i="13"/>
  <c r="CY127" i="13"/>
  <c r="CU127" i="13"/>
  <c r="CR127" i="13"/>
  <c r="CP127" i="13"/>
  <c r="CL127" i="13"/>
  <c r="CK127" i="13"/>
  <c r="CJ127" i="13"/>
  <c r="CH127" i="13"/>
  <c r="CG127" i="13"/>
  <c r="CF127" i="13"/>
  <c r="CC127" i="13"/>
  <c r="CB127" i="13"/>
  <c r="CA127" i="13"/>
  <c r="BZ127" i="13"/>
  <c r="BW127" i="13"/>
  <c r="BV127" i="13"/>
  <c r="BT127" i="13"/>
  <c r="BS127" i="13"/>
  <c r="BQ127" i="13"/>
  <c r="BN127" i="13"/>
  <c r="BM127" i="13"/>
  <c r="BL127" i="13"/>
  <c r="BK127" i="13"/>
  <c r="BJ127" i="13"/>
  <c r="BI127" i="13"/>
  <c r="BH127" i="13"/>
  <c r="BF127" i="13"/>
  <c r="BE127" i="13"/>
  <c r="BD127" i="13"/>
  <c r="BB127" i="13"/>
  <c r="BA127" i="13"/>
  <c r="AY127" i="13"/>
  <c r="AX127" i="13"/>
  <c r="AW127" i="13"/>
  <c r="AV127" i="13"/>
  <c r="AT127" i="13"/>
  <c r="AN127" i="13"/>
  <c r="AL127" i="13"/>
  <c r="AK127" i="13"/>
  <c r="AJ127" i="13"/>
  <c r="AI127" i="13"/>
  <c r="AG127" i="13"/>
  <c r="AF127" i="13"/>
  <c r="AD127" i="13"/>
  <c r="Y127" i="13"/>
  <c r="X127" i="13"/>
  <c r="U127" i="13"/>
  <c r="T127" i="13"/>
  <c r="R127" i="13"/>
  <c r="Q127" i="13"/>
  <c r="P127" i="13"/>
  <c r="O127" i="13"/>
  <c r="N127" i="13"/>
  <c r="L127" i="13"/>
  <c r="MI99" i="13"/>
  <c r="MH99" i="13"/>
  <c r="MG99" i="13"/>
  <c r="MF99" i="13"/>
  <c r="MD99" i="13"/>
  <c r="LZ99" i="13"/>
  <c r="KF99" i="13"/>
  <c r="KE99" i="13"/>
  <c r="KD99" i="13"/>
  <c r="KC99" i="13"/>
  <c r="KB99" i="13"/>
  <c r="KA99" i="13"/>
  <c r="JT99" i="13"/>
  <c r="JR99" i="13"/>
  <c r="JM99" i="13"/>
  <c r="JL99" i="13"/>
  <c r="JK99" i="13"/>
  <c r="JH99" i="13"/>
  <c r="JG99" i="13"/>
  <c r="JA99" i="13"/>
  <c r="IY99" i="13"/>
  <c r="IW99" i="13"/>
  <c r="IV99" i="13"/>
  <c r="IR99" i="13"/>
  <c r="IQ99" i="13"/>
  <c r="IN99" i="13"/>
  <c r="IL99" i="13"/>
  <c r="IK99" i="13"/>
  <c r="ID99" i="13"/>
  <c r="HZ99" i="13"/>
  <c r="HY99" i="13"/>
  <c r="HX99" i="13"/>
  <c r="HL99" i="13"/>
  <c r="HJ99" i="13"/>
  <c r="HG99" i="13"/>
  <c r="HF99" i="13"/>
  <c r="HE99" i="13"/>
  <c r="HD99" i="13"/>
  <c r="HC99" i="13"/>
  <c r="GX99" i="13"/>
  <c r="GU99" i="13"/>
  <c r="GS99" i="13"/>
  <c r="GR99" i="13"/>
  <c r="GP99" i="13"/>
  <c r="GO99" i="13"/>
  <c r="GM99" i="13"/>
  <c r="GJ99" i="13"/>
  <c r="GI99" i="13"/>
  <c r="GD99" i="13"/>
  <c r="GB99" i="13"/>
  <c r="FZ99" i="13"/>
  <c r="FY99" i="13"/>
  <c r="FX99" i="13"/>
  <c r="FW99" i="13"/>
  <c r="FV99" i="13"/>
  <c r="FU99" i="13"/>
  <c r="FT99" i="13"/>
  <c r="FS99" i="13"/>
  <c r="FR99" i="13"/>
  <c r="FQ99" i="13"/>
  <c r="FP99" i="13"/>
  <c r="FN99" i="13"/>
  <c r="FL99" i="13"/>
  <c r="FK99" i="13"/>
  <c r="FJ99" i="13"/>
  <c r="FG99" i="13"/>
  <c r="FF99" i="13"/>
  <c r="FE99" i="13"/>
  <c r="FD99" i="13"/>
  <c r="FB99" i="13"/>
  <c r="EZ99" i="13"/>
  <c r="EY99" i="13"/>
  <c r="EX99" i="13"/>
  <c r="EW99" i="13"/>
  <c r="EV99" i="13"/>
  <c r="EU99" i="13"/>
  <c r="ET99" i="13"/>
  <c r="ER99" i="13"/>
  <c r="EQ99" i="13"/>
  <c r="EP99" i="13"/>
  <c r="EO99" i="13"/>
  <c r="EN99" i="13"/>
  <c r="EM99" i="13"/>
  <c r="EL99" i="13"/>
  <c r="EK99" i="13"/>
  <c r="EC99" i="13"/>
  <c r="EB99" i="13"/>
  <c r="EA99" i="13"/>
  <c r="DZ99" i="13"/>
  <c r="DY99" i="13"/>
  <c r="DX99" i="13"/>
  <c r="DV99" i="13"/>
  <c r="DT99" i="13"/>
  <c r="DS99" i="13"/>
  <c r="DR99" i="13"/>
  <c r="DQ99" i="13"/>
  <c r="DO99" i="13"/>
  <c r="DL99" i="13"/>
  <c r="DJ99" i="13"/>
  <c r="DI99" i="13"/>
  <c r="DH99" i="13"/>
  <c r="DG99" i="13"/>
  <c r="DF99" i="13"/>
  <c r="DC99" i="13"/>
  <c r="DA99" i="13"/>
  <c r="CY99" i="13"/>
  <c r="CU99" i="13"/>
  <c r="CR99" i="13"/>
  <c r="CP99" i="13"/>
  <c r="CL99" i="13"/>
  <c r="CK99" i="13"/>
  <c r="CJ99" i="13"/>
  <c r="CH99" i="13"/>
  <c r="CG99" i="13"/>
  <c r="CF99" i="13"/>
  <c r="CC99" i="13"/>
  <c r="CB99" i="13"/>
  <c r="CA99" i="13"/>
  <c r="BZ99" i="13"/>
  <c r="BW99" i="13"/>
  <c r="BV99" i="13"/>
  <c r="BT99" i="13"/>
  <c r="BS99" i="13"/>
  <c r="BQ99" i="13"/>
  <c r="BN99" i="13"/>
  <c r="BM99" i="13"/>
  <c r="BL99" i="13"/>
  <c r="BK99" i="13"/>
  <c r="BJ99" i="13"/>
  <c r="BI99" i="13"/>
  <c r="BH99" i="13"/>
  <c r="BF99" i="13"/>
  <c r="BE99" i="13"/>
  <c r="BD99" i="13"/>
  <c r="BB99" i="13"/>
  <c r="BA99" i="13"/>
  <c r="AY99" i="13"/>
  <c r="AX99" i="13"/>
  <c r="AW99" i="13"/>
  <c r="AV99" i="13"/>
  <c r="AT99" i="13"/>
  <c r="AN99" i="13"/>
  <c r="AL99" i="13"/>
  <c r="AK99" i="13"/>
  <c r="AJ99" i="13"/>
  <c r="AI99" i="13"/>
  <c r="AG99" i="13"/>
  <c r="AF99" i="13"/>
  <c r="AD99" i="13"/>
  <c r="Y99" i="13"/>
  <c r="X99" i="13"/>
  <c r="U99" i="13"/>
  <c r="T99" i="13"/>
  <c r="R99" i="13"/>
  <c r="Q99" i="13"/>
  <c r="P99" i="13"/>
  <c r="O99" i="13"/>
  <c r="N99" i="13"/>
  <c r="L99" i="13"/>
  <c r="MI98" i="13"/>
  <c r="MH98" i="13"/>
  <c r="MG98" i="13"/>
  <c r="MF98" i="13"/>
  <c r="MD98" i="13"/>
  <c r="LZ98" i="13"/>
  <c r="KF98" i="13"/>
  <c r="KE98" i="13"/>
  <c r="KD98" i="13"/>
  <c r="KC98" i="13"/>
  <c r="KB98" i="13"/>
  <c r="KA98" i="13"/>
  <c r="JT98" i="13"/>
  <c r="JR98" i="13"/>
  <c r="JM98" i="13"/>
  <c r="JL98" i="13"/>
  <c r="JK98" i="13"/>
  <c r="JH98" i="13"/>
  <c r="JG98" i="13"/>
  <c r="JA98" i="13"/>
  <c r="IY98" i="13"/>
  <c r="IW98" i="13"/>
  <c r="IV98" i="13"/>
  <c r="IR98" i="13"/>
  <c r="IQ98" i="13"/>
  <c r="IN98" i="13"/>
  <c r="IL98" i="13"/>
  <c r="IK98" i="13"/>
  <c r="ID98" i="13"/>
  <c r="HZ98" i="13"/>
  <c r="HY98" i="13"/>
  <c r="HX98" i="13"/>
  <c r="HL98" i="13"/>
  <c r="HJ98" i="13"/>
  <c r="HG98" i="13"/>
  <c r="HF98" i="13"/>
  <c r="HE98" i="13"/>
  <c r="HD98" i="13"/>
  <c r="HC98" i="13"/>
  <c r="GX98" i="13"/>
  <c r="GU98" i="13"/>
  <c r="GS98" i="13"/>
  <c r="GR98" i="13"/>
  <c r="GP98" i="13"/>
  <c r="GO98" i="13"/>
  <c r="GM98" i="13"/>
  <c r="GJ98" i="13"/>
  <c r="GI98" i="13"/>
  <c r="GD98" i="13"/>
  <c r="GB98" i="13"/>
  <c r="FZ98" i="13"/>
  <c r="FY98" i="13"/>
  <c r="FX98" i="13"/>
  <c r="FW98" i="13"/>
  <c r="FV98" i="13"/>
  <c r="FU98" i="13"/>
  <c r="FT98" i="13"/>
  <c r="FS98" i="13"/>
  <c r="FR98" i="13"/>
  <c r="FQ98" i="13"/>
  <c r="FP98" i="13"/>
  <c r="FN98" i="13"/>
  <c r="FL98" i="13"/>
  <c r="FK98" i="13"/>
  <c r="FJ98" i="13"/>
  <c r="FG98" i="13"/>
  <c r="FF98" i="13"/>
  <c r="FE98" i="13"/>
  <c r="FD98" i="13"/>
  <c r="FB98" i="13"/>
  <c r="EZ98" i="13"/>
  <c r="EY98" i="13"/>
  <c r="EX98" i="13"/>
  <c r="EW98" i="13"/>
  <c r="EV98" i="13"/>
  <c r="EU98" i="13"/>
  <c r="ET98" i="13"/>
  <c r="ER98" i="13"/>
  <c r="EQ98" i="13"/>
  <c r="EP98" i="13"/>
  <c r="EO98" i="13"/>
  <c r="EN98" i="13"/>
  <c r="EM98" i="13"/>
  <c r="EL98" i="13"/>
  <c r="EK98" i="13"/>
  <c r="EC98" i="13"/>
  <c r="EB98" i="13"/>
  <c r="EA98" i="13"/>
  <c r="DZ98" i="13"/>
  <c r="DY98" i="13"/>
  <c r="DX98" i="13"/>
  <c r="DV98" i="13"/>
  <c r="DT98" i="13"/>
  <c r="DS98" i="13"/>
  <c r="DR98" i="13"/>
  <c r="DQ98" i="13"/>
  <c r="DO98" i="13"/>
  <c r="DL98" i="13"/>
  <c r="DJ98" i="13"/>
  <c r="DI98" i="13"/>
  <c r="DH98" i="13"/>
  <c r="DG98" i="13"/>
  <c r="DF98" i="13"/>
  <c r="DC98" i="13"/>
  <c r="DA98" i="13"/>
  <c r="CY98" i="13"/>
  <c r="CU98" i="13"/>
  <c r="CR98" i="13"/>
  <c r="CP98" i="13"/>
  <c r="CL98" i="13"/>
  <c r="CK98" i="13"/>
  <c r="CJ98" i="13"/>
  <c r="CH98" i="13"/>
  <c r="CG98" i="13"/>
  <c r="CF98" i="13"/>
  <c r="CC98" i="13"/>
  <c r="CB98" i="13"/>
  <c r="CA98" i="13"/>
  <c r="BZ98" i="13"/>
  <c r="BW98" i="13"/>
  <c r="BV98" i="13"/>
  <c r="BT98" i="13"/>
  <c r="BS98" i="13"/>
  <c r="BQ98" i="13"/>
  <c r="BN98" i="13"/>
  <c r="BM98" i="13"/>
  <c r="BL98" i="13"/>
  <c r="BK98" i="13"/>
  <c r="BJ98" i="13"/>
  <c r="BI98" i="13"/>
  <c r="BH98" i="13"/>
  <c r="BF98" i="13"/>
  <c r="BE98" i="13"/>
  <c r="BD98" i="13"/>
  <c r="BB98" i="13"/>
  <c r="BA98" i="13"/>
  <c r="AY98" i="13"/>
  <c r="AX98" i="13"/>
  <c r="AW98" i="13"/>
  <c r="AV98" i="13"/>
  <c r="AT98" i="13"/>
  <c r="AN98" i="13"/>
  <c r="AL98" i="13"/>
  <c r="AK98" i="13"/>
  <c r="AJ98" i="13"/>
  <c r="AI98" i="13"/>
  <c r="AG98" i="13"/>
  <c r="AF98" i="13"/>
  <c r="AD98" i="13"/>
  <c r="Y98" i="13"/>
  <c r="X98" i="13"/>
  <c r="U98" i="13"/>
  <c r="T98" i="13"/>
  <c r="R98" i="13"/>
  <c r="Q98" i="13"/>
  <c r="P98" i="13"/>
  <c r="O98" i="13"/>
  <c r="N98" i="13"/>
  <c r="L98" i="13"/>
  <c r="MI94" i="13"/>
  <c r="MH94" i="13"/>
  <c r="MG94" i="13"/>
  <c r="MF94" i="13"/>
  <c r="MD94" i="13"/>
  <c r="LZ94" i="13"/>
  <c r="KF94" i="13"/>
  <c r="KE94" i="13"/>
  <c r="KD94" i="13"/>
  <c r="KC94" i="13"/>
  <c r="KB94" i="13"/>
  <c r="KA94" i="13"/>
  <c r="JT94" i="13"/>
  <c r="JR94" i="13"/>
  <c r="JM94" i="13"/>
  <c r="JL94" i="13"/>
  <c r="JK94" i="13"/>
  <c r="JH94" i="13"/>
  <c r="JG94" i="13"/>
  <c r="JA94" i="13"/>
  <c r="IY94" i="13"/>
  <c r="IW94" i="13"/>
  <c r="IV94" i="13"/>
  <c r="IR94" i="13"/>
  <c r="IQ94" i="13"/>
  <c r="IN94" i="13"/>
  <c r="IL94" i="13"/>
  <c r="IK94" i="13"/>
  <c r="ID94" i="13"/>
  <c r="HZ94" i="13"/>
  <c r="HY94" i="13"/>
  <c r="HX94" i="13"/>
  <c r="HL94" i="13"/>
  <c r="HJ94" i="13"/>
  <c r="HG94" i="13"/>
  <c r="HF94" i="13"/>
  <c r="HE94" i="13"/>
  <c r="HD94" i="13"/>
  <c r="HC94" i="13"/>
  <c r="GX94" i="13"/>
  <c r="GU94" i="13"/>
  <c r="GS94" i="13"/>
  <c r="GR94" i="13"/>
  <c r="GP94" i="13"/>
  <c r="GO94" i="13"/>
  <c r="GM94" i="13"/>
  <c r="GJ94" i="13"/>
  <c r="GI94" i="13"/>
  <c r="GD94" i="13"/>
  <c r="GB94" i="13"/>
  <c r="FZ94" i="13"/>
  <c r="FY94" i="13"/>
  <c r="FX94" i="13"/>
  <c r="FW94" i="13"/>
  <c r="FV94" i="13"/>
  <c r="FU94" i="13"/>
  <c r="FT94" i="13"/>
  <c r="FS94" i="13"/>
  <c r="FR94" i="13"/>
  <c r="FQ94" i="13"/>
  <c r="FP94" i="13"/>
  <c r="FN94" i="13"/>
  <c r="FL94" i="13"/>
  <c r="FK94" i="13"/>
  <c r="FJ94" i="13"/>
  <c r="FG94" i="13"/>
  <c r="FF94" i="13"/>
  <c r="FE94" i="13"/>
  <c r="FD94" i="13"/>
  <c r="FB94" i="13"/>
  <c r="EZ94" i="13"/>
  <c r="EY94" i="13"/>
  <c r="EX94" i="13"/>
  <c r="EW94" i="13"/>
  <c r="EV94" i="13"/>
  <c r="EU94" i="13"/>
  <c r="ET94" i="13"/>
  <c r="ER94" i="13"/>
  <c r="EQ94" i="13"/>
  <c r="EP94" i="13"/>
  <c r="EO94" i="13"/>
  <c r="EN94" i="13"/>
  <c r="EM94" i="13"/>
  <c r="EL94" i="13"/>
  <c r="EK94" i="13"/>
  <c r="EC94" i="13"/>
  <c r="EB94" i="13"/>
  <c r="EA94" i="13"/>
  <c r="DZ94" i="13"/>
  <c r="DY94" i="13"/>
  <c r="DX94" i="13"/>
  <c r="DV94" i="13"/>
  <c r="DT94" i="13"/>
  <c r="DS94" i="13"/>
  <c r="DR94" i="13"/>
  <c r="DQ94" i="13"/>
  <c r="DO94" i="13"/>
  <c r="DL94" i="13"/>
  <c r="DJ94" i="13"/>
  <c r="DI94" i="13"/>
  <c r="DH94" i="13"/>
  <c r="DG94" i="13"/>
  <c r="DF94" i="13"/>
  <c r="DC94" i="13"/>
  <c r="DA94" i="13"/>
  <c r="CY94" i="13"/>
  <c r="CU94" i="13"/>
  <c r="CR94" i="13"/>
  <c r="CP94" i="13"/>
  <c r="CL94" i="13"/>
  <c r="CK94" i="13"/>
  <c r="CJ94" i="13"/>
  <c r="CH94" i="13"/>
  <c r="CG94" i="13"/>
  <c r="CF94" i="13"/>
  <c r="CC94" i="13"/>
  <c r="CB94" i="13"/>
  <c r="CA94" i="13"/>
  <c r="BZ94" i="13"/>
  <c r="BW94" i="13"/>
  <c r="BV94" i="13"/>
  <c r="BT94" i="13"/>
  <c r="BS94" i="13"/>
  <c r="BQ94" i="13"/>
  <c r="BN94" i="13"/>
  <c r="BM94" i="13"/>
  <c r="BL94" i="13"/>
  <c r="BK94" i="13"/>
  <c r="BJ94" i="13"/>
  <c r="BI94" i="13"/>
  <c r="BH94" i="13"/>
  <c r="BF94" i="13"/>
  <c r="BE94" i="13"/>
  <c r="BD94" i="13"/>
  <c r="BB94" i="13"/>
  <c r="BA94" i="13"/>
  <c r="AY94" i="13"/>
  <c r="AX94" i="13"/>
  <c r="AW94" i="13"/>
  <c r="AV94" i="13"/>
  <c r="AT94" i="13"/>
  <c r="AN94" i="13"/>
  <c r="AL94" i="13"/>
  <c r="AK94" i="13"/>
  <c r="AJ94" i="13"/>
  <c r="AI94" i="13"/>
  <c r="AG94" i="13"/>
  <c r="AF94" i="13"/>
  <c r="AD94" i="13"/>
  <c r="Y94" i="13"/>
  <c r="X94" i="13"/>
  <c r="U94" i="13"/>
  <c r="T94" i="13"/>
  <c r="R94" i="13"/>
  <c r="Q94" i="13"/>
  <c r="P94" i="13"/>
  <c r="O94" i="13"/>
  <c r="N94" i="13"/>
  <c r="L94" i="13"/>
  <c r="MI88" i="13"/>
  <c r="MH88" i="13"/>
  <c r="MG88" i="13"/>
  <c r="MF88" i="13"/>
  <c r="MD88" i="13"/>
  <c r="LZ88" i="13"/>
  <c r="KF88" i="13"/>
  <c r="KE88" i="13"/>
  <c r="KD88" i="13"/>
  <c r="KC88" i="13"/>
  <c r="KB88" i="13"/>
  <c r="KA88" i="13"/>
  <c r="JT88" i="13"/>
  <c r="JR88" i="13"/>
  <c r="JM88" i="13"/>
  <c r="JL88" i="13"/>
  <c r="JK88" i="13"/>
  <c r="JH88" i="13"/>
  <c r="JG88" i="13"/>
  <c r="JA88" i="13"/>
  <c r="IY88" i="13"/>
  <c r="IW88" i="13"/>
  <c r="IV88" i="13"/>
  <c r="IR88" i="13"/>
  <c r="IQ88" i="13"/>
  <c r="IN88" i="13"/>
  <c r="IL88" i="13"/>
  <c r="IK88" i="13"/>
  <c r="ID88" i="13"/>
  <c r="HZ88" i="13"/>
  <c r="HY88" i="13"/>
  <c r="HX88" i="13"/>
  <c r="HL88" i="13"/>
  <c r="HJ88" i="13"/>
  <c r="HG88" i="13"/>
  <c r="HF88" i="13"/>
  <c r="HE88" i="13"/>
  <c r="HD88" i="13"/>
  <c r="HC88" i="13"/>
  <c r="GX88" i="13"/>
  <c r="GU88" i="13"/>
  <c r="GS88" i="13"/>
  <c r="GR88" i="13"/>
  <c r="GP88" i="13"/>
  <c r="GO88" i="13"/>
  <c r="GM88" i="13"/>
  <c r="GJ88" i="13"/>
  <c r="GI88" i="13"/>
  <c r="GD88" i="13"/>
  <c r="GB88" i="13"/>
  <c r="FZ88" i="13"/>
  <c r="FY88" i="13"/>
  <c r="FX88" i="13"/>
  <c r="FW88" i="13"/>
  <c r="FV88" i="13"/>
  <c r="FU88" i="13"/>
  <c r="FT88" i="13"/>
  <c r="FS88" i="13"/>
  <c r="FR88" i="13"/>
  <c r="FQ88" i="13"/>
  <c r="FP88" i="13"/>
  <c r="FN88" i="13"/>
  <c r="FL88" i="13"/>
  <c r="FK88" i="13"/>
  <c r="FJ88" i="13"/>
  <c r="FG88" i="13"/>
  <c r="FF88" i="13"/>
  <c r="FE88" i="13"/>
  <c r="FD88" i="13"/>
  <c r="FB88" i="13"/>
  <c r="EZ88" i="13"/>
  <c r="EY88" i="13"/>
  <c r="EX88" i="13"/>
  <c r="EW88" i="13"/>
  <c r="EV88" i="13"/>
  <c r="EU88" i="13"/>
  <c r="ET88" i="13"/>
  <c r="ER88" i="13"/>
  <c r="EQ88" i="13"/>
  <c r="EP88" i="13"/>
  <c r="EO88" i="13"/>
  <c r="EN88" i="13"/>
  <c r="EM88" i="13"/>
  <c r="EL88" i="13"/>
  <c r="EK88" i="13"/>
  <c r="EC88" i="13"/>
  <c r="EB88" i="13"/>
  <c r="EA88" i="13"/>
  <c r="DZ88" i="13"/>
  <c r="DY88" i="13"/>
  <c r="DX88" i="13"/>
  <c r="DV88" i="13"/>
  <c r="DT88" i="13"/>
  <c r="DS88" i="13"/>
  <c r="DR88" i="13"/>
  <c r="DQ88" i="13"/>
  <c r="DO88" i="13"/>
  <c r="DL88" i="13"/>
  <c r="DJ88" i="13"/>
  <c r="DI88" i="13"/>
  <c r="DH88" i="13"/>
  <c r="DG88" i="13"/>
  <c r="DF88" i="13"/>
  <c r="DC88" i="13"/>
  <c r="DA88" i="13"/>
  <c r="CY88" i="13"/>
  <c r="CU88" i="13"/>
  <c r="CR88" i="13"/>
  <c r="CP88" i="13"/>
  <c r="CL88" i="13"/>
  <c r="CK88" i="13"/>
  <c r="CJ88" i="13"/>
  <c r="CH88" i="13"/>
  <c r="CG88" i="13"/>
  <c r="CF88" i="13"/>
  <c r="CC88" i="13"/>
  <c r="CB88" i="13"/>
  <c r="CA88" i="13"/>
  <c r="BZ88" i="13"/>
  <c r="BW88" i="13"/>
  <c r="BV88" i="13"/>
  <c r="BT88" i="13"/>
  <c r="BS88" i="13"/>
  <c r="BQ88" i="13"/>
  <c r="BN88" i="13"/>
  <c r="BM88" i="13"/>
  <c r="BL88" i="13"/>
  <c r="BK88" i="13"/>
  <c r="BJ88" i="13"/>
  <c r="BI88" i="13"/>
  <c r="BH88" i="13"/>
  <c r="BF88" i="13"/>
  <c r="BE88" i="13"/>
  <c r="BD88" i="13"/>
  <c r="BB88" i="13"/>
  <c r="BA88" i="13"/>
  <c r="AY88" i="13"/>
  <c r="AX88" i="13"/>
  <c r="AW88" i="13"/>
  <c r="AV88" i="13"/>
  <c r="AT88" i="13"/>
  <c r="AN88" i="13"/>
  <c r="AL88" i="13"/>
  <c r="AK88" i="13"/>
  <c r="AJ88" i="13"/>
  <c r="AI88" i="13"/>
  <c r="AG88" i="13"/>
  <c r="AF88" i="13"/>
  <c r="AD88" i="13"/>
  <c r="Y88" i="13"/>
  <c r="X88" i="13"/>
  <c r="U88" i="13"/>
  <c r="T88" i="13"/>
  <c r="R88" i="13"/>
  <c r="Q88" i="13"/>
  <c r="P88" i="13"/>
  <c r="O88" i="13"/>
  <c r="N88" i="13"/>
  <c r="L88" i="13"/>
  <c r="MI66" i="13"/>
  <c r="MH66" i="13"/>
  <c r="MG66" i="13"/>
  <c r="MF66" i="13"/>
  <c r="MD66" i="13"/>
  <c r="LZ66" i="13"/>
  <c r="KF66" i="13"/>
  <c r="KE66" i="13"/>
  <c r="KD66" i="13"/>
  <c r="KC66" i="13"/>
  <c r="KB66" i="13"/>
  <c r="KA66" i="13"/>
  <c r="JT66" i="13"/>
  <c r="JR66" i="13"/>
  <c r="JM66" i="13"/>
  <c r="JL66" i="13"/>
  <c r="JK66" i="13"/>
  <c r="JH66" i="13"/>
  <c r="JG66" i="13"/>
  <c r="JA66" i="13"/>
  <c r="IY66" i="13"/>
  <c r="IW66" i="13"/>
  <c r="IV66" i="13"/>
  <c r="IR66" i="13"/>
  <c r="IQ66" i="13"/>
  <c r="IN66" i="13"/>
  <c r="IL66" i="13"/>
  <c r="IK66" i="13"/>
  <c r="ID66" i="13"/>
  <c r="HZ66" i="13"/>
  <c r="HY66" i="13"/>
  <c r="HX66" i="13"/>
  <c r="HL66" i="13"/>
  <c r="HJ66" i="13"/>
  <c r="HG66" i="13"/>
  <c r="HF66" i="13"/>
  <c r="HE66" i="13"/>
  <c r="HD66" i="13"/>
  <c r="HC66" i="13"/>
  <c r="GX66" i="13"/>
  <c r="GU66" i="13"/>
  <c r="GS66" i="13"/>
  <c r="GR66" i="13"/>
  <c r="GP66" i="13"/>
  <c r="GO66" i="13"/>
  <c r="GM66" i="13"/>
  <c r="GJ66" i="13"/>
  <c r="GI66" i="13"/>
  <c r="GD66" i="13"/>
  <c r="GB66" i="13"/>
  <c r="FZ66" i="13"/>
  <c r="FY66" i="13"/>
  <c r="FX66" i="13"/>
  <c r="FW66" i="13"/>
  <c r="FV66" i="13"/>
  <c r="FU66" i="13"/>
  <c r="FT66" i="13"/>
  <c r="FS66" i="13"/>
  <c r="FR66" i="13"/>
  <c r="FQ66" i="13"/>
  <c r="FP66" i="13"/>
  <c r="FN66" i="13"/>
  <c r="FL66" i="13"/>
  <c r="FK66" i="13"/>
  <c r="FJ66" i="13"/>
  <c r="FG66" i="13"/>
  <c r="FF66" i="13"/>
  <c r="FE66" i="13"/>
  <c r="FD66" i="13"/>
  <c r="FB66" i="13"/>
  <c r="EZ66" i="13"/>
  <c r="EY66" i="13"/>
  <c r="EX66" i="13"/>
  <c r="EW66" i="13"/>
  <c r="EV66" i="13"/>
  <c r="EU66" i="13"/>
  <c r="ET66" i="13"/>
  <c r="ER66" i="13"/>
  <c r="EQ66" i="13"/>
  <c r="EP66" i="13"/>
  <c r="EO66" i="13"/>
  <c r="EN66" i="13"/>
  <c r="EM66" i="13"/>
  <c r="EL66" i="13"/>
  <c r="EK66" i="13"/>
  <c r="EC66" i="13"/>
  <c r="EB66" i="13"/>
  <c r="EA66" i="13"/>
  <c r="DZ66" i="13"/>
  <c r="DY66" i="13"/>
  <c r="DX66" i="13"/>
  <c r="DV66" i="13"/>
  <c r="DT66" i="13"/>
  <c r="DS66" i="13"/>
  <c r="DR66" i="13"/>
  <c r="DQ66" i="13"/>
  <c r="DO66" i="13"/>
  <c r="DL66" i="13"/>
  <c r="DJ66" i="13"/>
  <c r="DI66" i="13"/>
  <c r="DH66" i="13"/>
  <c r="DG66" i="13"/>
  <c r="DF66" i="13"/>
  <c r="DC66" i="13"/>
  <c r="DA66" i="13"/>
  <c r="CY66" i="13"/>
  <c r="CU66" i="13"/>
  <c r="CR66" i="13"/>
  <c r="CP66" i="13"/>
  <c r="CL66" i="13"/>
  <c r="CK66" i="13"/>
  <c r="CJ66" i="13"/>
  <c r="CH66" i="13"/>
  <c r="CG66" i="13"/>
  <c r="CF66" i="13"/>
  <c r="CC66" i="13"/>
  <c r="CB66" i="13"/>
  <c r="CA66" i="13"/>
  <c r="BZ66" i="13"/>
  <c r="BW66" i="13"/>
  <c r="BV66" i="13"/>
  <c r="BT66" i="13"/>
  <c r="BS66" i="13"/>
  <c r="BQ66" i="13"/>
  <c r="BN66" i="13"/>
  <c r="BM66" i="13"/>
  <c r="BL66" i="13"/>
  <c r="BK66" i="13"/>
  <c r="BJ66" i="13"/>
  <c r="BI66" i="13"/>
  <c r="BH66" i="13"/>
  <c r="BF66" i="13"/>
  <c r="BE66" i="13"/>
  <c r="BD66" i="13"/>
  <c r="BB66" i="13"/>
  <c r="BA66" i="13"/>
  <c r="AY66" i="13"/>
  <c r="AX66" i="13"/>
  <c r="AW66" i="13"/>
  <c r="AV66" i="13"/>
  <c r="AT66" i="13"/>
  <c r="AN66" i="13"/>
  <c r="AL66" i="13"/>
  <c r="AK66" i="13"/>
  <c r="AJ66" i="13"/>
  <c r="AI66" i="13"/>
  <c r="AG66" i="13"/>
  <c r="AF66" i="13"/>
  <c r="AD66" i="13"/>
  <c r="Y66" i="13"/>
  <c r="X66" i="13"/>
  <c r="U66" i="13"/>
  <c r="T66" i="13"/>
  <c r="R66" i="13"/>
  <c r="Q66" i="13"/>
  <c r="P66" i="13"/>
  <c r="O66" i="13"/>
  <c r="N66" i="13"/>
  <c r="L66" i="13"/>
  <c r="MI60" i="13"/>
  <c r="MH60" i="13"/>
  <c r="MG60" i="13"/>
  <c r="MF60" i="13"/>
  <c r="MD60" i="13"/>
  <c r="LZ60" i="13"/>
  <c r="KF60" i="13"/>
  <c r="KE60" i="13"/>
  <c r="KD60" i="13"/>
  <c r="KC60" i="13"/>
  <c r="KB60" i="13"/>
  <c r="KA60" i="13"/>
  <c r="JT60" i="13"/>
  <c r="JR60" i="13"/>
  <c r="JM60" i="13"/>
  <c r="JL60" i="13"/>
  <c r="JK60" i="13"/>
  <c r="JH60" i="13"/>
  <c r="JG60" i="13"/>
  <c r="JA60" i="13"/>
  <c r="IY60" i="13"/>
  <c r="IW60" i="13"/>
  <c r="IV60" i="13"/>
  <c r="IR60" i="13"/>
  <c r="IQ60" i="13"/>
  <c r="IN60" i="13"/>
  <c r="IL60" i="13"/>
  <c r="IK60" i="13"/>
  <c r="ID60" i="13"/>
  <c r="HZ60" i="13"/>
  <c r="HY60" i="13"/>
  <c r="HX60" i="13"/>
  <c r="HL60" i="13"/>
  <c r="HJ60" i="13"/>
  <c r="HG60" i="13"/>
  <c r="HF60" i="13"/>
  <c r="HE60" i="13"/>
  <c r="HD60" i="13"/>
  <c r="HC60" i="13"/>
  <c r="GX60" i="13"/>
  <c r="GU60" i="13"/>
  <c r="GS60" i="13"/>
  <c r="GR60" i="13"/>
  <c r="GP60" i="13"/>
  <c r="GO60" i="13"/>
  <c r="GM60" i="13"/>
  <c r="GJ60" i="13"/>
  <c r="GI60" i="13"/>
  <c r="GD60" i="13"/>
  <c r="GB60" i="13"/>
  <c r="FZ60" i="13"/>
  <c r="FY60" i="13"/>
  <c r="FX60" i="13"/>
  <c r="FW60" i="13"/>
  <c r="FV60" i="13"/>
  <c r="FU60" i="13"/>
  <c r="FT60" i="13"/>
  <c r="FS60" i="13"/>
  <c r="FR60" i="13"/>
  <c r="FQ60" i="13"/>
  <c r="FP60" i="13"/>
  <c r="FN60" i="13"/>
  <c r="FL60" i="13"/>
  <c r="FK60" i="13"/>
  <c r="FJ60" i="13"/>
  <c r="FG60" i="13"/>
  <c r="FF60" i="13"/>
  <c r="FE60" i="13"/>
  <c r="FD60" i="13"/>
  <c r="FB60" i="13"/>
  <c r="EZ60" i="13"/>
  <c r="EY60" i="13"/>
  <c r="EX60" i="13"/>
  <c r="EW60" i="13"/>
  <c r="EV60" i="13"/>
  <c r="EU60" i="13"/>
  <c r="ET60" i="13"/>
  <c r="ER60" i="13"/>
  <c r="EQ60" i="13"/>
  <c r="EP60" i="13"/>
  <c r="EO60" i="13"/>
  <c r="EN60" i="13"/>
  <c r="EM60" i="13"/>
  <c r="EL60" i="13"/>
  <c r="EK60" i="13"/>
  <c r="EC60" i="13"/>
  <c r="EB60" i="13"/>
  <c r="EA60" i="13"/>
  <c r="DZ60" i="13"/>
  <c r="DY60" i="13"/>
  <c r="DX60" i="13"/>
  <c r="DV60" i="13"/>
  <c r="DT60" i="13"/>
  <c r="DS60" i="13"/>
  <c r="DR60" i="13"/>
  <c r="DQ60" i="13"/>
  <c r="DO60" i="13"/>
  <c r="DL60" i="13"/>
  <c r="DJ60" i="13"/>
  <c r="DI60" i="13"/>
  <c r="DH60" i="13"/>
  <c r="DG60" i="13"/>
  <c r="DF60" i="13"/>
  <c r="DC60" i="13"/>
  <c r="DA60" i="13"/>
  <c r="CY60" i="13"/>
  <c r="CU60" i="13"/>
  <c r="CR60" i="13"/>
  <c r="CP60" i="13"/>
  <c r="CL60" i="13"/>
  <c r="CK60" i="13"/>
  <c r="CJ60" i="13"/>
  <c r="CH60" i="13"/>
  <c r="CG60" i="13"/>
  <c r="CF60" i="13"/>
  <c r="CC60" i="13"/>
  <c r="CB60" i="13"/>
  <c r="CA60" i="13"/>
  <c r="BZ60" i="13"/>
  <c r="BW60" i="13"/>
  <c r="BV60" i="13"/>
  <c r="BT60" i="13"/>
  <c r="BS60" i="13"/>
  <c r="BQ60" i="13"/>
  <c r="BN60" i="13"/>
  <c r="BM60" i="13"/>
  <c r="BL60" i="13"/>
  <c r="BK60" i="13"/>
  <c r="BJ60" i="13"/>
  <c r="BI60" i="13"/>
  <c r="BH60" i="13"/>
  <c r="BF60" i="13"/>
  <c r="BE60" i="13"/>
  <c r="BD60" i="13"/>
  <c r="BB60" i="13"/>
  <c r="BA60" i="13"/>
  <c r="AY60" i="13"/>
  <c r="AX60" i="13"/>
  <c r="AW60" i="13"/>
  <c r="AV60" i="13"/>
  <c r="AT60" i="13"/>
  <c r="AN60" i="13"/>
  <c r="AL60" i="13"/>
  <c r="AK60" i="13"/>
  <c r="AJ60" i="13"/>
  <c r="AI60" i="13"/>
  <c r="AG60" i="13"/>
  <c r="AF60" i="13"/>
  <c r="AD60" i="13"/>
  <c r="Y60" i="13"/>
  <c r="X60" i="13"/>
  <c r="U60" i="13"/>
  <c r="T60" i="13"/>
  <c r="R60" i="13"/>
  <c r="Q60" i="13"/>
  <c r="P60" i="13"/>
  <c r="O60" i="13"/>
  <c r="N60" i="13"/>
  <c r="L60" i="13"/>
  <c r="MI55" i="13"/>
  <c r="MH55" i="13"/>
  <c r="MG55" i="13"/>
  <c r="MF55" i="13"/>
  <c r="MD55" i="13"/>
  <c r="LZ55" i="13"/>
  <c r="KF55" i="13"/>
  <c r="KE55" i="13"/>
  <c r="KD55" i="13"/>
  <c r="KC55" i="13"/>
  <c r="KB55" i="13"/>
  <c r="KA55" i="13"/>
  <c r="JT55" i="13"/>
  <c r="JR55" i="13"/>
  <c r="JM55" i="13"/>
  <c r="JL55" i="13"/>
  <c r="JK55" i="13"/>
  <c r="JH55" i="13"/>
  <c r="JG55" i="13"/>
  <c r="JA55" i="13"/>
  <c r="IY55" i="13"/>
  <c r="IW55" i="13"/>
  <c r="IV55" i="13"/>
  <c r="IR55" i="13"/>
  <c r="IQ55" i="13"/>
  <c r="IN55" i="13"/>
  <c r="IL55" i="13"/>
  <c r="IK55" i="13"/>
  <c r="ID55" i="13"/>
  <c r="HZ55" i="13"/>
  <c r="HY55" i="13"/>
  <c r="HX55" i="13"/>
  <c r="HL55" i="13"/>
  <c r="HJ55" i="13"/>
  <c r="HG55" i="13"/>
  <c r="HF55" i="13"/>
  <c r="HE55" i="13"/>
  <c r="HD55" i="13"/>
  <c r="HC55" i="13"/>
  <c r="GX55" i="13"/>
  <c r="GU55" i="13"/>
  <c r="GS55" i="13"/>
  <c r="GR55" i="13"/>
  <c r="GP55" i="13"/>
  <c r="GO55" i="13"/>
  <c r="GM55" i="13"/>
  <c r="GJ55" i="13"/>
  <c r="GI55" i="13"/>
  <c r="GD55" i="13"/>
  <c r="GB55" i="13"/>
  <c r="FZ55" i="13"/>
  <c r="FY55" i="13"/>
  <c r="FX55" i="13"/>
  <c r="FW55" i="13"/>
  <c r="FV55" i="13"/>
  <c r="FU55" i="13"/>
  <c r="FT55" i="13"/>
  <c r="FS55" i="13"/>
  <c r="FR55" i="13"/>
  <c r="FQ55" i="13"/>
  <c r="FP55" i="13"/>
  <c r="FN55" i="13"/>
  <c r="FL55" i="13"/>
  <c r="FK55" i="13"/>
  <c r="FJ55" i="13"/>
  <c r="FG55" i="13"/>
  <c r="FF55" i="13"/>
  <c r="FE55" i="13"/>
  <c r="FD55" i="13"/>
  <c r="FB55" i="13"/>
  <c r="EZ55" i="13"/>
  <c r="EY55" i="13"/>
  <c r="EX55" i="13"/>
  <c r="EW55" i="13"/>
  <c r="EV55" i="13"/>
  <c r="EU55" i="13"/>
  <c r="ET55" i="13"/>
  <c r="ER55" i="13"/>
  <c r="EQ55" i="13"/>
  <c r="EP55" i="13"/>
  <c r="EO55" i="13"/>
  <c r="EN55" i="13"/>
  <c r="EM55" i="13"/>
  <c r="EL55" i="13"/>
  <c r="EK55" i="13"/>
  <c r="EC55" i="13"/>
  <c r="EB55" i="13"/>
  <c r="EA55" i="13"/>
  <c r="DZ55" i="13"/>
  <c r="DY55" i="13"/>
  <c r="DX55" i="13"/>
  <c r="DV55" i="13"/>
  <c r="DT55" i="13"/>
  <c r="DS55" i="13"/>
  <c r="DR55" i="13"/>
  <c r="DQ55" i="13"/>
  <c r="DO55" i="13"/>
  <c r="DL55" i="13"/>
  <c r="DJ55" i="13"/>
  <c r="DI55" i="13"/>
  <c r="DH55" i="13"/>
  <c r="DG55" i="13"/>
  <c r="DF55" i="13"/>
  <c r="DC55" i="13"/>
  <c r="DA55" i="13"/>
  <c r="CY55" i="13"/>
  <c r="CU55" i="13"/>
  <c r="CR55" i="13"/>
  <c r="CP55" i="13"/>
  <c r="CL55" i="13"/>
  <c r="CK55" i="13"/>
  <c r="CJ55" i="13"/>
  <c r="CH55" i="13"/>
  <c r="CG55" i="13"/>
  <c r="CF55" i="13"/>
  <c r="CC55" i="13"/>
  <c r="CB55" i="13"/>
  <c r="CA55" i="13"/>
  <c r="BZ55" i="13"/>
  <c r="BW55" i="13"/>
  <c r="BV55" i="13"/>
  <c r="BT55" i="13"/>
  <c r="BS55" i="13"/>
  <c r="BQ55" i="13"/>
  <c r="BN55" i="13"/>
  <c r="BM55" i="13"/>
  <c r="BL55" i="13"/>
  <c r="BK55" i="13"/>
  <c r="BJ55" i="13"/>
  <c r="BI55" i="13"/>
  <c r="BH55" i="13"/>
  <c r="BF55" i="13"/>
  <c r="BE55" i="13"/>
  <c r="BD55" i="13"/>
  <c r="BB55" i="13"/>
  <c r="BA55" i="13"/>
  <c r="AY55" i="13"/>
  <c r="AX55" i="13"/>
  <c r="AW55" i="13"/>
  <c r="AV55" i="13"/>
  <c r="AT55" i="13"/>
  <c r="AN55" i="13"/>
  <c r="AL55" i="13"/>
  <c r="AK55" i="13"/>
  <c r="AJ55" i="13"/>
  <c r="AI55" i="13"/>
  <c r="AG55" i="13"/>
  <c r="AF55" i="13"/>
  <c r="AD55" i="13"/>
  <c r="Y55" i="13"/>
  <c r="X55" i="13"/>
  <c r="U55" i="13"/>
  <c r="T55" i="13"/>
  <c r="R55" i="13"/>
  <c r="Q55" i="13"/>
  <c r="P55" i="13"/>
  <c r="O55" i="13"/>
  <c r="N55" i="13"/>
  <c r="L55" i="13"/>
  <c r="MI33" i="13"/>
  <c r="MH33" i="13"/>
  <c r="MG33" i="13"/>
  <c r="MF33" i="13"/>
  <c r="MD33" i="13"/>
  <c r="LZ33" i="13"/>
  <c r="KF33" i="13"/>
  <c r="KE33" i="13"/>
  <c r="KD33" i="13"/>
  <c r="KC33" i="13"/>
  <c r="KB33" i="13"/>
  <c r="KA33" i="13"/>
  <c r="JT33" i="13"/>
  <c r="JR33" i="13"/>
  <c r="JM33" i="13"/>
  <c r="JL33" i="13"/>
  <c r="JK33" i="13"/>
  <c r="JH33" i="13"/>
  <c r="JG33" i="13"/>
  <c r="JA33" i="13"/>
  <c r="IY33" i="13"/>
  <c r="IW33" i="13"/>
  <c r="IV33" i="13"/>
  <c r="IR33" i="13"/>
  <c r="IQ33" i="13"/>
  <c r="IN33" i="13"/>
  <c r="IL33" i="13"/>
  <c r="IK33" i="13"/>
  <c r="ID33" i="13"/>
  <c r="HZ33" i="13"/>
  <c r="HY33" i="13"/>
  <c r="HX33" i="13"/>
  <c r="HL33" i="13"/>
  <c r="HJ33" i="13"/>
  <c r="HG33" i="13"/>
  <c r="HF33" i="13"/>
  <c r="HE33" i="13"/>
  <c r="HD33" i="13"/>
  <c r="HC33" i="13"/>
  <c r="GX33" i="13"/>
  <c r="GU33" i="13"/>
  <c r="GS33" i="13"/>
  <c r="GR33" i="13"/>
  <c r="GP33" i="13"/>
  <c r="GO33" i="13"/>
  <c r="GM33" i="13"/>
  <c r="GJ33" i="13"/>
  <c r="GI33" i="13"/>
  <c r="GD33" i="13"/>
  <c r="GB33" i="13"/>
  <c r="FZ33" i="13"/>
  <c r="FY33" i="13"/>
  <c r="FX33" i="13"/>
  <c r="FW33" i="13"/>
  <c r="FV33" i="13"/>
  <c r="FU33" i="13"/>
  <c r="FT33" i="13"/>
  <c r="FS33" i="13"/>
  <c r="FR33" i="13"/>
  <c r="FQ33" i="13"/>
  <c r="FP33" i="13"/>
  <c r="FN33" i="13"/>
  <c r="FL33" i="13"/>
  <c r="FK33" i="13"/>
  <c r="FJ33" i="13"/>
  <c r="FG33" i="13"/>
  <c r="FF33" i="13"/>
  <c r="FE33" i="13"/>
  <c r="FD33" i="13"/>
  <c r="FB33" i="13"/>
  <c r="EZ33" i="13"/>
  <c r="EY33" i="13"/>
  <c r="EX33" i="13"/>
  <c r="EW33" i="13"/>
  <c r="EV33" i="13"/>
  <c r="EU33" i="13"/>
  <c r="ET33" i="13"/>
  <c r="ER33" i="13"/>
  <c r="EQ33" i="13"/>
  <c r="EP33" i="13"/>
  <c r="EO33" i="13"/>
  <c r="EN33" i="13"/>
  <c r="EM33" i="13"/>
  <c r="EL33" i="13"/>
  <c r="EK33" i="13"/>
  <c r="EC33" i="13"/>
  <c r="EB33" i="13"/>
  <c r="EA33" i="13"/>
  <c r="DZ33" i="13"/>
  <c r="DY33" i="13"/>
  <c r="DX33" i="13"/>
  <c r="DV33" i="13"/>
  <c r="DT33" i="13"/>
  <c r="DS33" i="13"/>
  <c r="DR33" i="13"/>
  <c r="DQ33" i="13"/>
  <c r="DO33" i="13"/>
  <c r="DL33" i="13"/>
  <c r="DJ33" i="13"/>
  <c r="DI33" i="13"/>
  <c r="DH33" i="13"/>
  <c r="DG33" i="13"/>
  <c r="DF33" i="13"/>
  <c r="DC33" i="13"/>
  <c r="DA33" i="13"/>
  <c r="CY33" i="13"/>
  <c r="CU33" i="13"/>
  <c r="CR33" i="13"/>
  <c r="CP33" i="13"/>
  <c r="CL33" i="13"/>
  <c r="CK33" i="13"/>
  <c r="CJ33" i="13"/>
  <c r="CH33" i="13"/>
  <c r="CG33" i="13"/>
  <c r="CF33" i="13"/>
  <c r="CC33" i="13"/>
  <c r="CB33" i="13"/>
  <c r="CA33" i="13"/>
  <c r="BZ33" i="13"/>
  <c r="BW33" i="13"/>
  <c r="BV33" i="13"/>
  <c r="BT33" i="13"/>
  <c r="BS33" i="13"/>
  <c r="BQ33" i="13"/>
  <c r="BN33" i="13"/>
  <c r="BM33" i="13"/>
  <c r="BL33" i="13"/>
  <c r="BK33" i="13"/>
  <c r="BJ33" i="13"/>
  <c r="BI33" i="13"/>
  <c r="BH33" i="13"/>
  <c r="BF33" i="13"/>
  <c r="BE33" i="13"/>
  <c r="BD33" i="13"/>
  <c r="BB33" i="13"/>
  <c r="BA33" i="13"/>
  <c r="AY33" i="13"/>
  <c r="AX33" i="13"/>
  <c r="AW33" i="13"/>
  <c r="AV33" i="13"/>
  <c r="AT33" i="13"/>
  <c r="AN33" i="13"/>
  <c r="AL33" i="13"/>
  <c r="AK33" i="13"/>
  <c r="AJ33" i="13"/>
  <c r="AI33" i="13"/>
  <c r="AG33" i="13"/>
  <c r="AF33" i="13"/>
  <c r="AD33" i="13"/>
  <c r="Y33" i="13"/>
  <c r="X33" i="13"/>
  <c r="U33" i="13"/>
  <c r="T33" i="13"/>
  <c r="R33" i="13"/>
  <c r="Q33" i="13"/>
  <c r="P33" i="13"/>
  <c r="O33" i="13"/>
  <c r="N33" i="13"/>
  <c r="L33" i="13"/>
  <c r="MI23" i="13"/>
  <c r="MH23" i="13"/>
  <c r="MG23" i="13"/>
  <c r="MF23" i="13"/>
  <c r="MD23" i="13"/>
  <c r="LZ23" i="13"/>
  <c r="KF23" i="13"/>
  <c r="KE23" i="13"/>
  <c r="KD23" i="13"/>
  <c r="KC23" i="13"/>
  <c r="KB23" i="13"/>
  <c r="KA23" i="13"/>
  <c r="JT23" i="13"/>
  <c r="JR23" i="13"/>
  <c r="JM23" i="13"/>
  <c r="JL23" i="13"/>
  <c r="JK23" i="13"/>
  <c r="JH23" i="13"/>
  <c r="JG23" i="13"/>
  <c r="JA23" i="13"/>
  <c r="IY23" i="13"/>
  <c r="IW23" i="13"/>
  <c r="IV23" i="13"/>
  <c r="IR23" i="13"/>
  <c r="IQ23" i="13"/>
  <c r="IN23" i="13"/>
  <c r="IL23" i="13"/>
  <c r="IK23" i="13"/>
  <c r="ID23" i="13"/>
  <c r="HZ23" i="13"/>
  <c r="HY23" i="13"/>
  <c r="HX23" i="13"/>
  <c r="HL23" i="13"/>
  <c r="HJ23" i="13"/>
  <c r="HG23" i="13"/>
  <c r="HF23" i="13"/>
  <c r="HE23" i="13"/>
  <c r="HD23" i="13"/>
  <c r="HC23" i="13"/>
  <c r="GX23" i="13"/>
  <c r="GU23" i="13"/>
  <c r="GS23" i="13"/>
  <c r="GR23" i="13"/>
  <c r="GP23" i="13"/>
  <c r="GO23" i="13"/>
  <c r="GM23" i="13"/>
  <c r="GJ23" i="13"/>
  <c r="GI23" i="13"/>
  <c r="GD23" i="13"/>
  <c r="GB23" i="13"/>
  <c r="FZ23" i="13"/>
  <c r="FY23" i="13"/>
  <c r="FX23" i="13"/>
  <c r="FW23" i="13"/>
  <c r="FV23" i="13"/>
  <c r="FU23" i="13"/>
  <c r="FT23" i="13"/>
  <c r="FS23" i="13"/>
  <c r="FR23" i="13"/>
  <c r="FQ23" i="13"/>
  <c r="FP23" i="13"/>
  <c r="FN23" i="13"/>
  <c r="FL23" i="13"/>
  <c r="FK23" i="13"/>
  <c r="FJ23" i="13"/>
  <c r="FG23" i="13"/>
  <c r="FF23" i="13"/>
  <c r="FE23" i="13"/>
  <c r="FD23" i="13"/>
  <c r="FB23" i="13"/>
  <c r="EZ23" i="13"/>
  <c r="EY23" i="13"/>
  <c r="EX23" i="13"/>
  <c r="EW23" i="13"/>
  <c r="EV23" i="13"/>
  <c r="EU23" i="13"/>
  <c r="ET23" i="13"/>
  <c r="ER23" i="13"/>
  <c r="EQ23" i="13"/>
  <c r="EP23" i="13"/>
  <c r="EO23" i="13"/>
  <c r="EN23" i="13"/>
  <c r="EM23" i="13"/>
  <c r="EL23" i="13"/>
  <c r="EK23" i="13"/>
  <c r="EC23" i="13"/>
  <c r="EB23" i="13"/>
  <c r="EA23" i="13"/>
  <c r="DZ23" i="13"/>
  <c r="DY23" i="13"/>
  <c r="DX23" i="13"/>
  <c r="DV23" i="13"/>
  <c r="DT23" i="13"/>
  <c r="DS23" i="13"/>
  <c r="DR23" i="13"/>
  <c r="DQ23" i="13"/>
  <c r="DO23" i="13"/>
  <c r="DL23" i="13"/>
  <c r="DJ23" i="13"/>
  <c r="DI23" i="13"/>
  <c r="DH23" i="13"/>
  <c r="DG23" i="13"/>
  <c r="DF23" i="13"/>
  <c r="DC23" i="13"/>
  <c r="DA23" i="13"/>
  <c r="CY23" i="13"/>
  <c r="CU23" i="13"/>
  <c r="CR23" i="13"/>
  <c r="CP23" i="13"/>
  <c r="CL23" i="13"/>
  <c r="CK23" i="13"/>
  <c r="CJ23" i="13"/>
  <c r="CH23" i="13"/>
  <c r="CG23" i="13"/>
  <c r="CF23" i="13"/>
  <c r="CC23" i="13"/>
  <c r="CB23" i="13"/>
  <c r="CA23" i="13"/>
  <c r="BZ23" i="13"/>
  <c r="BW23" i="13"/>
  <c r="BV23" i="13"/>
  <c r="BT23" i="13"/>
  <c r="BS23" i="13"/>
  <c r="BQ23" i="13"/>
  <c r="BN23" i="13"/>
  <c r="BM23" i="13"/>
  <c r="BL23" i="13"/>
  <c r="BK23" i="13"/>
  <c r="BJ23" i="13"/>
  <c r="BI23" i="13"/>
  <c r="BH23" i="13"/>
  <c r="BF23" i="13"/>
  <c r="BE23" i="13"/>
  <c r="BD23" i="13"/>
  <c r="BB23" i="13"/>
  <c r="BA23" i="13"/>
  <c r="AY23" i="13"/>
  <c r="AX23" i="13"/>
  <c r="AW23" i="13"/>
  <c r="AV23" i="13"/>
  <c r="AT23" i="13"/>
  <c r="AN23" i="13"/>
  <c r="AL23" i="13"/>
  <c r="AK23" i="13"/>
  <c r="AJ23" i="13"/>
  <c r="AI23" i="13"/>
  <c r="AG23" i="13"/>
  <c r="AF23" i="13"/>
  <c r="AD23" i="13"/>
  <c r="Y23" i="13"/>
  <c r="X23" i="13"/>
  <c r="U23" i="13"/>
  <c r="T23" i="13"/>
  <c r="R23" i="13"/>
  <c r="Q23" i="13"/>
  <c r="P23" i="13"/>
  <c r="O23" i="13"/>
  <c r="N23" i="13"/>
  <c r="L23" i="13"/>
  <c r="MI17" i="13"/>
  <c r="MH17" i="13"/>
  <c r="MG17" i="13"/>
  <c r="MF17" i="13"/>
  <c r="MD17" i="13"/>
  <c r="LZ17" i="13"/>
  <c r="KF17" i="13"/>
  <c r="KE17" i="13"/>
  <c r="KD17" i="13"/>
  <c r="KC17" i="13"/>
  <c r="KB17" i="13"/>
  <c r="KA17" i="13"/>
  <c r="JT17" i="13"/>
  <c r="JR17" i="13"/>
  <c r="JM17" i="13"/>
  <c r="JL17" i="13"/>
  <c r="JK17" i="13"/>
  <c r="JH17" i="13"/>
  <c r="JG17" i="13"/>
  <c r="JA17" i="13"/>
  <c r="IY17" i="13"/>
  <c r="IW17" i="13"/>
  <c r="IV17" i="13"/>
  <c r="IR17" i="13"/>
  <c r="IQ17" i="13"/>
  <c r="IN17" i="13"/>
  <c r="IL17" i="13"/>
  <c r="IK17" i="13"/>
  <c r="ID17" i="13"/>
  <c r="HZ17" i="13"/>
  <c r="HY17" i="13"/>
  <c r="HX17" i="13"/>
  <c r="HL17" i="13"/>
  <c r="HJ17" i="13"/>
  <c r="HG17" i="13"/>
  <c r="HF17" i="13"/>
  <c r="HE17" i="13"/>
  <c r="HD17" i="13"/>
  <c r="HC17" i="13"/>
  <c r="GX17" i="13"/>
  <c r="GU17" i="13"/>
  <c r="GS17" i="13"/>
  <c r="GR17" i="13"/>
  <c r="GP17" i="13"/>
  <c r="GO17" i="13"/>
  <c r="GM17" i="13"/>
  <c r="GJ17" i="13"/>
  <c r="GI17" i="13"/>
  <c r="GD17" i="13"/>
  <c r="GB17" i="13"/>
  <c r="FZ17" i="13"/>
  <c r="FY17" i="13"/>
  <c r="FX17" i="13"/>
  <c r="FW17" i="13"/>
  <c r="FV17" i="13"/>
  <c r="FU17" i="13"/>
  <c r="FT17" i="13"/>
  <c r="FS17" i="13"/>
  <c r="FR17" i="13"/>
  <c r="FQ17" i="13"/>
  <c r="FP17" i="13"/>
  <c r="FN17" i="13"/>
  <c r="FL17" i="13"/>
  <c r="FK17" i="13"/>
  <c r="FJ17" i="13"/>
  <c r="FG17" i="13"/>
  <c r="FF17" i="13"/>
  <c r="FE17" i="13"/>
  <c r="FD17" i="13"/>
  <c r="FB17" i="13"/>
  <c r="EZ17" i="13"/>
  <c r="EY17" i="13"/>
  <c r="EX17" i="13"/>
  <c r="EW17" i="13"/>
  <c r="EV17" i="13"/>
  <c r="EU17" i="13"/>
  <c r="ET17" i="13"/>
  <c r="ER17" i="13"/>
  <c r="EQ17" i="13"/>
  <c r="EP17" i="13"/>
  <c r="EO17" i="13"/>
  <c r="EN17" i="13"/>
  <c r="EM17" i="13"/>
  <c r="EL17" i="13"/>
  <c r="EK17" i="13"/>
  <c r="EC17" i="13"/>
  <c r="EB17" i="13"/>
  <c r="EA17" i="13"/>
  <c r="DZ17" i="13"/>
  <c r="DY17" i="13"/>
  <c r="DX17" i="13"/>
  <c r="DV17" i="13"/>
  <c r="DT17" i="13"/>
  <c r="DS17" i="13"/>
  <c r="DR17" i="13"/>
  <c r="DQ17" i="13"/>
  <c r="DO17" i="13"/>
  <c r="DL17" i="13"/>
  <c r="DJ17" i="13"/>
  <c r="DI17" i="13"/>
  <c r="DH17" i="13"/>
  <c r="DG17" i="13"/>
  <c r="DF17" i="13"/>
  <c r="DC17" i="13"/>
  <c r="DA17" i="13"/>
  <c r="CY17" i="13"/>
  <c r="CU17" i="13"/>
  <c r="CR17" i="13"/>
  <c r="CP17" i="13"/>
  <c r="CL17" i="13"/>
  <c r="CK17" i="13"/>
  <c r="CJ17" i="13"/>
  <c r="CH17" i="13"/>
  <c r="CG17" i="13"/>
  <c r="CF17" i="13"/>
  <c r="CC17" i="13"/>
  <c r="CB17" i="13"/>
  <c r="CA17" i="13"/>
  <c r="BZ17" i="13"/>
  <c r="BW17" i="13"/>
  <c r="BV17" i="13"/>
  <c r="BT17" i="13"/>
  <c r="BS17" i="13"/>
  <c r="BQ17" i="13"/>
  <c r="BN17" i="13"/>
  <c r="BM17" i="13"/>
  <c r="BL17" i="13"/>
  <c r="BK17" i="13"/>
  <c r="BJ17" i="13"/>
  <c r="BI17" i="13"/>
  <c r="BH17" i="13"/>
  <c r="BF17" i="13"/>
  <c r="BE17" i="13"/>
  <c r="BD17" i="13"/>
  <c r="BB17" i="13"/>
  <c r="BA17" i="13"/>
  <c r="AY17" i="13"/>
  <c r="AX17" i="13"/>
  <c r="AW17" i="13"/>
  <c r="AV17" i="13"/>
  <c r="AT17" i="13"/>
  <c r="AN17" i="13"/>
  <c r="AL17" i="13"/>
  <c r="AK17" i="13"/>
  <c r="AJ17" i="13"/>
  <c r="AI17" i="13"/>
  <c r="AG17" i="13"/>
  <c r="AF17" i="13"/>
  <c r="AD17" i="13"/>
  <c r="Y17" i="13"/>
  <c r="X17" i="13"/>
  <c r="U17" i="13"/>
  <c r="T17" i="13"/>
  <c r="R17" i="13"/>
  <c r="Q17" i="13"/>
  <c r="P17" i="13"/>
  <c r="O17" i="13"/>
  <c r="N17" i="13"/>
  <c r="L17" i="13"/>
  <c r="IY106" i="13"/>
  <c r="IV106" i="13"/>
  <c r="IL106" i="13"/>
  <c r="HZ106" i="13"/>
  <c r="HY106" i="13"/>
  <c r="HC106" i="13"/>
  <c r="FD106" i="13"/>
  <c r="EW106" i="13"/>
  <c r="EQ106" i="13"/>
  <c r="EP106" i="13"/>
  <c r="DI106" i="13"/>
  <c r="DH106" i="13"/>
  <c r="DG106" i="13"/>
  <c r="DF106" i="13"/>
  <c r="DA106" i="13"/>
  <c r="CK106" i="13"/>
  <c r="CC106" i="13"/>
  <c r="CB106" i="13"/>
  <c r="CA106" i="13"/>
  <c r="BV106" i="13"/>
  <c r="BS106" i="13"/>
  <c r="BB106" i="13"/>
  <c r="BA106" i="13"/>
  <c r="AX106" i="13"/>
  <c r="AW106" i="13"/>
  <c r="IY59" i="13"/>
  <c r="IV59" i="13"/>
  <c r="IL59" i="13"/>
  <c r="HZ59" i="13"/>
  <c r="HY59" i="13"/>
  <c r="HC59" i="13"/>
  <c r="FD59" i="13"/>
  <c r="EW59" i="13"/>
  <c r="EQ59" i="13"/>
  <c r="EP59" i="13"/>
  <c r="DI59" i="13"/>
  <c r="DH59" i="13"/>
  <c r="DG59" i="13"/>
  <c r="DF59" i="13"/>
  <c r="DA59" i="13"/>
  <c r="CK59" i="13"/>
  <c r="CC59" i="13"/>
  <c r="CB59" i="13"/>
  <c r="CA59" i="13"/>
  <c r="BV59" i="13"/>
  <c r="BS59" i="13"/>
  <c r="BB59" i="13"/>
  <c r="BA59" i="13"/>
  <c r="AX59" i="13"/>
  <c r="AW59" i="13"/>
  <c r="IY54" i="13"/>
  <c r="IV54" i="13"/>
  <c r="IL54" i="13"/>
  <c r="HZ54" i="13"/>
  <c r="HY54" i="13"/>
  <c r="HC54" i="13"/>
  <c r="FD54" i="13"/>
  <c r="EW54" i="13"/>
  <c r="EQ54" i="13"/>
  <c r="EP54" i="13"/>
  <c r="DI54" i="13"/>
  <c r="DH54" i="13"/>
  <c r="DG54" i="13"/>
  <c r="DF54" i="13"/>
  <c r="DA54" i="13"/>
  <c r="CK54" i="13"/>
  <c r="CC54" i="13"/>
  <c r="CB54" i="13"/>
  <c r="CA54" i="13"/>
  <c r="BV54" i="13"/>
  <c r="BS54" i="13"/>
  <c r="BB54" i="13"/>
  <c r="BA54" i="13"/>
  <c r="AX54" i="13"/>
  <c r="AW54" i="13"/>
  <c r="IY29" i="13"/>
  <c r="IV29" i="13"/>
  <c r="IL29" i="13"/>
  <c r="HZ29" i="13"/>
  <c r="HY29" i="13"/>
  <c r="HC29" i="13"/>
  <c r="FD29" i="13"/>
  <c r="EW29" i="13"/>
  <c r="EQ29" i="13"/>
  <c r="EP29" i="13"/>
  <c r="DI29" i="13"/>
  <c r="DH29" i="13"/>
  <c r="DG29" i="13"/>
  <c r="DF29" i="13"/>
  <c r="DA29" i="13"/>
  <c r="CK29" i="13"/>
  <c r="CC29" i="13"/>
  <c r="CB29" i="13"/>
  <c r="CA29" i="13"/>
  <c r="BV29" i="13"/>
  <c r="BS29" i="13"/>
  <c r="BB29" i="13"/>
  <c r="BA29" i="13"/>
  <c r="AX29" i="13"/>
  <c r="AW29" i="13"/>
  <c r="KE180" i="13"/>
  <c r="KB180" i="13"/>
  <c r="JR180" i="13"/>
  <c r="JC180" i="13"/>
  <c r="IY180" i="13"/>
  <c r="IV180" i="13"/>
  <c r="HZ180" i="13"/>
  <c r="HY180" i="13"/>
  <c r="HG180" i="13"/>
  <c r="HF180" i="13"/>
  <c r="HE180" i="13"/>
  <c r="HD180" i="13"/>
  <c r="HC180" i="13"/>
  <c r="GS180" i="13"/>
  <c r="GR180" i="13"/>
  <c r="GP180" i="13"/>
  <c r="GM180" i="13"/>
  <c r="FW180" i="13"/>
  <c r="FV180" i="13"/>
  <c r="FU180" i="13"/>
  <c r="FT180" i="13"/>
  <c r="FS180" i="13"/>
  <c r="FR180" i="13"/>
  <c r="FP180" i="13"/>
  <c r="FN180" i="13"/>
  <c r="FL180" i="13"/>
  <c r="FK180" i="13"/>
  <c r="FG180" i="13"/>
  <c r="FF180" i="13"/>
  <c r="FE180" i="13"/>
  <c r="FD180" i="13"/>
  <c r="EW180" i="13"/>
  <c r="EV180" i="13"/>
  <c r="ER180" i="13"/>
  <c r="EP180" i="13"/>
  <c r="EM180" i="13"/>
  <c r="DT180" i="13"/>
  <c r="DS180" i="13"/>
  <c r="DJ180" i="13"/>
  <c r="DI180" i="13"/>
  <c r="DH180" i="13"/>
  <c r="DG180" i="13"/>
  <c r="DF180" i="13"/>
  <c r="DA180" i="13"/>
  <c r="CK180" i="13"/>
  <c r="CC180" i="13"/>
  <c r="CB180" i="13"/>
  <c r="CA180" i="13"/>
  <c r="BZ180" i="13"/>
  <c r="BW180" i="13"/>
  <c r="BV180" i="13"/>
  <c r="BS180" i="13"/>
  <c r="BM180" i="13"/>
  <c r="BL180" i="13"/>
  <c r="BI180" i="13"/>
  <c r="BB180" i="13"/>
  <c r="BA180" i="13"/>
  <c r="AX180" i="13"/>
  <c r="AW180" i="13"/>
  <c r="AG180" i="13"/>
  <c r="P180" i="13"/>
  <c r="KE169" i="13"/>
  <c r="KB169" i="13"/>
  <c r="JR169" i="13"/>
  <c r="JC169" i="13"/>
  <c r="IY169" i="13"/>
  <c r="IV169" i="13"/>
  <c r="HZ169" i="13"/>
  <c r="HY169" i="13"/>
  <c r="HG169" i="13"/>
  <c r="HF169" i="13"/>
  <c r="HE169" i="13"/>
  <c r="HD169" i="13"/>
  <c r="HC169" i="13"/>
  <c r="GS169" i="13"/>
  <c r="GR169" i="13"/>
  <c r="GP169" i="13"/>
  <c r="GM169" i="13"/>
  <c r="FW169" i="13"/>
  <c r="FV169" i="13"/>
  <c r="FU169" i="13"/>
  <c r="FT169" i="13"/>
  <c r="FS169" i="13"/>
  <c r="FR169" i="13"/>
  <c r="FP169" i="13"/>
  <c r="FN169" i="13"/>
  <c r="FL169" i="13"/>
  <c r="FK169" i="13"/>
  <c r="FG169" i="13"/>
  <c r="FF169" i="13"/>
  <c r="FE169" i="13"/>
  <c r="FD169" i="13"/>
  <c r="EW169" i="13"/>
  <c r="EV169" i="13"/>
  <c r="ER169" i="13"/>
  <c r="EP169" i="13"/>
  <c r="EM169" i="13"/>
  <c r="DT169" i="13"/>
  <c r="DS169" i="13"/>
  <c r="DJ169" i="13"/>
  <c r="DI169" i="13"/>
  <c r="DH169" i="13"/>
  <c r="DG169" i="13"/>
  <c r="DF169" i="13"/>
  <c r="DA169" i="13"/>
  <c r="CK169" i="13"/>
  <c r="CC169" i="13"/>
  <c r="CB169" i="13"/>
  <c r="CA169" i="13"/>
  <c r="BZ169" i="13"/>
  <c r="BW169" i="13"/>
  <c r="BV169" i="13"/>
  <c r="BS169" i="13"/>
  <c r="BM169" i="13"/>
  <c r="BL169" i="13"/>
  <c r="BI169" i="13"/>
  <c r="BB169" i="13"/>
  <c r="BA169" i="13"/>
  <c r="AX169" i="13"/>
  <c r="AW169" i="13"/>
  <c r="AG169" i="13"/>
  <c r="P169" i="13"/>
  <c r="KE149" i="13"/>
  <c r="KB149" i="13"/>
  <c r="JR149" i="13"/>
  <c r="JC149" i="13"/>
  <c r="IY149" i="13"/>
  <c r="IV149" i="13"/>
  <c r="HZ149" i="13"/>
  <c r="HY149" i="13"/>
  <c r="HG149" i="13"/>
  <c r="HF149" i="13"/>
  <c r="HE149" i="13"/>
  <c r="HD149" i="13"/>
  <c r="HC149" i="13"/>
  <c r="GS149" i="13"/>
  <c r="GR149" i="13"/>
  <c r="GP149" i="13"/>
  <c r="GM149" i="13"/>
  <c r="FW149" i="13"/>
  <c r="FV149" i="13"/>
  <c r="FU149" i="13"/>
  <c r="FT149" i="13"/>
  <c r="FS149" i="13"/>
  <c r="FR149" i="13"/>
  <c r="FP149" i="13"/>
  <c r="FN149" i="13"/>
  <c r="FL149" i="13"/>
  <c r="FK149" i="13"/>
  <c r="FG149" i="13"/>
  <c r="FF149" i="13"/>
  <c r="FE149" i="13"/>
  <c r="FD149" i="13"/>
  <c r="EW149" i="13"/>
  <c r="EV149" i="13"/>
  <c r="ER149" i="13"/>
  <c r="EP149" i="13"/>
  <c r="EM149" i="13"/>
  <c r="DT149" i="13"/>
  <c r="DS149" i="13"/>
  <c r="DJ149" i="13"/>
  <c r="DI149" i="13"/>
  <c r="DH149" i="13"/>
  <c r="DG149" i="13"/>
  <c r="DF149" i="13"/>
  <c r="DA149" i="13"/>
  <c r="CK149" i="13"/>
  <c r="CC149" i="13"/>
  <c r="CB149" i="13"/>
  <c r="CA149" i="13"/>
  <c r="BZ149" i="13"/>
  <c r="BW149" i="13"/>
  <c r="BV149" i="13"/>
  <c r="BS149" i="13"/>
  <c r="BM149" i="13"/>
  <c r="BL149" i="13"/>
  <c r="BI149" i="13"/>
  <c r="BB149" i="13"/>
  <c r="BA149" i="13"/>
  <c r="AX149" i="13"/>
  <c r="AW149" i="13"/>
  <c r="AG149" i="13"/>
  <c r="P149" i="13"/>
  <c r="KE140" i="13"/>
  <c r="KB140" i="13"/>
  <c r="JR140" i="13"/>
  <c r="JC140" i="13"/>
  <c r="IY140" i="13"/>
  <c r="IV140" i="13"/>
  <c r="HZ140" i="13"/>
  <c r="HY140" i="13"/>
  <c r="HG140" i="13"/>
  <c r="HF140" i="13"/>
  <c r="HE140" i="13"/>
  <c r="HD140" i="13"/>
  <c r="HC140" i="13"/>
  <c r="GS140" i="13"/>
  <c r="GR140" i="13"/>
  <c r="GP140" i="13"/>
  <c r="GM140" i="13"/>
  <c r="FW140" i="13"/>
  <c r="FV140" i="13"/>
  <c r="FU140" i="13"/>
  <c r="FT140" i="13"/>
  <c r="FS140" i="13"/>
  <c r="FR140" i="13"/>
  <c r="FP140" i="13"/>
  <c r="FN140" i="13"/>
  <c r="FL140" i="13"/>
  <c r="FK140" i="13"/>
  <c r="FG140" i="13"/>
  <c r="FF140" i="13"/>
  <c r="FE140" i="13"/>
  <c r="FD140" i="13"/>
  <c r="EW140" i="13"/>
  <c r="EV140" i="13"/>
  <c r="ER140" i="13"/>
  <c r="EP140" i="13"/>
  <c r="EM140" i="13"/>
  <c r="DT140" i="13"/>
  <c r="DS140" i="13"/>
  <c r="DJ140" i="13"/>
  <c r="DI140" i="13"/>
  <c r="DH140" i="13"/>
  <c r="DG140" i="13"/>
  <c r="DF140" i="13"/>
  <c r="DA140" i="13"/>
  <c r="CK140" i="13"/>
  <c r="CC140" i="13"/>
  <c r="CB140" i="13"/>
  <c r="CA140" i="13"/>
  <c r="BZ140" i="13"/>
  <c r="BW140" i="13"/>
  <c r="BV140" i="13"/>
  <c r="BS140" i="13"/>
  <c r="BM140" i="13"/>
  <c r="BL140" i="13"/>
  <c r="BI140" i="13"/>
  <c r="BB140" i="13"/>
  <c r="BA140" i="13"/>
  <c r="AX140" i="13"/>
  <c r="AW140" i="13"/>
  <c r="AG140" i="13"/>
  <c r="P140" i="13"/>
  <c r="KE121" i="13"/>
  <c r="KB121" i="13"/>
  <c r="JR121" i="13"/>
  <c r="JC121" i="13"/>
  <c r="IY121" i="13"/>
  <c r="IV121" i="13"/>
  <c r="HZ121" i="13"/>
  <c r="HY121" i="13"/>
  <c r="HG121" i="13"/>
  <c r="HF121" i="13"/>
  <c r="HE121" i="13"/>
  <c r="HD121" i="13"/>
  <c r="HC121" i="13"/>
  <c r="GS121" i="13"/>
  <c r="GR121" i="13"/>
  <c r="GP121" i="13"/>
  <c r="GM121" i="13"/>
  <c r="FW121" i="13"/>
  <c r="FV121" i="13"/>
  <c r="FU121" i="13"/>
  <c r="FT121" i="13"/>
  <c r="FS121" i="13"/>
  <c r="FR121" i="13"/>
  <c r="FP121" i="13"/>
  <c r="FN121" i="13"/>
  <c r="FL121" i="13"/>
  <c r="FK121" i="13"/>
  <c r="FG121" i="13"/>
  <c r="FF121" i="13"/>
  <c r="FE121" i="13"/>
  <c r="FD121" i="13"/>
  <c r="EW121" i="13"/>
  <c r="EV121" i="13"/>
  <c r="ER121" i="13"/>
  <c r="EP121" i="13"/>
  <c r="EM121" i="13"/>
  <c r="DT121" i="13"/>
  <c r="DS121" i="13"/>
  <c r="DJ121" i="13"/>
  <c r="DI121" i="13"/>
  <c r="DH121" i="13"/>
  <c r="DG121" i="13"/>
  <c r="DF121" i="13"/>
  <c r="DA121" i="13"/>
  <c r="CK121" i="13"/>
  <c r="CC121" i="13"/>
  <c r="CB121" i="13"/>
  <c r="CA121" i="13"/>
  <c r="BZ121" i="13"/>
  <c r="BW121" i="13"/>
  <c r="BV121" i="13"/>
  <c r="BS121" i="13"/>
  <c r="BM121" i="13"/>
  <c r="BL121" i="13"/>
  <c r="BI121" i="13"/>
  <c r="BB121" i="13"/>
  <c r="BA121" i="13"/>
  <c r="AX121" i="13"/>
  <c r="AW121" i="13"/>
  <c r="AG121" i="13"/>
  <c r="P121" i="13"/>
  <c r="KE114" i="13"/>
  <c r="KB114" i="13"/>
  <c r="JR114" i="13"/>
  <c r="JC114" i="13"/>
  <c r="IY114" i="13"/>
  <c r="IV114" i="13"/>
  <c r="HZ114" i="13"/>
  <c r="HY114" i="13"/>
  <c r="HG114" i="13"/>
  <c r="HF114" i="13"/>
  <c r="HE114" i="13"/>
  <c r="HD114" i="13"/>
  <c r="HC114" i="13"/>
  <c r="GS114" i="13"/>
  <c r="GR114" i="13"/>
  <c r="GP114" i="13"/>
  <c r="GM114" i="13"/>
  <c r="FW114" i="13"/>
  <c r="FV114" i="13"/>
  <c r="FU114" i="13"/>
  <c r="FT114" i="13"/>
  <c r="FS114" i="13"/>
  <c r="FR114" i="13"/>
  <c r="FP114" i="13"/>
  <c r="FN114" i="13"/>
  <c r="FL114" i="13"/>
  <c r="FK114" i="13"/>
  <c r="FG114" i="13"/>
  <c r="FF114" i="13"/>
  <c r="FE114" i="13"/>
  <c r="FD114" i="13"/>
  <c r="EW114" i="13"/>
  <c r="EV114" i="13"/>
  <c r="ER114" i="13"/>
  <c r="EP114" i="13"/>
  <c r="EM114" i="13"/>
  <c r="DT114" i="13"/>
  <c r="DS114" i="13"/>
  <c r="DJ114" i="13"/>
  <c r="DI114" i="13"/>
  <c r="DH114" i="13"/>
  <c r="DG114" i="13"/>
  <c r="DF114" i="13"/>
  <c r="DA114" i="13"/>
  <c r="CK114" i="13"/>
  <c r="CC114" i="13"/>
  <c r="CB114" i="13"/>
  <c r="CA114" i="13"/>
  <c r="BZ114" i="13"/>
  <c r="BW114" i="13"/>
  <c r="BV114" i="13"/>
  <c r="BS114" i="13"/>
  <c r="BM114" i="13"/>
  <c r="BL114" i="13"/>
  <c r="BI114" i="13"/>
  <c r="BB114" i="13"/>
  <c r="BA114" i="13"/>
  <c r="AX114" i="13"/>
  <c r="AW114" i="13"/>
  <c r="AG114" i="13"/>
  <c r="P114" i="13"/>
  <c r="KE19" i="13"/>
  <c r="KB19" i="13"/>
  <c r="JR19" i="13"/>
  <c r="JC19" i="13"/>
  <c r="IY19" i="13"/>
  <c r="IV19" i="13"/>
  <c r="HZ19" i="13"/>
  <c r="HY19" i="13"/>
  <c r="HG19" i="13"/>
  <c r="HF19" i="13"/>
  <c r="HE19" i="13"/>
  <c r="HD19" i="13"/>
  <c r="HC19" i="13"/>
  <c r="GS19" i="13"/>
  <c r="GR19" i="13"/>
  <c r="GP19" i="13"/>
  <c r="GM19" i="13"/>
  <c r="FW19" i="13"/>
  <c r="FV19" i="13"/>
  <c r="FU19" i="13"/>
  <c r="FT19" i="13"/>
  <c r="FS19" i="13"/>
  <c r="FR19" i="13"/>
  <c r="FP19" i="13"/>
  <c r="FN19" i="13"/>
  <c r="FL19" i="13"/>
  <c r="FK19" i="13"/>
  <c r="FG19" i="13"/>
  <c r="FF19" i="13"/>
  <c r="FE19" i="13"/>
  <c r="FD19" i="13"/>
  <c r="EW19" i="13"/>
  <c r="EV19" i="13"/>
  <c r="ER19" i="13"/>
  <c r="EP19" i="13"/>
  <c r="EM19" i="13"/>
  <c r="DT19" i="13"/>
  <c r="DS19" i="13"/>
  <c r="DJ19" i="13"/>
  <c r="DI19" i="13"/>
  <c r="DH19" i="13"/>
  <c r="DG19" i="13"/>
  <c r="DF19" i="13"/>
  <c r="DA19" i="13"/>
  <c r="CK19" i="13"/>
  <c r="CC19" i="13"/>
  <c r="CB19" i="13"/>
  <c r="CA19" i="13"/>
  <c r="BZ19" i="13"/>
  <c r="BW19" i="13"/>
  <c r="BV19" i="13"/>
  <c r="BS19" i="13"/>
  <c r="BM19" i="13"/>
  <c r="BL19" i="13"/>
  <c r="BI19" i="13"/>
  <c r="BB19" i="13"/>
  <c r="BA19" i="13"/>
  <c r="AX19" i="13"/>
  <c r="AW19" i="13"/>
  <c r="AG19" i="13"/>
  <c r="P19" i="13"/>
  <c r="LU78" i="11" l="1"/>
  <c r="LT78" i="11"/>
  <c r="DJ78" i="11"/>
  <c r="DK28" i="11"/>
  <c r="DK29" i="11"/>
  <c r="DK30" i="11"/>
  <c r="DK31" i="11"/>
  <c r="DK32" i="11"/>
  <c r="DK33" i="11"/>
  <c r="DK34" i="11"/>
  <c r="DK35" i="11"/>
  <c r="DK36" i="11"/>
  <c r="DK37" i="11"/>
  <c r="DK38" i="11"/>
  <c r="DK39" i="11"/>
  <c r="DK40" i="11"/>
  <c r="DK41" i="11"/>
  <c r="DK42" i="11"/>
  <c r="DK43" i="11"/>
  <c r="DK44" i="11"/>
  <c r="DK45" i="11"/>
  <c r="DK46" i="11"/>
  <c r="DK47" i="11"/>
  <c r="DK48" i="11"/>
  <c r="DK78" i="11"/>
  <c r="DK157" i="11"/>
  <c r="DK158" i="11"/>
  <c r="DK159" i="11"/>
  <c r="DK160" i="11"/>
  <c r="DK161" i="11"/>
  <c r="DK162" i="11"/>
  <c r="DK182" i="11"/>
  <c r="DK220" i="11"/>
  <c r="DK221" i="11"/>
  <c r="DK222" i="11"/>
  <c r="DK223" i="11"/>
  <c r="EC78" i="11"/>
  <c r="IO78" i="11"/>
  <c r="BY126" i="11"/>
  <c r="BY125" i="11"/>
  <c r="BY124" i="11"/>
  <c r="BY123" i="11"/>
  <c r="BY122" i="11"/>
  <c r="BY121" i="11"/>
  <c r="BY120" i="11"/>
  <c r="BY119" i="11"/>
  <c r="BY118" i="11"/>
  <c r="BY117" i="11"/>
  <c r="BY116" i="11"/>
  <c r="BY115" i="11"/>
  <c r="BY114" i="11"/>
  <c r="BY113" i="11"/>
  <c r="BY112" i="11"/>
  <c r="BY111" i="11"/>
  <c r="BY110" i="11"/>
  <c r="BY271" i="11"/>
  <c r="BY270" i="11"/>
  <c r="BY21" i="11"/>
  <c r="BY20" i="11"/>
  <c r="BY19" i="11"/>
  <c r="BY18" i="11"/>
  <c r="BY17" i="11"/>
  <c r="BY16" i="11"/>
  <c r="BY15" i="11"/>
  <c r="BY182" i="11"/>
  <c r="BY48" i="11"/>
  <c r="BY47" i="11"/>
  <c r="BY46" i="11"/>
  <c r="BY45" i="11"/>
  <c r="BY44" i="11"/>
  <c r="BY43" i="11"/>
  <c r="BY42" i="11"/>
  <c r="BY41" i="11"/>
  <c r="BY40" i="11"/>
  <c r="BY39" i="11"/>
  <c r="BY38" i="11"/>
  <c r="BY37" i="11"/>
  <c r="BY36" i="11"/>
  <c r="BY35" i="11"/>
  <c r="BY34" i="11"/>
  <c r="BY33" i="11"/>
  <c r="BY32" i="11"/>
  <c r="BY31" i="11"/>
  <c r="BY30" i="11"/>
  <c r="BY29" i="11"/>
  <c r="BY28" i="11"/>
  <c r="DL78" i="11" l="1"/>
  <c r="CD78" i="11"/>
  <c r="CC78" i="11"/>
  <c r="CB289" i="11"/>
  <c r="CB287" i="11"/>
  <c r="CB286" i="11"/>
  <c r="CB284" i="11"/>
  <c r="CB283" i="11"/>
  <c r="CB282" i="11"/>
  <c r="CB281" i="11"/>
  <c r="CB280" i="11"/>
  <c r="CB279" i="11"/>
  <c r="CB278" i="11"/>
  <c r="CB276" i="11"/>
  <c r="CB275" i="11"/>
  <c r="CB274" i="11"/>
  <c r="CB273" i="11"/>
  <c r="CB271" i="11"/>
  <c r="CB270" i="11"/>
  <c r="CB268" i="11"/>
  <c r="CB267" i="11"/>
  <c r="CB266" i="11"/>
  <c r="CB265" i="11"/>
  <c r="CB263" i="11"/>
  <c r="CB261" i="11"/>
  <c r="CB260" i="11"/>
  <c r="CB259" i="11"/>
  <c r="CB258" i="11"/>
  <c r="CB257" i="11"/>
  <c r="CB256" i="11"/>
  <c r="CB255" i="11"/>
  <c r="CB254" i="11"/>
  <c r="CB252" i="11"/>
  <c r="CB251" i="11"/>
  <c r="CB249" i="11"/>
  <c r="CB248" i="11"/>
  <c r="CB246" i="11"/>
  <c r="CB245" i="11"/>
  <c r="CB244" i="11"/>
  <c r="CB243" i="11"/>
  <c r="CB241" i="11"/>
  <c r="CB240" i="11"/>
  <c r="CB238" i="11"/>
  <c r="CB237" i="11"/>
  <c r="CB236" i="11"/>
  <c r="CB235" i="11"/>
  <c r="CB233" i="11"/>
  <c r="CB231" i="11"/>
  <c r="CB230" i="11"/>
  <c r="CB228" i="11"/>
  <c r="CB227" i="11"/>
  <c r="CB226" i="11"/>
  <c r="CB225" i="11"/>
  <c r="CB223" i="11"/>
  <c r="CB222" i="11"/>
  <c r="CB221" i="11"/>
  <c r="CB220" i="11"/>
  <c r="CB218" i="11"/>
  <c r="CB217" i="11"/>
  <c r="CB215" i="11"/>
  <c r="CB214" i="11"/>
  <c r="CB213" i="11"/>
  <c r="CB212" i="11"/>
  <c r="CB211" i="11"/>
  <c r="CB210" i="11"/>
  <c r="CB209" i="11"/>
  <c r="CB208" i="11"/>
  <c r="CB207" i="11"/>
  <c r="CB206" i="11"/>
  <c r="CB205" i="11"/>
  <c r="CB204" i="11"/>
  <c r="CB202" i="11"/>
  <c r="CB201" i="11"/>
  <c r="CB200" i="11"/>
  <c r="CB198" i="11"/>
  <c r="CB197" i="11"/>
  <c r="CB196" i="11"/>
  <c r="CB195" i="11"/>
  <c r="CB194" i="11"/>
  <c r="CB192" i="11"/>
  <c r="CB191" i="11"/>
  <c r="CB189" i="11"/>
  <c r="CB188" i="11"/>
  <c r="CB187" i="11"/>
  <c r="CB186" i="11"/>
  <c r="CB184" i="11"/>
  <c r="CB182" i="11"/>
  <c r="CB180" i="11"/>
  <c r="CB179" i="11"/>
  <c r="CB177" i="11"/>
  <c r="CB176" i="11"/>
  <c r="CB175" i="11"/>
  <c r="CB174" i="11"/>
  <c r="CB173" i="11"/>
  <c r="CB172" i="11"/>
  <c r="CB171" i="11"/>
  <c r="CB169" i="11"/>
  <c r="CB168" i="11"/>
  <c r="CB167" i="11"/>
  <c r="CB165" i="11"/>
  <c r="CB164" i="11"/>
  <c r="CB162" i="11"/>
  <c r="CB161" i="11"/>
  <c r="CB160" i="11"/>
  <c r="CB159" i="11"/>
  <c r="CB158" i="11"/>
  <c r="CB157" i="11"/>
  <c r="CB155" i="11"/>
  <c r="CB154" i="11"/>
  <c r="CB153" i="11"/>
  <c r="CB152" i="11"/>
  <c r="CB150" i="11"/>
  <c r="CB148" i="11"/>
  <c r="CB147" i="11"/>
  <c r="CB146" i="11"/>
  <c r="CB145" i="11"/>
  <c r="CB143" i="11"/>
  <c r="CB141" i="11"/>
  <c r="CB140" i="11"/>
  <c r="CB138" i="11"/>
  <c r="CB136" i="11"/>
  <c r="CB134" i="11"/>
  <c r="CB132" i="11"/>
  <c r="CB131" i="11"/>
  <c r="CB130" i="11"/>
  <c r="CB128" i="11"/>
  <c r="CB126" i="11"/>
  <c r="CB125" i="11"/>
  <c r="CB124" i="11"/>
  <c r="CB123" i="11"/>
  <c r="CB122" i="11"/>
  <c r="CB121" i="11"/>
  <c r="CB120" i="11"/>
  <c r="CB119" i="11"/>
  <c r="CB118" i="11"/>
  <c r="CB117" i="11"/>
  <c r="CB116" i="11"/>
  <c r="CB115" i="11"/>
  <c r="CB114" i="11"/>
  <c r="CB113" i="11"/>
  <c r="CB112" i="11"/>
  <c r="CB111" i="11"/>
  <c r="CB110" i="11"/>
  <c r="CB108" i="11"/>
  <c r="CB107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8" i="11"/>
  <c r="CB76" i="11"/>
  <c r="CB75" i="11"/>
  <c r="CB73" i="11"/>
  <c r="CB72" i="11"/>
  <c r="CB71" i="11"/>
  <c r="CB70" i="11"/>
  <c r="CB69" i="11"/>
  <c r="CB68" i="11"/>
  <c r="CB67" i="11"/>
  <c r="CB66" i="11"/>
  <c r="CB64" i="11"/>
  <c r="CB63" i="11"/>
  <c r="CB61" i="11"/>
  <c r="CB60" i="11"/>
  <c r="CB59" i="11"/>
  <c r="CB58" i="11"/>
  <c r="CB57" i="11"/>
  <c r="CB56" i="11"/>
  <c r="CB54" i="11"/>
  <c r="CB53" i="11"/>
  <c r="CB52" i="11"/>
  <c r="CB50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6" i="11"/>
  <c r="CB25" i="11"/>
  <c r="CB24" i="11"/>
  <c r="CB23" i="11"/>
  <c r="CB21" i="11"/>
  <c r="CB20" i="11"/>
  <c r="CB19" i="11"/>
  <c r="CB18" i="11"/>
  <c r="CB17" i="11"/>
  <c r="CB16" i="11"/>
  <c r="CB15" i="11"/>
  <c r="JY80" i="11"/>
  <c r="LJ78" i="11"/>
  <c r="LY48" i="11"/>
  <c r="LY47" i="11"/>
  <c r="LY46" i="11"/>
  <c r="LY45" i="11"/>
  <c r="LY44" i="11"/>
  <c r="LY43" i="11"/>
  <c r="LY42" i="11"/>
  <c r="LY41" i="11"/>
  <c r="LY40" i="11"/>
  <c r="LY39" i="11"/>
  <c r="LY38" i="11"/>
  <c r="LY37" i="11"/>
  <c r="LY36" i="11"/>
  <c r="LY35" i="11"/>
  <c r="LY34" i="11"/>
  <c r="LY33" i="11"/>
  <c r="LY32" i="11"/>
  <c r="LY31" i="11"/>
  <c r="LY30" i="11"/>
  <c r="LY29" i="11"/>
  <c r="LY28" i="11"/>
  <c r="LY78" i="11"/>
  <c r="LV78" i="11"/>
  <c r="LX78" i="11"/>
  <c r="JT78" i="11" l="1"/>
  <c r="AH105" i="11" l="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8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IN78" i="11" l="1"/>
  <c r="KD271" i="11" l="1"/>
  <c r="KD270" i="11"/>
  <c r="KD148" i="11"/>
  <c r="KD147" i="11"/>
  <c r="KD146" i="11"/>
  <c r="KD145" i="11"/>
  <c r="KD228" i="11"/>
  <c r="KD227" i="11"/>
  <c r="KD226" i="11"/>
  <c r="KD225" i="11"/>
  <c r="KD180" i="11"/>
  <c r="KD179" i="11"/>
  <c r="KD126" i="11"/>
  <c r="KD125" i="11"/>
  <c r="KD124" i="11"/>
  <c r="KD123" i="11"/>
  <c r="KD122" i="11"/>
  <c r="KD121" i="11"/>
  <c r="KD120" i="11"/>
  <c r="KD119" i="11"/>
  <c r="KD118" i="11"/>
  <c r="KD117" i="11"/>
  <c r="KD116" i="11"/>
  <c r="KD115" i="11"/>
  <c r="KD114" i="11"/>
  <c r="KD113" i="11"/>
  <c r="KD112" i="11"/>
  <c r="KD111" i="11"/>
  <c r="KD110" i="11"/>
  <c r="KD108" i="11"/>
  <c r="KD107" i="11"/>
  <c r="KD105" i="11"/>
  <c r="KD104" i="11"/>
  <c r="KD103" i="11"/>
  <c r="KD102" i="11"/>
  <c r="KD101" i="11"/>
  <c r="KD100" i="11"/>
  <c r="KD99" i="11"/>
  <c r="KD98" i="11"/>
  <c r="KD97" i="11"/>
  <c r="KD96" i="11"/>
  <c r="KD95" i="11"/>
  <c r="KD94" i="11"/>
  <c r="KD93" i="11"/>
  <c r="KD92" i="11"/>
  <c r="KD91" i="11"/>
  <c r="KD90" i="11"/>
  <c r="KD89" i="11"/>
  <c r="KD88" i="11"/>
  <c r="KD87" i="11"/>
  <c r="KD86" i="11"/>
  <c r="KD85" i="11"/>
  <c r="KD84" i="11"/>
  <c r="KD83" i="11"/>
  <c r="KD82" i="11"/>
  <c r="KD81" i="11"/>
  <c r="KD80" i="11"/>
  <c r="KD78" i="11"/>
  <c r="KD48" i="11"/>
  <c r="KD47" i="11"/>
  <c r="KD46" i="11"/>
  <c r="KD45" i="11"/>
  <c r="KD44" i="11"/>
  <c r="KD43" i="11"/>
  <c r="KD42" i="11"/>
  <c r="KD41" i="11"/>
  <c r="KD40" i="11"/>
  <c r="KD39" i="11"/>
  <c r="KD38" i="11"/>
  <c r="KD37" i="11"/>
  <c r="KD36" i="11"/>
  <c r="KD35" i="11"/>
  <c r="KD34" i="11"/>
  <c r="KD33" i="11"/>
  <c r="KD32" i="11"/>
  <c r="KD31" i="11"/>
  <c r="KD30" i="11"/>
  <c r="KD29" i="11"/>
  <c r="KD28" i="11"/>
  <c r="KD21" i="11"/>
  <c r="KD20" i="11"/>
  <c r="KD19" i="11"/>
  <c r="KD18" i="11"/>
  <c r="KD17" i="11"/>
  <c r="KD16" i="11"/>
  <c r="KD15" i="11"/>
  <c r="IW215" i="11"/>
  <c r="IW214" i="11"/>
  <c r="IW213" i="11"/>
  <c r="IW212" i="11"/>
  <c r="IW211" i="11"/>
  <c r="IW210" i="11"/>
  <c r="IW209" i="11"/>
  <c r="IW208" i="11"/>
  <c r="IW207" i="11"/>
  <c r="IW206" i="11"/>
  <c r="IW205" i="11"/>
  <c r="IW204" i="11"/>
  <c r="IW189" i="11"/>
  <c r="IW188" i="11"/>
  <c r="IW187" i="11"/>
  <c r="IW186" i="11"/>
  <c r="IW241" i="11"/>
  <c r="IW240" i="11"/>
  <c r="IW223" i="11"/>
  <c r="IW222" i="11"/>
  <c r="IW221" i="11"/>
  <c r="IW220" i="11"/>
  <c r="IW261" i="11"/>
  <c r="IW260" i="11"/>
  <c r="IW259" i="11"/>
  <c r="IW258" i="11"/>
  <c r="IW257" i="11"/>
  <c r="IW256" i="11"/>
  <c r="IW255" i="11"/>
  <c r="IW254" i="11"/>
  <c r="IW132" i="11"/>
  <c r="IW131" i="11"/>
  <c r="IW130" i="11"/>
  <c r="IW141" i="11"/>
  <c r="IW140" i="11"/>
  <c r="IW126" i="11"/>
  <c r="IW125" i="11"/>
  <c r="IW124" i="11"/>
  <c r="IW123" i="11"/>
  <c r="IW122" i="11"/>
  <c r="IW121" i="11"/>
  <c r="IW120" i="11"/>
  <c r="IW119" i="11"/>
  <c r="IW118" i="11"/>
  <c r="IW117" i="11"/>
  <c r="IW116" i="11"/>
  <c r="IW115" i="11"/>
  <c r="IW114" i="11"/>
  <c r="IW113" i="11"/>
  <c r="IW112" i="11"/>
  <c r="IW111" i="11"/>
  <c r="IW110" i="11"/>
  <c r="IW105" i="11"/>
  <c r="IW104" i="11"/>
  <c r="IW103" i="11"/>
  <c r="IW102" i="11"/>
  <c r="IW101" i="11"/>
  <c r="IW100" i="11"/>
  <c r="IW99" i="11"/>
  <c r="IW98" i="11"/>
  <c r="IW97" i="11"/>
  <c r="IW96" i="11"/>
  <c r="IW95" i="11"/>
  <c r="IW94" i="11"/>
  <c r="IW93" i="11"/>
  <c r="IW92" i="11"/>
  <c r="IW91" i="11"/>
  <c r="IW90" i="11"/>
  <c r="IW89" i="11"/>
  <c r="IW88" i="11"/>
  <c r="IW87" i="11"/>
  <c r="IW86" i="11"/>
  <c r="IW85" i="11"/>
  <c r="IW84" i="11"/>
  <c r="IW83" i="11"/>
  <c r="IW82" i="11"/>
  <c r="IW81" i="11"/>
  <c r="IW80" i="11"/>
  <c r="IW78" i="11"/>
  <c r="JL261" i="11"/>
  <c r="JL260" i="11"/>
  <c r="JL259" i="11"/>
  <c r="JL258" i="11"/>
  <c r="JL257" i="11"/>
  <c r="JL256" i="11"/>
  <c r="JL255" i="11"/>
  <c r="JL254" i="11"/>
  <c r="JL241" i="11"/>
  <c r="JL240" i="11"/>
  <c r="JL223" i="11"/>
  <c r="JL222" i="11"/>
  <c r="JL221" i="11"/>
  <c r="JL220" i="11"/>
  <c r="JL215" i="11"/>
  <c r="JL214" i="11"/>
  <c r="JL213" i="11"/>
  <c r="JL212" i="11"/>
  <c r="JL211" i="11"/>
  <c r="JL210" i="11"/>
  <c r="JL209" i="11"/>
  <c r="JL208" i="11"/>
  <c r="JL207" i="11"/>
  <c r="JL206" i="11"/>
  <c r="JL205" i="11"/>
  <c r="JL204" i="11"/>
  <c r="JL202" i="11"/>
  <c r="JL201" i="11"/>
  <c r="JL200" i="11"/>
  <c r="JL189" i="11"/>
  <c r="JL188" i="11"/>
  <c r="JL187" i="11"/>
  <c r="JL186" i="11"/>
  <c r="JL184" i="11"/>
  <c r="JL155" i="11"/>
  <c r="JL154" i="11"/>
  <c r="JL153" i="11"/>
  <c r="JL152" i="11"/>
  <c r="JL141" i="11"/>
  <c r="JL140" i="11"/>
  <c r="JL132" i="11"/>
  <c r="JL131" i="11"/>
  <c r="JL130" i="11"/>
  <c r="JL126" i="11"/>
  <c r="JL125" i="11"/>
  <c r="JL124" i="11"/>
  <c r="JL123" i="11"/>
  <c r="JL122" i="11"/>
  <c r="JL121" i="11"/>
  <c r="JL120" i="11"/>
  <c r="JL119" i="11"/>
  <c r="JL118" i="11"/>
  <c r="JL117" i="11"/>
  <c r="JL116" i="11"/>
  <c r="JL115" i="11"/>
  <c r="JL114" i="11"/>
  <c r="JL113" i="11"/>
  <c r="JL112" i="11"/>
  <c r="JL111" i="11"/>
  <c r="JL110" i="11"/>
  <c r="JL105" i="11"/>
  <c r="JL104" i="11"/>
  <c r="JL103" i="11"/>
  <c r="JL102" i="11"/>
  <c r="JL101" i="11"/>
  <c r="JL100" i="11"/>
  <c r="JL99" i="11"/>
  <c r="JL98" i="11"/>
  <c r="JL97" i="11"/>
  <c r="JL96" i="11"/>
  <c r="JL95" i="11"/>
  <c r="JL94" i="11"/>
  <c r="JL93" i="11"/>
  <c r="JL92" i="11"/>
  <c r="JL91" i="11"/>
  <c r="JL90" i="11"/>
  <c r="JL89" i="11"/>
  <c r="JL88" i="11"/>
  <c r="JL87" i="11"/>
  <c r="JL86" i="11"/>
  <c r="JL85" i="11"/>
  <c r="JL84" i="11"/>
  <c r="JL83" i="11"/>
  <c r="JL82" i="11"/>
  <c r="JL81" i="11"/>
  <c r="JL80" i="11"/>
  <c r="JL61" i="11"/>
  <c r="JL60" i="11"/>
  <c r="JL59" i="11"/>
  <c r="JL58" i="11"/>
  <c r="JL57" i="11"/>
  <c r="JL56" i="11"/>
  <c r="JL48" i="11"/>
  <c r="JL47" i="11"/>
  <c r="JL46" i="11"/>
  <c r="JL45" i="11"/>
  <c r="JL44" i="11"/>
  <c r="JL43" i="11"/>
  <c r="JL42" i="11"/>
  <c r="JL41" i="11"/>
  <c r="JL40" i="11"/>
  <c r="JL39" i="11"/>
  <c r="JL38" i="11"/>
  <c r="JL37" i="11"/>
  <c r="JL36" i="11"/>
  <c r="JL35" i="11"/>
  <c r="JL34" i="11"/>
  <c r="JL33" i="11"/>
  <c r="JL32" i="11"/>
  <c r="JL31" i="11"/>
  <c r="JL30" i="11"/>
  <c r="JL29" i="11"/>
  <c r="JL28" i="11"/>
  <c r="EG78" i="11"/>
  <c r="AP78" i="11"/>
  <c r="EF78" i="11" l="1"/>
  <c r="EH78" i="11"/>
  <c r="EE78" i="11"/>
  <c r="ED78" i="11"/>
  <c r="AE261" i="11"/>
  <c r="AE260" i="11"/>
  <c r="AE259" i="11"/>
  <c r="AE258" i="11"/>
  <c r="AE257" i="11"/>
  <c r="AE256" i="11"/>
  <c r="AE255" i="11"/>
  <c r="AE254" i="11"/>
  <c r="AE241" i="11"/>
  <c r="AE240" i="11"/>
  <c r="AE215" i="11"/>
  <c r="AE214" i="11"/>
  <c r="AE213" i="11"/>
  <c r="AE212" i="11"/>
  <c r="AE211" i="11"/>
  <c r="AE210" i="11"/>
  <c r="AE209" i="11"/>
  <c r="AE208" i="11"/>
  <c r="AE207" i="11"/>
  <c r="AE206" i="11"/>
  <c r="AE205" i="11"/>
  <c r="AE204" i="11"/>
  <c r="AE189" i="11"/>
  <c r="AE188" i="11"/>
  <c r="AE187" i="11"/>
  <c r="AE186" i="11"/>
  <c r="AE184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8" i="11"/>
  <c r="JK241" i="11"/>
  <c r="JK240" i="11"/>
  <c r="JK215" i="11"/>
  <c r="JK214" i="11"/>
  <c r="JK213" i="11"/>
  <c r="JK212" i="11"/>
  <c r="JK211" i="11"/>
  <c r="JK210" i="11"/>
  <c r="JK209" i="11"/>
  <c r="JK208" i="11"/>
  <c r="JK207" i="11"/>
  <c r="JK206" i="11"/>
  <c r="JK205" i="11"/>
  <c r="JK204" i="11"/>
  <c r="JJ126" i="11"/>
  <c r="JJ125" i="11"/>
  <c r="JJ124" i="11"/>
  <c r="JJ123" i="11"/>
  <c r="JJ122" i="11"/>
  <c r="JJ121" i="11"/>
  <c r="JJ120" i="11"/>
  <c r="JJ119" i="11"/>
  <c r="JJ118" i="11"/>
  <c r="JJ117" i="11"/>
  <c r="JJ116" i="11"/>
  <c r="JJ115" i="11"/>
  <c r="JJ114" i="11"/>
  <c r="JJ113" i="11"/>
  <c r="JJ112" i="11"/>
  <c r="JJ111" i="11"/>
  <c r="JJ110" i="11"/>
  <c r="JK189" i="11"/>
  <c r="JK188" i="11"/>
  <c r="JK187" i="11"/>
  <c r="JK186" i="11"/>
  <c r="JK141" i="11"/>
  <c r="JK140" i="11"/>
  <c r="JK126" i="11"/>
  <c r="JK125" i="11"/>
  <c r="JK124" i="11"/>
  <c r="JK123" i="11"/>
  <c r="JK122" i="11"/>
  <c r="JK121" i="11"/>
  <c r="JK120" i="11"/>
  <c r="JK119" i="11"/>
  <c r="JK118" i="11"/>
  <c r="JK117" i="11"/>
  <c r="JK116" i="11"/>
  <c r="JK115" i="11"/>
  <c r="JK114" i="11"/>
  <c r="JK113" i="11"/>
  <c r="JK112" i="11"/>
  <c r="JK111" i="11"/>
  <c r="JK110" i="11"/>
  <c r="JK105" i="11"/>
  <c r="JK104" i="11"/>
  <c r="JK103" i="11"/>
  <c r="JK102" i="11"/>
  <c r="JK101" i="11"/>
  <c r="JK100" i="11"/>
  <c r="JK99" i="11"/>
  <c r="JK98" i="11"/>
  <c r="JK97" i="11"/>
  <c r="JK96" i="11"/>
  <c r="JK95" i="11"/>
  <c r="JK94" i="11"/>
  <c r="JK93" i="11"/>
  <c r="JK92" i="11"/>
  <c r="JK91" i="11"/>
  <c r="JK90" i="11"/>
  <c r="JK89" i="11"/>
  <c r="JK88" i="11"/>
  <c r="JK87" i="11"/>
  <c r="JK86" i="11"/>
  <c r="JK85" i="11"/>
  <c r="JK84" i="11"/>
  <c r="JK83" i="11"/>
  <c r="JK82" i="11"/>
  <c r="JK81" i="11"/>
  <c r="JK80" i="11"/>
  <c r="JK48" i="11"/>
  <c r="JK47" i="11"/>
  <c r="JK46" i="11"/>
  <c r="JK45" i="11"/>
  <c r="JK44" i="11"/>
  <c r="JK43" i="11"/>
  <c r="JK42" i="11"/>
  <c r="JK41" i="11"/>
  <c r="JK40" i="11"/>
  <c r="JK39" i="11"/>
  <c r="JK38" i="11"/>
  <c r="JK37" i="11"/>
  <c r="JK36" i="11"/>
  <c r="JK35" i="11"/>
  <c r="JK34" i="11"/>
  <c r="JK33" i="11"/>
  <c r="JK32" i="11"/>
  <c r="JK31" i="11"/>
  <c r="JK30" i="11"/>
  <c r="JK29" i="11"/>
  <c r="JK28" i="11"/>
  <c r="JI126" i="11" l="1"/>
  <c r="JI125" i="11"/>
  <c r="JI124" i="11"/>
  <c r="JI123" i="11"/>
  <c r="JI122" i="11"/>
  <c r="JI121" i="11"/>
  <c r="JI120" i="11"/>
  <c r="JI119" i="11"/>
  <c r="JI118" i="11"/>
  <c r="JI117" i="11"/>
  <c r="JI116" i="11"/>
  <c r="JI115" i="11"/>
  <c r="JI114" i="11"/>
  <c r="JI113" i="11"/>
  <c r="JI112" i="11"/>
  <c r="JI111" i="11"/>
  <c r="JI110" i="11"/>
  <c r="JG105" i="11"/>
  <c r="JG104" i="11"/>
  <c r="JG103" i="11"/>
  <c r="JG102" i="11"/>
  <c r="JG101" i="11"/>
  <c r="JG100" i="11"/>
  <c r="JG99" i="11"/>
  <c r="JG98" i="11"/>
  <c r="JG97" i="11"/>
  <c r="JG96" i="11"/>
  <c r="JG95" i="11"/>
  <c r="JG94" i="11"/>
  <c r="JG93" i="11"/>
  <c r="JG92" i="11"/>
  <c r="JG91" i="11"/>
  <c r="JG90" i="11"/>
  <c r="JG89" i="11"/>
  <c r="JG88" i="11"/>
  <c r="JG87" i="11"/>
  <c r="JG86" i="11"/>
  <c r="JG85" i="11"/>
  <c r="JG84" i="11"/>
  <c r="JG83" i="11"/>
  <c r="JG82" i="11"/>
  <c r="JG81" i="11"/>
  <c r="JG80" i="11"/>
  <c r="JG78" i="11"/>
  <c r="JG48" i="11"/>
  <c r="JG47" i="11"/>
  <c r="JG46" i="11"/>
  <c r="JG45" i="11"/>
  <c r="JG44" i="11"/>
  <c r="JG43" i="11"/>
  <c r="JG42" i="11"/>
  <c r="JG41" i="11"/>
  <c r="JG40" i="11"/>
  <c r="JG39" i="11"/>
  <c r="JG38" i="11"/>
  <c r="JG37" i="11"/>
  <c r="JG36" i="11"/>
  <c r="JG35" i="11"/>
  <c r="JG34" i="11"/>
  <c r="JG33" i="11"/>
  <c r="JG32" i="11"/>
  <c r="JG31" i="11"/>
  <c r="JG30" i="11"/>
  <c r="JG29" i="11"/>
  <c r="JG28" i="11"/>
  <c r="JF261" i="11"/>
  <c r="JF260" i="11"/>
  <c r="JF259" i="11"/>
  <c r="JF258" i="11"/>
  <c r="JF257" i="11"/>
  <c r="JF256" i="11"/>
  <c r="JF255" i="11"/>
  <c r="JF254" i="11"/>
  <c r="JF215" i="11"/>
  <c r="JF214" i="11"/>
  <c r="JF213" i="11"/>
  <c r="JF212" i="11"/>
  <c r="JF211" i="11"/>
  <c r="JF210" i="11"/>
  <c r="JF209" i="11"/>
  <c r="JF208" i="11"/>
  <c r="JF207" i="11"/>
  <c r="JF206" i="11"/>
  <c r="JF205" i="11"/>
  <c r="JF204" i="11"/>
  <c r="JF105" i="11"/>
  <c r="JF104" i="11"/>
  <c r="JF103" i="11"/>
  <c r="JF102" i="11"/>
  <c r="JF101" i="11"/>
  <c r="JF100" i="11"/>
  <c r="JF99" i="11"/>
  <c r="JF98" i="11"/>
  <c r="JF97" i="11"/>
  <c r="JF96" i="11"/>
  <c r="JF95" i="11"/>
  <c r="JF94" i="11"/>
  <c r="JF93" i="11"/>
  <c r="JF92" i="11"/>
  <c r="JF91" i="11"/>
  <c r="JF90" i="11"/>
  <c r="JF89" i="11"/>
  <c r="JF88" i="11"/>
  <c r="JF87" i="11"/>
  <c r="JF86" i="11"/>
  <c r="JF85" i="11"/>
  <c r="JF84" i="11"/>
  <c r="JF83" i="11"/>
  <c r="JF82" i="11"/>
  <c r="JF81" i="11"/>
  <c r="JF80" i="11"/>
  <c r="JF78" i="11"/>
  <c r="JF48" i="11"/>
  <c r="JF47" i="11"/>
  <c r="JF46" i="11"/>
  <c r="JF45" i="11"/>
  <c r="JF44" i="11"/>
  <c r="JF43" i="11"/>
  <c r="JF42" i="11"/>
  <c r="JF41" i="11"/>
  <c r="JF40" i="11"/>
  <c r="JF39" i="11"/>
  <c r="JF38" i="11"/>
  <c r="JF37" i="11"/>
  <c r="JF36" i="11"/>
  <c r="JF35" i="11"/>
  <c r="JF34" i="11"/>
  <c r="JF33" i="11"/>
  <c r="JF32" i="11"/>
  <c r="JF31" i="11"/>
  <c r="JF30" i="11"/>
  <c r="JF29" i="11"/>
  <c r="JF28" i="11"/>
  <c r="CR126" i="11"/>
  <c r="CR125" i="11"/>
  <c r="CR124" i="11"/>
  <c r="CR123" i="11"/>
  <c r="CR122" i="11"/>
  <c r="CR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R91" i="11"/>
  <c r="CR90" i="11"/>
  <c r="CR89" i="11"/>
  <c r="CR88" i="11"/>
  <c r="CR87" i="11"/>
  <c r="CR86" i="11"/>
  <c r="CR85" i="11"/>
  <c r="CR84" i="11"/>
  <c r="CR83" i="11"/>
  <c r="CR82" i="11"/>
  <c r="CR81" i="11"/>
  <c r="CR80" i="11"/>
  <c r="CR78" i="11"/>
  <c r="CQ287" i="11"/>
  <c r="CQ286" i="11"/>
  <c r="CQ261" i="11"/>
  <c r="CQ260" i="11"/>
  <c r="CQ259" i="11"/>
  <c r="CQ258" i="11"/>
  <c r="CQ257" i="11"/>
  <c r="CQ256" i="11"/>
  <c r="CQ255" i="11"/>
  <c r="CQ254" i="11"/>
  <c r="CQ223" i="11"/>
  <c r="CQ222" i="11"/>
  <c r="CQ221" i="11"/>
  <c r="CQ220" i="11"/>
  <c r="CQ215" i="11"/>
  <c r="CQ214" i="11"/>
  <c r="CQ213" i="11"/>
  <c r="CQ212" i="11"/>
  <c r="CQ211" i="11"/>
  <c r="CQ210" i="11"/>
  <c r="CQ209" i="11"/>
  <c r="CQ208" i="11"/>
  <c r="CQ207" i="11"/>
  <c r="CQ206" i="11"/>
  <c r="CQ205" i="11"/>
  <c r="CQ204" i="11"/>
  <c r="CQ184" i="11"/>
  <c r="CQ126" i="11"/>
  <c r="CQ125" i="11"/>
  <c r="CQ124" i="11"/>
  <c r="CQ123" i="11"/>
  <c r="CQ122" i="11"/>
  <c r="CQ121" i="11"/>
  <c r="CQ120" i="11"/>
  <c r="CQ119" i="11"/>
  <c r="CQ118" i="11"/>
  <c r="CQ117" i="11"/>
  <c r="CQ116" i="11"/>
  <c r="CQ115" i="11"/>
  <c r="CQ114" i="11"/>
  <c r="CQ113" i="11"/>
  <c r="CQ112" i="11"/>
  <c r="CQ111" i="11"/>
  <c r="CQ110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8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S78" i="11"/>
  <c r="CP78" i="11"/>
  <c r="BH271" i="11"/>
  <c r="BH270" i="11"/>
  <c r="BH249" i="11"/>
  <c r="BH248" i="11"/>
  <c r="BH162" i="11"/>
  <c r="BH161" i="11"/>
  <c r="BH160" i="11"/>
  <c r="BH159" i="11"/>
  <c r="BH158" i="11"/>
  <c r="BH157" i="11"/>
  <c r="BH126" i="11"/>
  <c r="BH125" i="11"/>
  <c r="BH124" i="11"/>
  <c r="BH123" i="11"/>
  <c r="BH122" i="11"/>
  <c r="BH121" i="11"/>
  <c r="BH120" i="11"/>
  <c r="BH119" i="11"/>
  <c r="BH118" i="11"/>
  <c r="BH117" i="11"/>
  <c r="BH116" i="11"/>
  <c r="BH115" i="11"/>
  <c r="BH114" i="11"/>
  <c r="BH113" i="11"/>
  <c r="BH112" i="11"/>
  <c r="BH111" i="11"/>
  <c r="BH110" i="11"/>
  <c r="BH108" i="11"/>
  <c r="BH107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6" i="11"/>
  <c r="BH75" i="11"/>
  <c r="BH223" i="11"/>
  <c r="BH222" i="11"/>
  <c r="BH221" i="11"/>
  <c r="BH220" i="11"/>
  <c r="BH155" i="11"/>
  <c r="BH154" i="11"/>
  <c r="BH153" i="11"/>
  <c r="BH152" i="11"/>
  <c r="BH54" i="11"/>
  <c r="BH53" i="11"/>
  <c r="BH52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1" i="11"/>
  <c r="BH20" i="11"/>
  <c r="BH19" i="11"/>
  <c r="BH18" i="11"/>
  <c r="BH17" i="11"/>
  <c r="BH16" i="11"/>
  <c r="BH15" i="11"/>
  <c r="DW126" i="11"/>
  <c r="DW125" i="11"/>
  <c r="DW124" i="11"/>
  <c r="DW123" i="11"/>
  <c r="DW122" i="11"/>
  <c r="DW121" i="11"/>
  <c r="DW120" i="11"/>
  <c r="DW119" i="11"/>
  <c r="DW118" i="11"/>
  <c r="DW117" i="11"/>
  <c r="DW116" i="11"/>
  <c r="DW115" i="11"/>
  <c r="DW114" i="11"/>
  <c r="DW113" i="11"/>
  <c r="DW112" i="11"/>
  <c r="DW111" i="11"/>
  <c r="DW110" i="11"/>
  <c r="DW105" i="11"/>
  <c r="DW104" i="11"/>
  <c r="DW103" i="11"/>
  <c r="DW102" i="11"/>
  <c r="DW101" i="11"/>
  <c r="DW100" i="11"/>
  <c r="DW99" i="11"/>
  <c r="DW98" i="11"/>
  <c r="DW97" i="11"/>
  <c r="DW96" i="11"/>
  <c r="DW95" i="11"/>
  <c r="DW94" i="11"/>
  <c r="DW93" i="11"/>
  <c r="DW92" i="11"/>
  <c r="DW91" i="11"/>
  <c r="DW90" i="11"/>
  <c r="DW89" i="11"/>
  <c r="DW88" i="11"/>
  <c r="DW87" i="11"/>
  <c r="DW86" i="11"/>
  <c r="DW85" i="11"/>
  <c r="DW84" i="11"/>
  <c r="DW83" i="11"/>
  <c r="DW82" i="11"/>
  <c r="DW81" i="11"/>
  <c r="DW80" i="11"/>
  <c r="DW78" i="11"/>
  <c r="DW48" i="11"/>
  <c r="DW47" i="11"/>
  <c r="DW46" i="11"/>
  <c r="DW45" i="11"/>
  <c r="DW44" i="11"/>
  <c r="DW43" i="11"/>
  <c r="DW42" i="11"/>
  <c r="DW41" i="11"/>
  <c r="DW40" i="11"/>
  <c r="DW39" i="11"/>
  <c r="DW38" i="11"/>
  <c r="DW37" i="11"/>
  <c r="DW36" i="11"/>
  <c r="DW35" i="11"/>
  <c r="DW34" i="11"/>
  <c r="DW33" i="11"/>
  <c r="DW32" i="11"/>
  <c r="DW31" i="11"/>
  <c r="DW30" i="11"/>
  <c r="DW29" i="11"/>
  <c r="DW28" i="11"/>
  <c r="DV78" i="11"/>
  <c r="DX241" i="11"/>
  <c r="DX240" i="11"/>
  <c r="DX215" i="11"/>
  <c r="DX214" i="11"/>
  <c r="DX213" i="11"/>
  <c r="DX212" i="11"/>
  <c r="DX211" i="11"/>
  <c r="DX210" i="11"/>
  <c r="DX209" i="11"/>
  <c r="DX208" i="11"/>
  <c r="DX207" i="11"/>
  <c r="DX206" i="11"/>
  <c r="DX205" i="11"/>
  <c r="DX204" i="11"/>
  <c r="DX105" i="11"/>
  <c r="DX104" i="11"/>
  <c r="DX103" i="11"/>
  <c r="DX102" i="11"/>
  <c r="DX101" i="11"/>
  <c r="DX100" i="11"/>
  <c r="DX99" i="11"/>
  <c r="DX98" i="11"/>
  <c r="DX97" i="11"/>
  <c r="DX96" i="11"/>
  <c r="DX95" i="11"/>
  <c r="DX94" i="11"/>
  <c r="DX93" i="11"/>
  <c r="DX92" i="11"/>
  <c r="DX91" i="11"/>
  <c r="DX90" i="11"/>
  <c r="DX89" i="11"/>
  <c r="DX88" i="11"/>
  <c r="DX87" i="11"/>
  <c r="DX86" i="11"/>
  <c r="DX85" i="11"/>
  <c r="DX84" i="11"/>
  <c r="DX83" i="11"/>
  <c r="DX82" i="11"/>
  <c r="DX81" i="11"/>
  <c r="DX80" i="11"/>
  <c r="DX78" i="11"/>
  <c r="DX48" i="11"/>
  <c r="DX47" i="11"/>
  <c r="DX46" i="11"/>
  <c r="DX45" i="11"/>
  <c r="DX44" i="11"/>
  <c r="DX43" i="11"/>
  <c r="DX42" i="11"/>
  <c r="DX41" i="11"/>
  <c r="DX40" i="11"/>
  <c r="DX39" i="11"/>
  <c r="DX38" i="11"/>
  <c r="DX37" i="11"/>
  <c r="DX36" i="11"/>
  <c r="DX35" i="11"/>
  <c r="DX34" i="11"/>
  <c r="DX33" i="11"/>
  <c r="DX32" i="11"/>
  <c r="DX31" i="11"/>
  <c r="DX30" i="11"/>
  <c r="DX29" i="11"/>
  <c r="DX28" i="11"/>
  <c r="JQ287" i="11"/>
  <c r="JQ286" i="11"/>
  <c r="JQ268" i="11"/>
  <c r="JQ267" i="11"/>
  <c r="JQ266" i="11"/>
  <c r="JQ265" i="11"/>
  <c r="JQ261" i="11"/>
  <c r="JQ260" i="11"/>
  <c r="JQ259" i="11"/>
  <c r="JQ258" i="11"/>
  <c r="JQ257" i="11"/>
  <c r="JQ256" i="11"/>
  <c r="JQ255" i="11"/>
  <c r="JQ254" i="11"/>
  <c r="JQ252" i="11"/>
  <c r="JQ251" i="11"/>
  <c r="JQ246" i="11"/>
  <c r="JQ245" i="11"/>
  <c r="JQ244" i="11"/>
  <c r="JQ243" i="11"/>
  <c r="JQ233" i="11"/>
  <c r="JQ231" i="11"/>
  <c r="JQ230" i="11"/>
  <c r="JQ223" i="11"/>
  <c r="JQ222" i="11"/>
  <c r="JQ221" i="11"/>
  <c r="JQ220" i="11"/>
  <c r="JQ215" i="11"/>
  <c r="JQ214" i="11"/>
  <c r="JQ213" i="11"/>
  <c r="JQ212" i="11"/>
  <c r="JQ211" i="11"/>
  <c r="JQ210" i="11"/>
  <c r="JQ209" i="11"/>
  <c r="JQ208" i="11"/>
  <c r="JQ207" i="11"/>
  <c r="JQ206" i="11"/>
  <c r="JQ205" i="11"/>
  <c r="JQ204" i="11"/>
  <c r="JQ202" i="11"/>
  <c r="JQ201" i="11"/>
  <c r="JQ200" i="11"/>
  <c r="JQ189" i="11"/>
  <c r="JQ188" i="11"/>
  <c r="JQ187" i="11"/>
  <c r="JQ186" i="11"/>
  <c r="JQ184" i="11"/>
  <c r="JQ182" i="11"/>
  <c r="JQ155" i="11"/>
  <c r="JQ154" i="11"/>
  <c r="JQ153" i="11"/>
  <c r="JQ152" i="11"/>
  <c r="JQ141" i="11"/>
  <c r="JQ140" i="11"/>
  <c r="JQ136" i="11"/>
  <c r="JQ132" i="11"/>
  <c r="JQ131" i="11"/>
  <c r="JQ130" i="11"/>
  <c r="JQ126" i="11"/>
  <c r="JQ125" i="11"/>
  <c r="JQ124" i="11"/>
  <c r="JQ123" i="11"/>
  <c r="JQ122" i="11"/>
  <c r="JQ121" i="11"/>
  <c r="JQ120" i="11"/>
  <c r="JQ119" i="11"/>
  <c r="JQ118" i="11"/>
  <c r="JQ117" i="11"/>
  <c r="JQ116" i="11"/>
  <c r="JQ115" i="11"/>
  <c r="JQ114" i="11"/>
  <c r="JQ113" i="11"/>
  <c r="JQ112" i="11"/>
  <c r="JQ111" i="11"/>
  <c r="JQ110" i="11"/>
  <c r="JQ105" i="11"/>
  <c r="JQ104" i="11"/>
  <c r="JQ103" i="11"/>
  <c r="JQ102" i="11"/>
  <c r="JQ101" i="11"/>
  <c r="JQ100" i="11"/>
  <c r="JQ99" i="11"/>
  <c r="JQ98" i="11"/>
  <c r="JQ97" i="11"/>
  <c r="JQ96" i="11"/>
  <c r="JQ95" i="11"/>
  <c r="JQ94" i="11"/>
  <c r="JQ93" i="11"/>
  <c r="JQ92" i="11"/>
  <c r="JQ91" i="11"/>
  <c r="JQ90" i="11"/>
  <c r="JQ89" i="11"/>
  <c r="JQ88" i="11"/>
  <c r="JQ87" i="11"/>
  <c r="JQ86" i="11"/>
  <c r="JQ85" i="11"/>
  <c r="JQ84" i="11"/>
  <c r="JQ83" i="11"/>
  <c r="JQ82" i="11"/>
  <c r="JQ81" i="11"/>
  <c r="JQ80" i="11"/>
  <c r="JQ78" i="11"/>
  <c r="JQ73" i="11"/>
  <c r="JQ72" i="11"/>
  <c r="JQ71" i="11"/>
  <c r="JQ70" i="11"/>
  <c r="JQ69" i="11"/>
  <c r="JQ68" i="11"/>
  <c r="JQ67" i="11"/>
  <c r="JQ66" i="11"/>
  <c r="JQ61" i="11"/>
  <c r="JQ60" i="11"/>
  <c r="JQ59" i="11"/>
  <c r="JQ58" i="11"/>
  <c r="JQ57" i="11"/>
  <c r="JQ56" i="11"/>
  <c r="JQ48" i="11"/>
  <c r="JQ47" i="11"/>
  <c r="JQ46" i="11"/>
  <c r="JQ45" i="11"/>
  <c r="JQ44" i="11"/>
  <c r="JQ43" i="11"/>
  <c r="JQ42" i="11"/>
  <c r="JQ41" i="11"/>
  <c r="JQ40" i="11"/>
  <c r="JQ39" i="11"/>
  <c r="JQ38" i="11"/>
  <c r="JQ37" i="11"/>
  <c r="JQ36" i="11"/>
  <c r="JQ35" i="11"/>
  <c r="JQ34" i="11"/>
  <c r="JQ33" i="11"/>
  <c r="JQ32" i="11"/>
  <c r="JQ31" i="11"/>
  <c r="JQ30" i="11"/>
  <c r="JQ29" i="11"/>
  <c r="JQ28" i="11"/>
  <c r="JQ21" i="11"/>
  <c r="JQ20" i="11"/>
  <c r="JQ19" i="11"/>
  <c r="JQ18" i="11"/>
  <c r="JQ17" i="11"/>
  <c r="JQ16" i="11"/>
  <c r="JQ15" i="11"/>
  <c r="JP78" i="11"/>
  <c r="DM78" i="11"/>
  <c r="DN162" i="11" l="1"/>
  <c r="DN161" i="11"/>
  <c r="DN160" i="11"/>
  <c r="DN159" i="11"/>
  <c r="DN158" i="11"/>
  <c r="DN157" i="11"/>
  <c r="DN105" i="11"/>
  <c r="DN104" i="11"/>
  <c r="DN103" i="11"/>
  <c r="DN102" i="11"/>
  <c r="DN101" i="11"/>
  <c r="DN100" i="11"/>
  <c r="DN99" i="11"/>
  <c r="DN98" i="11"/>
  <c r="DN97" i="11"/>
  <c r="DN96" i="11"/>
  <c r="DN95" i="11"/>
  <c r="DN94" i="11"/>
  <c r="DN93" i="11"/>
  <c r="DN92" i="11"/>
  <c r="DN91" i="11"/>
  <c r="DN90" i="11"/>
  <c r="DN89" i="11"/>
  <c r="DN88" i="11"/>
  <c r="DN87" i="11"/>
  <c r="DN86" i="11"/>
  <c r="DN85" i="11"/>
  <c r="DN84" i="11"/>
  <c r="DN83" i="11"/>
  <c r="DN82" i="11"/>
  <c r="DN81" i="11"/>
  <c r="DN80" i="11"/>
  <c r="DN76" i="11"/>
  <c r="DN75" i="11"/>
  <c r="DN48" i="11"/>
  <c r="DN47" i="11"/>
  <c r="DN46" i="11"/>
  <c r="DN45" i="11"/>
  <c r="DN44" i="11"/>
  <c r="DN43" i="11"/>
  <c r="DN42" i="11"/>
  <c r="DN41" i="11"/>
  <c r="DN40" i="11"/>
  <c r="DN39" i="11"/>
  <c r="DN38" i="11"/>
  <c r="DN37" i="11"/>
  <c r="DN36" i="11"/>
  <c r="DN35" i="11"/>
  <c r="DN34" i="11"/>
  <c r="DN33" i="11"/>
  <c r="DN32" i="11"/>
  <c r="DN31" i="11"/>
  <c r="DN30" i="11"/>
  <c r="DN29" i="11"/>
  <c r="DN28" i="11"/>
  <c r="DI261" i="11"/>
  <c r="DI260" i="11"/>
  <c r="DI259" i="11"/>
  <c r="DI258" i="11"/>
  <c r="DI257" i="11"/>
  <c r="DI256" i="11"/>
  <c r="DI255" i="11"/>
  <c r="DI254" i="11"/>
  <c r="DI246" i="11"/>
  <c r="DI245" i="11"/>
  <c r="DI244" i="11"/>
  <c r="DI243" i="11"/>
  <c r="DI223" i="11"/>
  <c r="DI222" i="11"/>
  <c r="DI221" i="11"/>
  <c r="DI220" i="11"/>
  <c r="DI215" i="11"/>
  <c r="DI214" i="11"/>
  <c r="DI213" i="11"/>
  <c r="DI212" i="11"/>
  <c r="DI211" i="11"/>
  <c r="DI210" i="11"/>
  <c r="DI209" i="11"/>
  <c r="DI208" i="11"/>
  <c r="DI207" i="11"/>
  <c r="DI206" i="11"/>
  <c r="DI205" i="11"/>
  <c r="DI204" i="11"/>
  <c r="DI189" i="11"/>
  <c r="DI188" i="11"/>
  <c r="DI187" i="11"/>
  <c r="DI186" i="11"/>
  <c r="DI155" i="11"/>
  <c r="DI154" i="11"/>
  <c r="DI153" i="11"/>
  <c r="DI152" i="11"/>
  <c r="DI143" i="11"/>
  <c r="DI61" i="11"/>
  <c r="DI60" i="11"/>
  <c r="DI59" i="11"/>
  <c r="DI58" i="11"/>
  <c r="DI57" i="11"/>
  <c r="DI56" i="11"/>
  <c r="DI54" i="11"/>
  <c r="DI53" i="11"/>
  <c r="DI52" i="11"/>
  <c r="DI48" i="11"/>
  <c r="DI47" i="11"/>
  <c r="DI46" i="11"/>
  <c r="DI45" i="11"/>
  <c r="DI44" i="11"/>
  <c r="DI43" i="11"/>
  <c r="DI42" i="11"/>
  <c r="DI41" i="11"/>
  <c r="DI40" i="11"/>
  <c r="DI39" i="11"/>
  <c r="DI38" i="11"/>
  <c r="DI37" i="11"/>
  <c r="DI36" i="11"/>
  <c r="DI35" i="11"/>
  <c r="DI34" i="11"/>
  <c r="DI33" i="11"/>
  <c r="DI32" i="11"/>
  <c r="DI31" i="11"/>
  <c r="DI30" i="11"/>
  <c r="DI29" i="11"/>
  <c r="DI28" i="11"/>
  <c r="DI21" i="11"/>
  <c r="DI20" i="11"/>
  <c r="DI19" i="11"/>
  <c r="DI18" i="11"/>
  <c r="DI17" i="11"/>
  <c r="DI16" i="11"/>
  <c r="DI15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8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L78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2" i="11"/>
  <c r="O201" i="11"/>
  <c r="O200" i="11"/>
  <c r="O184" i="11"/>
  <c r="O108" i="11"/>
  <c r="O107" i="11"/>
  <c r="O21" i="11"/>
  <c r="O20" i="11"/>
  <c r="O19" i="11"/>
  <c r="O18" i="11"/>
  <c r="O17" i="11"/>
  <c r="O16" i="11"/>
  <c r="O15" i="11"/>
  <c r="JJ78" i="11" l="1"/>
  <c r="O261" i="11" l="1"/>
  <c r="O260" i="11"/>
  <c r="O259" i="11"/>
  <c r="O258" i="11"/>
  <c r="O257" i="11"/>
  <c r="O256" i="11"/>
  <c r="O255" i="11"/>
  <c r="O254" i="11"/>
  <c r="O223" i="11"/>
  <c r="O222" i="11"/>
  <c r="O221" i="11"/>
  <c r="O220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8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DA78" i="11"/>
  <c r="CZ238" i="11"/>
  <c r="CZ237" i="11"/>
  <c r="CZ236" i="11"/>
  <c r="CZ235" i="11"/>
  <c r="CZ223" i="11"/>
  <c r="CZ222" i="11"/>
  <c r="CZ221" i="11"/>
  <c r="CZ220" i="11"/>
  <c r="CZ180" i="11"/>
  <c r="CZ179" i="11"/>
  <c r="CZ162" i="11"/>
  <c r="CZ161" i="11"/>
  <c r="CZ160" i="11"/>
  <c r="CZ159" i="11"/>
  <c r="CZ158" i="11"/>
  <c r="CZ157" i="11"/>
  <c r="CZ78" i="11"/>
  <c r="CZ48" i="11"/>
  <c r="CZ47" i="11"/>
  <c r="CZ46" i="11"/>
  <c r="CZ45" i="11"/>
  <c r="CZ44" i="11"/>
  <c r="CZ43" i="11"/>
  <c r="CZ42" i="11"/>
  <c r="CZ41" i="11"/>
  <c r="CZ40" i="11"/>
  <c r="CZ39" i="11"/>
  <c r="CZ38" i="11"/>
  <c r="CZ37" i="11"/>
  <c r="CZ36" i="11"/>
  <c r="CZ35" i="11"/>
  <c r="CZ34" i="11"/>
  <c r="CZ33" i="11"/>
  <c r="CZ32" i="11"/>
  <c r="CZ31" i="11"/>
  <c r="CZ30" i="11"/>
  <c r="CZ29" i="11"/>
  <c r="CZ28" i="11"/>
  <c r="CZ26" i="11"/>
  <c r="CZ25" i="11"/>
  <c r="CZ24" i="11"/>
  <c r="CZ23" i="11"/>
  <c r="CZ21" i="11"/>
  <c r="CZ20" i="11"/>
  <c r="CZ19" i="11"/>
  <c r="CZ18" i="11"/>
  <c r="CZ17" i="11"/>
  <c r="CZ16" i="11"/>
  <c r="CZ15" i="11"/>
  <c r="MG126" i="11"/>
  <c r="MG125" i="11"/>
  <c r="MG124" i="11"/>
  <c r="MG123" i="11"/>
  <c r="MG122" i="11"/>
  <c r="MG121" i="11"/>
  <c r="MG120" i="11"/>
  <c r="MG119" i="11"/>
  <c r="MG118" i="11"/>
  <c r="MG117" i="11"/>
  <c r="MG116" i="11"/>
  <c r="MG115" i="11"/>
  <c r="MG114" i="11"/>
  <c r="MG113" i="11"/>
  <c r="MG112" i="11"/>
  <c r="MG111" i="11"/>
  <c r="MG110" i="11"/>
  <c r="MG105" i="11"/>
  <c r="MG104" i="11"/>
  <c r="MG103" i="11"/>
  <c r="MG102" i="11"/>
  <c r="MG101" i="11"/>
  <c r="MG100" i="11"/>
  <c r="MG99" i="11"/>
  <c r="MG98" i="11"/>
  <c r="MG97" i="11"/>
  <c r="MG96" i="11"/>
  <c r="MG95" i="11"/>
  <c r="MG94" i="11"/>
  <c r="MG93" i="11"/>
  <c r="MG92" i="11"/>
  <c r="MG91" i="11"/>
  <c r="MG90" i="11"/>
  <c r="MG89" i="11"/>
  <c r="MG88" i="11"/>
  <c r="MG87" i="11"/>
  <c r="MG86" i="11"/>
  <c r="MG85" i="11"/>
  <c r="MG84" i="11"/>
  <c r="MG83" i="11"/>
  <c r="MG82" i="11"/>
  <c r="MG81" i="11"/>
  <c r="MG80" i="11"/>
  <c r="MG78" i="11"/>
  <c r="MG48" i="11"/>
  <c r="MG47" i="11"/>
  <c r="MG46" i="11"/>
  <c r="MG45" i="11"/>
  <c r="MG44" i="11"/>
  <c r="MG43" i="11"/>
  <c r="MG42" i="11"/>
  <c r="MG41" i="11"/>
  <c r="MG40" i="11"/>
  <c r="MG39" i="11"/>
  <c r="MG38" i="11"/>
  <c r="MG37" i="11"/>
  <c r="MG36" i="11"/>
  <c r="MG35" i="11"/>
  <c r="MG34" i="11"/>
  <c r="MG33" i="11"/>
  <c r="MG32" i="11"/>
  <c r="MG31" i="11"/>
  <c r="MG30" i="11"/>
  <c r="MG29" i="11"/>
  <c r="MG28" i="11"/>
  <c r="LF78" i="11"/>
  <c r="LS78" i="11"/>
  <c r="LG78" i="11"/>
  <c r="LE78" i="11"/>
  <c r="BV263" i="11"/>
  <c r="IJ241" i="11"/>
  <c r="IJ240" i="11"/>
  <c r="FD233" i="11"/>
  <c r="FD231" i="11"/>
  <c r="FD230" i="11"/>
  <c r="EL192" i="11"/>
  <c r="EL191" i="11"/>
  <c r="EQ192" i="11"/>
  <c r="EQ191" i="11"/>
  <c r="HY192" i="11"/>
  <c r="HX192" i="11"/>
  <c r="HB192" i="11"/>
  <c r="FC192" i="11"/>
  <c r="EV192" i="11"/>
  <c r="DH192" i="11"/>
  <c r="DG192" i="11"/>
  <c r="DF192" i="11"/>
  <c r="DE192" i="11"/>
  <c r="CJ192" i="11"/>
  <c r="CA192" i="11"/>
  <c r="BZ192" i="11"/>
  <c r="BU192" i="11"/>
  <c r="BR192" i="11"/>
  <c r="BA192" i="11"/>
  <c r="AZ192" i="11"/>
  <c r="AW192" i="11"/>
  <c r="AV192" i="11"/>
  <c r="HY191" i="11"/>
  <c r="HX191" i="11"/>
  <c r="HB191" i="11"/>
  <c r="FC191" i="11"/>
  <c r="EV191" i="11"/>
  <c r="DH191" i="11"/>
  <c r="DG191" i="11"/>
  <c r="DF191" i="11"/>
  <c r="DE191" i="11"/>
  <c r="CJ191" i="11"/>
  <c r="CA191" i="11"/>
  <c r="BZ191" i="11"/>
  <c r="BU191" i="11"/>
  <c r="BR191" i="11"/>
  <c r="BA191" i="11"/>
  <c r="AZ191" i="11"/>
  <c r="AW191" i="11"/>
  <c r="AV191" i="11"/>
  <c r="HF289" i="11"/>
  <c r="HE289" i="11"/>
  <c r="HD289" i="11"/>
  <c r="HC289" i="11"/>
  <c r="EL165" i="11" l="1"/>
  <c r="EL164" i="11"/>
  <c r="EQ165" i="11"/>
  <c r="EQ164" i="11"/>
  <c r="HF165" i="11"/>
  <c r="HF164" i="11"/>
  <c r="HE165" i="11"/>
  <c r="HE164" i="11"/>
  <c r="HD165" i="11"/>
  <c r="HD164" i="11"/>
  <c r="HC165" i="11"/>
  <c r="HC164" i="11"/>
  <c r="BV148" i="11"/>
  <c r="BV147" i="11"/>
  <c r="BV146" i="11"/>
  <c r="BV145" i="11"/>
  <c r="HY148" i="11"/>
  <c r="HX148" i="11"/>
  <c r="HB148" i="11"/>
  <c r="FC148" i="11"/>
  <c r="EV148" i="11"/>
  <c r="DH148" i="11"/>
  <c r="DG148" i="11"/>
  <c r="DF148" i="11"/>
  <c r="DE148" i="11"/>
  <c r="CJ148" i="11"/>
  <c r="CA148" i="11"/>
  <c r="BZ148" i="11"/>
  <c r="BU148" i="11"/>
  <c r="BR148" i="11"/>
  <c r="BA148" i="11"/>
  <c r="AZ148" i="11"/>
  <c r="AW148" i="11"/>
  <c r="AV148" i="11"/>
  <c r="HY147" i="11"/>
  <c r="HX147" i="11"/>
  <c r="HB147" i="11"/>
  <c r="FC147" i="11"/>
  <c r="EV147" i="11"/>
  <c r="DH147" i="11"/>
  <c r="DG147" i="11"/>
  <c r="DF147" i="11"/>
  <c r="DE147" i="11"/>
  <c r="CJ147" i="11"/>
  <c r="CA147" i="11"/>
  <c r="BZ147" i="11"/>
  <c r="BU147" i="11"/>
  <c r="BR147" i="11"/>
  <c r="BA147" i="11"/>
  <c r="AZ147" i="11"/>
  <c r="AW147" i="11"/>
  <c r="AV147" i="11"/>
  <c r="HY146" i="11"/>
  <c r="HX146" i="11"/>
  <c r="HB146" i="11"/>
  <c r="FC146" i="11"/>
  <c r="EV146" i="11"/>
  <c r="DH146" i="11"/>
  <c r="DG146" i="11"/>
  <c r="DF146" i="11"/>
  <c r="DE146" i="11"/>
  <c r="CJ146" i="11"/>
  <c r="CA146" i="11"/>
  <c r="BZ146" i="11"/>
  <c r="BU146" i="11"/>
  <c r="BR146" i="11"/>
  <c r="BA146" i="11"/>
  <c r="AZ146" i="11"/>
  <c r="AW146" i="11"/>
  <c r="AV146" i="11"/>
  <c r="HY145" i="11"/>
  <c r="HX145" i="11"/>
  <c r="HB145" i="11"/>
  <c r="FC145" i="11"/>
  <c r="EV145" i="11"/>
  <c r="DH145" i="11"/>
  <c r="DG145" i="11"/>
  <c r="DF145" i="11"/>
  <c r="DE145" i="11"/>
  <c r="CJ145" i="11"/>
  <c r="CA145" i="11"/>
  <c r="BZ145" i="11"/>
  <c r="BU145" i="11"/>
  <c r="BR145" i="11"/>
  <c r="BA145" i="11"/>
  <c r="AZ145" i="11"/>
  <c r="AW145" i="11"/>
  <c r="AV145" i="11"/>
  <c r="DZ138" i="11"/>
  <c r="HY138" i="11"/>
  <c r="HX138" i="11"/>
  <c r="HB138" i="11"/>
  <c r="FC138" i="11"/>
  <c r="EV138" i="11"/>
  <c r="DH138" i="11"/>
  <c r="DG138" i="11"/>
  <c r="DF138" i="11"/>
  <c r="DE138" i="11"/>
  <c r="CJ138" i="11"/>
  <c r="CA138" i="11"/>
  <c r="BZ138" i="11"/>
  <c r="BU138" i="11"/>
  <c r="BR138" i="11"/>
  <c r="BA138" i="11"/>
  <c r="AZ138" i="11"/>
  <c r="AW138" i="11"/>
  <c r="AV138" i="11"/>
  <c r="IX136" i="11"/>
  <c r="EL136" i="11"/>
  <c r="EQ136" i="11"/>
  <c r="HY136" i="11"/>
  <c r="HX136" i="11"/>
  <c r="HB136" i="11"/>
  <c r="FC136" i="11"/>
  <c r="EV136" i="11"/>
  <c r="DH136" i="11"/>
  <c r="DG136" i="11"/>
  <c r="DF136" i="11"/>
  <c r="DE136" i="11"/>
  <c r="CJ136" i="11"/>
  <c r="CA136" i="11"/>
  <c r="BZ136" i="11"/>
  <c r="BU136" i="11"/>
  <c r="BR136" i="11"/>
  <c r="BA136" i="11"/>
  <c r="AZ136" i="11"/>
  <c r="AW136" i="11"/>
  <c r="AV136" i="11"/>
  <c r="AV140" i="11"/>
  <c r="AW140" i="11"/>
  <c r="AZ140" i="11"/>
  <c r="BA140" i="11"/>
  <c r="BR140" i="11"/>
  <c r="BU140" i="11"/>
  <c r="BV140" i="11"/>
  <c r="BZ140" i="11"/>
  <c r="CA140" i="11"/>
  <c r="CI140" i="11"/>
  <c r="CJ140" i="11"/>
  <c r="DE140" i="11"/>
  <c r="DF140" i="11"/>
  <c r="DG140" i="11"/>
  <c r="DH140" i="11"/>
  <c r="DR140" i="11"/>
  <c r="DS140" i="11"/>
  <c r="DU140" i="11"/>
  <c r="DZ140" i="11"/>
  <c r="EL140" i="11"/>
  <c r="EO140" i="11"/>
  <c r="EP140" i="11"/>
  <c r="EQ140" i="11"/>
  <c r="EV140" i="11"/>
  <c r="FC140" i="11"/>
  <c r="FD140" i="11"/>
  <c r="FK140" i="11"/>
  <c r="GC140" i="11"/>
  <c r="HB140" i="11"/>
  <c r="HW140" i="11"/>
  <c r="HX140" i="11"/>
  <c r="HY140" i="11"/>
  <c r="IH140" i="11"/>
  <c r="IJ140" i="11"/>
  <c r="IP140" i="11"/>
  <c r="IM140" i="11"/>
  <c r="BV134" i="11"/>
  <c r="EL128" i="11"/>
  <c r="EQ128" i="11"/>
  <c r="HY128" i="11"/>
  <c r="HX128" i="11"/>
  <c r="HB128" i="11"/>
  <c r="FC128" i="11"/>
  <c r="EV128" i="11"/>
  <c r="DH128" i="11"/>
  <c r="DG128" i="11"/>
  <c r="DF128" i="11"/>
  <c r="DE128" i="11"/>
  <c r="CJ128" i="11"/>
  <c r="CA128" i="11"/>
  <c r="BZ128" i="11"/>
  <c r="BU128" i="11"/>
  <c r="BR128" i="11"/>
  <c r="BA128" i="11"/>
  <c r="AZ128" i="11"/>
  <c r="AW128" i="11"/>
  <c r="AV128" i="11"/>
  <c r="EL64" i="11"/>
  <c r="EL63" i="11"/>
  <c r="EQ64" i="11"/>
  <c r="EQ63" i="11"/>
  <c r="HY64" i="11"/>
  <c r="HX64" i="11"/>
  <c r="HB64" i="11"/>
  <c r="FC64" i="11"/>
  <c r="EV64" i="11"/>
  <c r="DH64" i="11"/>
  <c r="DG64" i="11"/>
  <c r="DF64" i="11"/>
  <c r="DE64" i="11"/>
  <c r="CJ64" i="11"/>
  <c r="CA64" i="11"/>
  <c r="BZ64" i="11"/>
  <c r="BU64" i="11"/>
  <c r="BR64" i="11"/>
  <c r="BA64" i="11"/>
  <c r="AZ64" i="11"/>
  <c r="AW64" i="11"/>
  <c r="AV64" i="11"/>
  <c r="HY63" i="11"/>
  <c r="HX63" i="11"/>
  <c r="HB63" i="11"/>
  <c r="FC63" i="11"/>
  <c r="EV63" i="11"/>
  <c r="DH63" i="11"/>
  <c r="DG63" i="11"/>
  <c r="DF63" i="11"/>
  <c r="DE63" i="11"/>
  <c r="CJ63" i="11"/>
  <c r="CA63" i="11"/>
  <c r="BZ63" i="11"/>
  <c r="BU63" i="11"/>
  <c r="BR63" i="11"/>
  <c r="BA63" i="11"/>
  <c r="AZ63" i="11"/>
  <c r="AW63" i="11"/>
  <c r="AV63" i="11"/>
  <c r="HY289" i="11"/>
  <c r="HX289" i="11"/>
  <c r="HB289" i="11"/>
  <c r="FC289" i="11"/>
  <c r="EV289" i="11"/>
  <c r="DH289" i="11"/>
  <c r="DG289" i="11"/>
  <c r="DF289" i="11"/>
  <c r="DE289" i="11"/>
  <c r="CJ289" i="11"/>
  <c r="CA289" i="11"/>
  <c r="BZ289" i="11"/>
  <c r="BU289" i="11"/>
  <c r="BR289" i="11"/>
  <c r="BA289" i="11"/>
  <c r="AZ289" i="11"/>
  <c r="AW289" i="11"/>
  <c r="AV289" i="11"/>
  <c r="HY134" i="11"/>
  <c r="HX134" i="11"/>
  <c r="HB134" i="11"/>
  <c r="FC134" i="11"/>
  <c r="EV134" i="11"/>
  <c r="DH134" i="11"/>
  <c r="DG134" i="11"/>
  <c r="DF134" i="11"/>
  <c r="DE134" i="11"/>
  <c r="CJ134" i="11"/>
  <c r="CA134" i="11"/>
  <c r="BZ134" i="11"/>
  <c r="BU134" i="11"/>
  <c r="BR134" i="11"/>
  <c r="BA134" i="11"/>
  <c r="AZ134" i="11"/>
  <c r="AW134" i="11"/>
  <c r="AV134" i="11"/>
  <c r="KC160" i="11"/>
  <c r="KA160" i="11"/>
  <c r="IU160" i="11"/>
  <c r="IK160" i="11"/>
  <c r="IP160" i="11"/>
  <c r="HY160" i="11"/>
  <c r="HX160" i="11"/>
  <c r="HF160" i="11"/>
  <c r="HE160" i="11"/>
  <c r="HD160" i="11"/>
  <c r="HC160" i="11"/>
  <c r="HB160" i="11"/>
  <c r="GL160" i="11"/>
  <c r="FV160" i="11"/>
  <c r="FU160" i="11"/>
  <c r="FT160" i="11"/>
  <c r="FS160" i="11"/>
  <c r="FR160" i="11"/>
  <c r="FQ160" i="11"/>
  <c r="FO160" i="11"/>
  <c r="FM160" i="11"/>
  <c r="FK160" i="11"/>
  <c r="FJ160" i="11"/>
  <c r="FI160" i="11"/>
  <c r="FD160" i="11"/>
  <c r="FC160" i="11"/>
  <c r="EY160" i="11"/>
  <c r="EV160" i="11"/>
  <c r="EQ160" i="11"/>
  <c r="EP160" i="11"/>
  <c r="EO160" i="11"/>
  <c r="EL160" i="11"/>
  <c r="DS160" i="11"/>
  <c r="DR160" i="11"/>
  <c r="DH160" i="11"/>
  <c r="DG160" i="11"/>
  <c r="DF160" i="11"/>
  <c r="DE160" i="11"/>
  <c r="CJ160" i="11"/>
  <c r="CF160" i="11"/>
  <c r="CA160" i="11"/>
  <c r="BZ160" i="11"/>
  <c r="BU160" i="11"/>
  <c r="BR160" i="11"/>
  <c r="BL160" i="11"/>
  <c r="BG160" i="11"/>
  <c r="BA160" i="11"/>
  <c r="AZ160" i="11"/>
  <c r="AX160" i="11"/>
  <c r="AW160" i="11"/>
  <c r="AV160" i="11"/>
  <c r="AK160" i="11"/>
  <c r="AJ160" i="11"/>
  <c r="KC158" i="11"/>
  <c r="KA158" i="11"/>
  <c r="IU158" i="11"/>
  <c r="IK158" i="11"/>
  <c r="IP158" i="11"/>
  <c r="HY158" i="11"/>
  <c r="HX158" i="11"/>
  <c r="HF158" i="11"/>
  <c r="HE158" i="11"/>
  <c r="HD158" i="11"/>
  <c r="HC158" i="11"/>
  <c r="HB158" i="11"/>
  <c r="GL158" i="11"/>
  <c r="FV158" i="11"/>
  <c r="FU158" i="11"/>
  <c r="FT158" i="11"/>
  <c r="FS158" i="11"/>
  <c r="FR158" i="11"/>
  <c r="FQ158" i="11"/>
  <c r="FO158" i="11"/>
  <c r="FM158" i="11"/>
  <c r="FK158" i="11"/>
  <c r="FJ158" i="11"/>
  <c r="FI158" i="11"/>
  <c r="FD158" i="11"/>
  <c r="FC158" i="11"/>
  <c r="EY158" i="11"/>
  <c r="EV158" i="11"/>
  <c r="EQ158" i="11"/>
  <c r="EP158" i="11"/>
  <c r="EO158" i="11"/>
  <c r="EL158" i="11"/>
  <c r="DS158" i="11"/>
  <c r="DR158" i="11"/>
  <c r="DH158" i="11"/>
  <c r="DG158" i="11"/>
  <c r="DF158" i="11"/>
  <c r="DE158" i="11"/>
  <c r="CJ158" i="11"/>
  <c r="CF158" i="11"/>
  <c r="CA158" i="11"/>
  <c r="BZ158" i="11"/>
  <c r="BU158" i="11"/>
  <c r="BR158" i="11"/>
  <c r="BL158" i="11"/>
  <c r="BG158" i="11"/>
  <c r="BA158" i="11"/>
  <c r="AZ158" i="11"/>
  <c r="AX158" i="11"/>
  <c r="AW158" i="11"/>
  <c r="AV158" i="11"/>
  <c r="AK158" i="11"/>
  <c r="AJ158" i="11"/>
  <c r="HY165" i="11"/>
  <c r="HX165" i="11"/>
  <c r="HB165" i="11"/>
  <c r="FC165" i="11"/>
  <c r="EV165" i="11"/>
  <c r="DH165" i="11"/>
  <c r="DG165" i="11"/>
  <c r="DF165" i="11"/>
  <c r="DE165" i="11"/>
  <c r="CJ165" i="11"/>
  <c r="CA165" i="11"/>
  <c r="BZ165" i="11"/>
  <c r="BU165" i="11"/>
  <c r="BR165" i="11"/>
  <c r="BA165" i="11"/>
  <c r="AZ165" i="11"/>
  <c r="AW165" i="11"/>
  <c r="AV165" i="11"/>
  <c r="HY164" i="11"/>
  <c r="HX164" i="11"/>
  <c r="HB164" i="11"/>
  <c r="FC164" i="11"/>
  <c r="EV164" i="11"/>
  <c r="DH164" i="11"/>
  <c r="DG164" i="11"/>
  <c r="DF164" i="11"/>
  <c r="DE164" i="11"/>
  <c r="CJ164" i="11"/>
  <c r="CA164" i="11"/>
  <c r="BZ164" i="11"/>
  <c r="BU164" i="11"/>
  <c r="BR164" i="11"/>
  <c r="BA164" i="11"/>
  <c r="AZ164" i="11"/>
  <c r="AW164" i="11"/>
  <c r="AV164" i="11"/>
  <c r="HY276" i="11" l="1"/>
  <c r="HX276" i="11"/>
  <c r="HY275" i="11"/>
  <c r="HX275" i="11"/>
  <c r="HY274" i="11"/>
  <c r="HX274" i="11"/>
  <c r="HY273" i="11"/>
  <c r="HX273" i="11"/>
  <c r="HY263" i="11"/>
  <c r="HX263" i="11"/>
  <c r="HY252" i="11"/>
  <c r="HX252" i="11"/>
  <c r="HY251" i="11"/>
  <c r="HX251" i="11"/>
  <c r="HY246" i="11"/>
  <c r="HX246" i="11"/>
  <c r="HY245" i="11"/>
  <c r="HX245" i="11"/>
  <c r="HY244" i="11"/>
  <c r="HX244" i="11"/>
  <c r="HY243" i="11"/>
  <c r="HX243" i="11"/>
  <c r="HY233" i="11"/>
  <c r="HX233" i="11"/>
  <c r="HY231" i="11"/>
  <c r="HX231" i="11"/>
  <c r="HY230" i="11"/>
  <c r="HX230" i="11"/>
  <c r="HB276" i="11"/>
  <c r="HB275" i="11"/>
  <c r="HB274" i="11"/>
  <c r="HB273" i="11"/>
  <c r="HB263" i="11"/>
  <c r="HB252" i="11"/>
  <c r="HB251" i="11"/>
  <c r="HB246" i="11"/>
  <c r="HB245" i="11"/>
  <c r="HB244" i="11"/>
  <c r="HB243" i="11"/>
  <c r="HB233" i="11"/>
  <c r="HB231" i="11"/>
  <c r="HB230" i="11"/>
  <c r="FC276" i="11"/>
  <c r="FC275" i="11"/>
  <c r="FC274" i="11"/>
  <c r="FC273" i="11"/>
  <c r="FC263" i="11"/>
  <c r="FC252" i="11"/>
  <c r="FC251" i="11"/>
  <c r="FC246" i="11"/>
  <c r="FC245" i="11"/>
  <c r="FC244" i="11"/>
  <c r="FC243" i="11"/>
  <c r="FC233" i="11"/>
  <c r="FC231" i="11"/>
  <c r="FC230" i="11"/>
  <c r="EV276" i="11"/>
  <c r="EV275" i="11"/>
  <c r="EV274" i="11"/>
  <c r="EV273" i="11"/>
  <c r="EV263" i="11"/>
  <c r="EV252" i="11"/>
  <c r="EV251" i="11"/>
  <c r="EV246" i="11"/>
  <c r="EV245" i="11"/>
  <c r="EV244" i="11"/>
  <c r="EV243" i="11"/>
  <c r="EV233" i="11"/>
  <c r="EV231" i="11"/>
  <c r="EV230" i="11"/>
  <c r="DH276" i="11"/>
  <c r="DG276" i="11"/>
  <c r="DF276" i="11"/>
  <c r="DE276" i="11"/>
  <c r="DH275" i="11"/>
  <c r="DG275" i="11"/>
  <c r="DF275" i="11"/>
  <c r="DE275" i="11"/>
  <c r="DH274" i="11"/>
  <c r="DG274" i="11"/>
  <c r="DF274" i="11"/>
  <c r="DE274" i="11"/>
  <c r="DH273" i="11"/>
  <c r="DG273" i="11"/>
  <c r="DF273" i="11"/>
  <c r="DE273" i="11"/>
  <c r="DH263" i="11"/>
  <c r="DG263" i="11"/>
  <c r="DF263" i="11"/>
  <c r="DE263" i="11"/>
  <c r="DH252" i="11"/>
  <c r="DG252" i="11"/>
  <c r="DF252" i="11"/>
  <c r="DE252" i="11"/>
  <c r="DH251" i="11"/>
  <c r="DG251" i="11"/>
  <c r="DF251" i="11"/>
  <c r="DE251" i="11"/>
  <c r="DH246" i="11"/>
  <c r="DG246" i="11"/>
  <c r="DF246" i="11"/>
  <c r="DE246" i="11"/>
  <c r="DH245" i="11"/>
  <c r="DG245" i="11"/>
  <c r="DF245" i="11"/>
  <c r="DE245" i="11"/>
  <c r="DH244" i="11"/>
  <c r="DG244" i="11"/>
  <c r="DF244" i="11"/>
  <c r="DE244" i="11"/>
  <c r="DH243" i="11"/>
  <c r="DG243" i="11"/>
  <c r="DF243" i="11"/>
  <c r="DE243" i="11"/>
  <c r="DH233" i="11"/>
  <c r="DG233" i="11"/>
  <c r="DF233" i="11"/>
  <c r="DE233" i="11"/>
  <c r="DH231" i="11"/>
  <c r="DG231" i="11"/>
  <c r="DF231" i="11"/>
  <c r="DE231" i="11"/>
  <c r="DH230" i="11"/>
  <c r="DG230" i="11"/>
  <c r="DF230" i="11"/>
  <c r="DE230" i="11"/>
  <c r="DE228" i="11"/>
  <c r="DF228" i="11"/>
  <c r="DG228" i="11"/>
  <c r="DH228" i="11"/>
  <c r="CJ276" i="11"/>
  <c r="CJ275" i="11"/>
  <c r="CJ274" i="11"/>
  <c r="CJ273" i="11"/>
  <c r="CJ263" i="11"/>
  <c r="CJ252" i="11"/>
  <c r="CJ251" i="11"/>
  <c r="CJ246" i="11"/>
  <c r="CJ245" i="11"/>
  <c r="CJ244" i="11"/>
  <c r="CJ243" i="11"/>
  <c r="CJ233" i="11"/>
  <c r="CJ231" i="11"/>
  <c r="CJ230" i="11"/>
  <c r="CA276" i="11"/>
  <c r="BZ276" i="11"/>
  <c r="CA275" i="11"/>
  <c r="BZ275" i="11"/>
  <c r="CA274" i="11"/>
  <c r="BZ274" i="11"/>
  <c r="CA273" i="11"/>
  <c r="BZ273" i="11"/>
  <c r="CA263" i="11"/>
  <c r="BZ263" i="11"/>
  <c r="CA252" i="11"/>
  <c r="BZ252" i="11"/>
  <c r="CA251" i="11"/>
  <c r="BZ251" i="11"/>
  <c r="CA246" i="11"/>
  <c r="BZ246" i="11"/>
  <c r="CA245" i="11"/>
  <c r="BZ245" i="11"/>
  <c r="CA244" i="11"/>
  <c r="BZ244" i="11"/>
  <c r="CA243" i="11"/>
  <c r="BZ243" i="11"/>
  <c r="CA233" i="11"/>
  <c r="BZ233" i="11"/>
  <c r="CA231" i="11"/>
  <c r="BZ231" i="11"/>
  <c r="CA230" i="11"/>
  <c r="BZ230" i="11"/>
  <c r="BU231" i="11"/>
  <c r="BU230" i="11"/>
  <c r="BU233" i="11"/>
  <c r="BU246" i="11"/>
  <c r="BU245" i="11"/>
  <c r="BU244" i="11"/>
  <c r="BU243" i="11"/>
  <c r="BU252" i="11"/>
  <c r="BU251" i="11"/>
  <c r="BU263" i="11"/>
  <c r="BU276" i="11"/>
  <c r="BU275" i="11"/>
  <c r="BU274" i="11"/>
  <c r="BU273" i="11"/>
  <c r="BR276" i="11"/>
  <c r="BR275" i="11"/>
  <c r="BR274" i="11"/>
  <c r="BR273" i="11"/>
  <c r="BR263" i="11"/>
  <c r="BR252" i="11"/>
  <c r="BR251" i="11"/>
  <c r="BR246" i="11"/>
  <c r="BR245" i="11"/>
  <c r="BR244" i="11"/>
  <c r="BR243" i="11"/>
  <c r="BR233" i="11"/>
  <c r="BR231" i="11"/>
  <c r="BR230" i="11"/>
  <c r="BA231" i="11"/>
  <c r="AZ231" i="11"/>
  <c r="BA230" i="11"/>
  <c r="AZ230" i="11"/>
  <c r="BA233" i="11"/>
  <c r="AZ233" i="11"/>
  <c r="BA246" i="11"/>
  <c r="AZ246" i="11"/>
  <c r="BA245" i="11"/>
  <c r="AZ245" i="11"/>
  <c r="BA244" i="11"/>
  <c r="AZ244" i="11"/>
  <c r="BA243" i="11"/>
  <c r="AZ243" i="11"/>
  <c r="BA252" i="11"/>
  <c r="AZ252" i="11"/>
  <c r="BA251" i="11"/>
  <c r="AZ251" i="11"/>
  <c r="BA263" i="11"/>
  <c r="AZ263" i="11"/>
  <c r="BA276" i="11"/>
  <c r="AZ276" i="11"/>
  <c r="BA275" i="11"/>
  <c r="AZ275" i="11"/>
  <c r="BA274" i="11"/>
  <c r="AZ274" i="11"/>
  <c r="BA273" i="11"/>
  <c r="AZ273" i="11"/>
  <c r="AW276" i="11"/>
  <c r="AV276" i="11"/>
  <c r="AW275" i="11"/>
  <c r="AV275" i="11"/>
  <c r="AW274" i="11"/>
  <c r="AV274" i="11"/>
  <c r="AW273" i="11"/>
  <c r="AV273" i="11"/>
  <c r="AW263" i="11"/>
  <c r="AV263" i="11"/>
  <c r="AW252" i="11"/>
  <c r="AV252" i="11"/>
  <c r="AW251" i="11"/>
  <c r="AV251" i="11"/>
  <c r="AW246" i="11"/>
  <c r="AV246" i="11"/>
  <c r="AW245" i="11"/>
  <c r="AV245" i="11"/>
  <c r="AW244" i="11"/>
  <c r="AV244" i="11"/>
  <c r="AW243" i="11"/>
  <c r="AV243" i="11"/>
  <c r="AW233" i="11"/>
  <c r="AV233" i="11"/>
  <c r="AW231" i="11"/>
  <c r="AV231" i="11"/>
  <c r="AW230" i="11"/>
  <c r="AV230" i="11"/>
  <c r="IX246" i="11"/>
  <c r="IX245" i="11"/>
  <c r="IX244" i="11"/>
  <c r="IX243" i="11"/>
  <c r="IP252" i="11"/>
  <c r="IP251" i="11"/>
  <c r="IJ252" i="11"/>
  <c r="IJ251" i="11"/>
  <c r="EB252" i="11"/>
  <c r="EB251" i="11"/>
  <c r="AK276" i="11"/>
  <c r="AK275" i="11"/>
  <c r="AK274" i="11"/>
  <c r="AK273" i="11"/>
  <c r="AJ276" i="11"/>
  <c r="AJ275" i="11"/>
  <c r="AJ274" i="11"/>
  <c r="AJ273" i="11"/>
  <c r="DT78" i="11"/>
  <c r="JI78" i="11"/>
  <c r="JJ108" i="11"/>
  <c r="JJ107" i="11"/>
  <c r="JJ105" i="11"/>
  <c r="JJ104" i="11"/>
  <c r="JJ103" i="11"/>
  <c r="JJ102" i="11"/>
  <c r="JJ101" i="11"/>
  <c r="JJ100" i="11"/>
  <c r="JJ99" i="11"/>
  <c r="JJ98" i="11"/>
  <c r="JJ97" i="11"/>
  <c r="JJ96" i="11"/>
  <c r="JJ95" i="11"/>
  <c r="JJ94" i="11"/>
  <c r="JJ93" i="11"/>
  <c r="JJ92" i="11"/>
  <c r="JJ91" i="11"/>
  <c r="JJ90" i="11"/>
  <c r="JJ89" i="11"/>
  <c r="JJ88" i="11"/>
  <c r="JJ87" i="11"/>
  <c r="JJ86" i="11"/>
  <c r="JJ85" i="11"/>
  <c r="JJ84" i="11"/>
  <c r="JJ83" i="11"/>
  <c r="JJ82" i="11"/>
  <c r="JJ81" i="11"/>
  <c r="JJ80" i="11"/>
  <c r="JJ48" i="11"/>
  <c r="JJ47" i="11"/>
  <c r="JJ46" i="11"/>
  <c r="JJ45" i="11"/>
  <c r="JJ44" i="11"/>
  <c r="JJ43" i="11"/>
  <c r="JJ42" i="11"/>
  <c r="JJ41" i="11"/>
  <c r="JJ40" i="11"/>
  <c r="JJ39" i="11"/>
  <c r="JJ38" i="11"/>
  <c r="JJ37" i="11"/>
  <c r="JJ36" i="11"/>
  <c r="JJ35" i="11"/>
  <c r="JJ34" i="11"/>
  <c r="JJ33" i="11"/>
  <c r="JJ32" i="11"/>
  <c r="JJ31" i="11"/>
  <c r="JJ30" i="11"/>
  <c r="JJ29" i="11"/>
  <c r="JJ28" i="11"/>
  <c r="LM78" i="11"/>
  <c r="CN78" i="11"/>
  <c r="CM78" i="11"/>
  <c r="CG261" i="11"/>
  <c r="CG260" i="11"/>
  <c r="CG259" i="11"/>
  <c r="CG258" i="11"/>
  <c r="CG257" i="11"/>
  <c r="CG256" i="11"/>
  <c r="CG255" i="11"/>
  <c r="CG254" i="11"/>
  <c r="CG241" i="11"/>
  <c r="CG240" i="11"/>
  <c r="CG223" i="11"/>
  <c r="CG222" i="11"/>
  <c r="CG221" i="11"/>
  <c r="CG220" i="11"/>
  <c r="CG215" i="11"/>
  <c r="CG214" i="11"/>
  <c r="CG213" i="11"/>
  <c r="CG212" i="11"/>
  <c r="CG211" i="11"/>
  <c r="CG210" i="11"/>
  <c r="CG209" i="11"/>
  <c r="CG208" i="11"/>
  <c r="CG207" i="11"/>
  <c r="CG206" i="11"/>
  <c r="CG205" i="11"/>
  <c r="CG204" i="11"/>
  <c r="CG184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8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DS261" i="11"/>
  <c r="DS260" i="11"/>
  <c r="DS259" i="11"/>
  <c r="DS258" i="11"/>
  <c r="DS257" i="11"/>
  <c r="DS256" i="11"/>
  <c r="DS255" i="11"/>
  <c r="DS254" i="11"/>
  <c r="DS241" i="11"/>
  <c r="DS240" i="11"/>
  <c r="DS223" i="11"/>
  <c r="DS222" i="11"/>
  <c r="DS221" i="11"/>
  <c r="DS220" i="11"/>
  <c r="DS215" i="11"/>
  <c r="DS214" i="11"/>
  <c r="DS213" i="11"/>
  <c r="DS212" i="11"/>
  <c r="DS211" i="11"/>
  <c r="DS210" i="11"/>
  <c r="DS209" i="11"/>
  <c r="DS208" i="11"/>
  <c r="DS207" i="11"/>
  <c r="DS206" i="11"/>
  <c r="DS205" i="11"/>
  <c r="DS204" i="11"/>
  <c r="DS202" i="11"/>
  <c r="DS201" i="11"/>
  <c r="DS200" i="11"/>
  <c r="DS198" i="11"/>
  <c r="DS197" i="11"/>
  <c r="DS196" i="11"/>
  <c r="DS195" i="11"/>
  <c r="DS194" i="11"/>
  <c r="DS189" i="11"/>
  <c r="DS188" i="11"/>
  <c r="DS187" i="11"/>
  <c r="DS186" i="11"/>
  <c r="DS184" i="11"/>
  <c r="DS182" i="11"/>
  <c r="DS162" i="11"/>
  <c r="DS161" i="11"/>
  <c r="DS159" i="11"/>
  <c r="DS157" i="11"/>
  <c r="DS155" i="11"/>
  <c r="DS154" i="11"/>
  <c r="DS153" i="11"/>
  <c r="DS152" i="11"/>
  <c r="DS141" i="11"/>
  <c r="DS132" i="11"/>
  <c r="DS131" i="11"/>
  <c r="DS130" i="11"/>
  <c r="DS126" i="11"/>
  <c r="DS125" i="11"/>
  <c r="DS124" i="11"/>
  <c r="DS123" i="11"/>
  <c r="DS122" i="11"/>
  <c r="DS121" i="11"/>
  <c r="DS120" i="11"/>
  <c r="DS119" i="11"/>
  <c r="DS118" i="11"/>
  <c r="DS117" i="11"/>
  <c r="DS116" i="11"/>
  <c r="DS115" i="11"/>
  <c r="DS114" i="11"/>
  <c r="DS113" i="11"/>
  <c r="DS112" i="11"/>
  <c r="DS111" i="11"/>
  <c r="DS110" i="11"/>
  <c r="DS105" i="11"/>
  <c r="DS104" i="11"/>
  <c r="DS103" i="11"/>
  <c r="DS102" i="11"/>
  <c r="DS101" i="11"/>
  <c r="DS100" i="11"/>
  <c r="DS99" i="11"/>
  <c r="DS98" i="11"/>
  <c r="DS97" i="11"/>
  <c r="DS96" i="11"/>
  <c r="DS95" i="11"/>
  <c r="DS94" i="11"/>
  <c r="DS93" i="11"/>
  <c r="DS92" i="11"/>
  <c r="DS91" i="11"/>
  <c r="DS90" i="11"/>
  <c r="DS89" i="11"/>
  <c r="DS88" i="11"/>
  <c r="DS87" i="11"/>
  <c r="DS86" i="11"/>
  <c r="DS85" i="11"/>
  <c r="DS84" i="11"/>
  <c r="DS83" i="11"/>
  <c r="DS82" i="11"/>
  <c r="DS81" i="11"/>
  <c r="DS80" i="11"/>
  <c r="DS78" i="11"/>
  <c r="DS61" i="11"/>
  <c r="DS60" i="11"/>
  <c r="DS59" i="11"/>
  <c r="DS58" i="11"/>
  <c r="DS57" i="11"/>
  <c r="DS56" i="11"/>
  <c r="DS54" i="11"/>
  <c r="DS53" i="11"/>
  <c r="DS52" i="11"/>
  <c r="DS48" i="11"/>
  <c r="DS47" i="11"/>
  <c r="DS46" i="11"/>
  <c r="DS45" i="11"/>
  <c r="DS44" i="11"/>
  <c r="DS43" i="11"/>
  <c r="DS42" i="11"/>
  <c r="DS41" i="11"/>
  <c r="DS40" i="11"/>
  <c r="DS39" i="11"/>
  <c r="DS38" i="11"/>
  <c r="DS37" i="11"/>
  <c r="DS36" i="11"/>
  <c r="DS35" i="11"/>
  <c r="DS34" i="11"/>
  <c r="DS33" i="11"/>
  <c r="DS32" i="11"/>
  <c r="DS31" i="11"/>
  <c r="DS30" i="11"/>
  <c r="DS29" i="11"/>
  <c r="DS28" i="11"/>
  <c r="DS21" i="11"/>
  <c r="DS20" i="11"/>
  <c r="DS19" i="11"/>
  <c r="DS18" i="11"/>
  <c r="DS17" i="11"/>
  <c r="DS16" i="11"/>
  <c r="DS15" i="11"/>
  <c r="DR261" i="11" l="1"/>
  <c r="DR260" i="11"/>
  <c r="DR259" i="11"/>
  <c r="DR258" i="11"/>
  <c r="DR257" i="11"/>
  <c r="DR256" i="11"/>
  <c r="DR255" i="11"/>
  <c r="DR254" i="11"/>
  <c r="DR241" i="11"/>
  <c r="DR240" i="11"/>
  <c r="DR223" i="11"/>
  <c r="DR222" i="11"/>
  <c r="DR221" i="11"/>
  <c r="DR220" i="11"/>
  <c r="DR215" i="11"/>
  <c r="DR214" i="11"/>
  <c r="DR213" i="11"/>
  <c r="DR212" i="11"/>
  <c r="DR211" i="11"/>
  <c r="DR210" i="11"/>
  <c r="DR209" i="11"/>
  <c r="DR208" i="11"/>
  <c r="DR207" i="11"/>
  <c r="DR206" i="11"/>
  <c r="DR205" i="11"/>
  <c r="DR204" i="11"/>
  <c r="DR202" i="11"/>
  <c r="DR201" i="11"/>
  <c r="DR200" i="11"/>
  <c r="DR198" i="11"/>
  <c r="DR197" i="11"/>
  <c r="DR196" i="11"/>
  <c r="DR195" i="11"/>
  <c r="DR194" i="11"/>
  <c r="DR189" i="11"/>
  <c r="DR188" i="11"/>
  <c r="DR187" i="11"/>
  <c r="DR186" i="11"/>
  <c r="DR184" i="11"/>
  <c r="DR182" i="11"/>
  <c r="DR162" i="11"/>
  <c r="DR161" i="11"/>
  <c r="DR159" i="11"/>
  <c r="DR157" i="11"/>
  <c r="DR155" i="11"/>
  <c r="DR154" i="11"/>
  <c r="DR153" i="11"/>
  <c r="DR152" i="11"/>
  <c r="DR141" i="11"/>
  <c r="DR132" i="11"/>
  <c r="DR131" i="11"/>
  <c r="DR130" i="11"/>
  <c r="DR126" i="11"/>
  <c r="DR125" i="11"/>
  <c r="DR124" i="11"/>
  <c r="DR123" i="11"/>
  <c r="DR122" i="11"/>
  <c r="DR121" i="11"/>
  <c r="DR120" i="11"/>
  <c r="DR119" i="11"/>
  <c r="DR118" i="11"/>
  <c r="DR117" i="11"/>
  <c r="DR116" i="11"/>
  <c r="DR115" i="11"/>
  <c r="DR114" i="11"/>
  <c r="DR113" i="11"/>
  <c r="DR112" i="11"/>
  <c r="DR111" i="11"/>
  <c r="DR110" i="11"/>
  <c r="DR105" i="11"/>
  <c r="DR104" i="11"/>
  <c r="DR103" i="11"/>
  <c r="DR102" i="11"/>
  <c r="DR101" i="11"/>
  <c r="DR100" i="11"/>
  <c r="DR99" i="11"/>
  <c r="DR98" i="11"/>
  <c r="DR97" i="11"/>
  <c r="DR96" i="11"/>
  <c r="DR95" i="11"/>
  <c r="DR94" i="11"/>
  <c r="DR93" i="11"/>
  <c r="DR92" i="11"/>
  <c r="DR91" i="11"/>
  <c r="DR90" i="11"/>
  <c r="DR89" i="11"/>
  <c r="DR88" i="11"/>
  <c r="DR87" i="11"/>
  <c r="DR86" i="11"/>
  <c r="DR85" i="11"/>
  <c r="DR84" i="11"/>
  <c r="DR83" i="11"/>
  <c r="DR82" i="11"/>
  <c r="DR81" i="11"/>
  <c r="DR80" i="11"/>
  <c r="DR78" i="11"/>
  <c r="DR61" i="11"/>
  <c r="DR60" i="11"/>
  <c r="DR59" i="11"/>
  <c r="DR58" i="11"/>
  <c r="DR57" i="11"/>
  <c r="DR56" i="11"/>
  <c r="DR54" i="11"/>
  <c r="DR53" i="11"/>
  <c r="DR52" i="11"/>
  <c r="DR48" i="11"/>
  <c r="DR47" i="11"/>
  <c r="DR46" i="11"/>
  <c r="DR45" i="11"/>
  <c r="DR44" i="11"/>
  <c r="DR43" i="11"/>
  <c r="DR42" i="11"/>
  <c r="DR41" i="11"/>
  <c r="DR40" i="11"/>
  <c r="DR39" i="11"/>
  <c r="DR38" i="11"/>
  <c r="DR37" i="11"/>
  <c r="DR36" i="11"/>
  <c r="DR35" i="11"/>
  <c r="DR34" i="11"/>
  <c r="DR33" i="11"/>
  <c r="DR32" i="11"/>
  <c r="DR31" i="11"/>
  <c r="DR30" i="11"/>
  <c r="DR29" i="11"/>
  <c r="DR28" i="11"/>
  <c r="DR21" i="11"/>
  <c r="DR20" i="11"/>
  <c r="DR19" i="11"/>
  <c r="DR18" i="11"/>
  <c r="DR17" i="11"/>
  <c r="DR16" i="11"/>
  <c r="DR15" i="11"/>
  <c r="MH155" i="11"/>
  <c r="MH154" i="11"/>
  <c r="MH153" i="11"/>
  <c r="MH152" i="11"/>
  <c r="MH261" i="11"/>
  <c r="MH260" i="11"/>
  <c r="MH259" i="11"/>
  <c r="MH258" i="11"/>
  <c r="MH257" i="11"/>
  <c r="MH256" i="11"/>
  <c r="MH255" i="11"/>
  <c r="MH254" i="11"/>
  <c r="MH215" i="11"/>
  <c r="MH214" i="11"/>
  <c r="MH213" i="11"/>
  <c r="MH212" i="11"/>
  <c r="MH211" i="11"/>
  <c r="MH210" i="11"/>
  <c r="MH209" i="11"/>
  <c r="MH208" i="11"/>
  <c r="MH207" i="11"/>
  <c r="MH206" i="11"/>
  <c r="MH205" i="11"/>
  <c r="MH204" i="11"/>
  <c r="MH126" i="11"/>
  <c r="MH125" i="11"/>
  <c r="MH124" i="11"/>
  <c r="MH123" i="11"/>
  <c r="MH122" i="11"/>
  <c r="MH121" i="11"/>
  <c r="MH120" i="11"/>
  <c r="MH119" i="11"/>
  <c r="MH118" i="11"/>
  <c r="MH117" i="11"/>
  <c r="MH116" i="11"/>
  <c r="MH115" i="11"/>
  <c r="MH114" i="11"/>
  <c r="MH113" i="11"/>
  <c r="MH112" i="11"/>
  <c r="MH111" i="11"/>
  <c r="MH110" i="11"/>
  <c r="MH108" i="11"/>
  <c r="MH107" i="11"/>
  <c r="MH105" i="11"/>
  <c r="MH104" i="11"/>
  <c r="MH103" i="11"/>
  <c r="MH102" i="11"/>
  <c r="MH101" i="11"/>
  <c r="MH100" i="11"/>
  <c r="MH99" i="11"/>
  <c r="MH98" i="11"/>
  <c r="MH97" i="11"/>
  <c r="MH96" i="11"/>
  <c r="MH95" i="11"/>
  <c r="MH94" i="11"/>
  <c r="MH93" i="11"/>
  <c r="MH92" i="11"/>
  <c r="MH91" i="11"/>
  <c r="MH90" i="11"/>
  <c r="MH89" i="11"/>
  <c r="MH88" i="11"/>
  <c r="MH87" i="11"/>
  <c r="MH86" i="11"/>
  <c r="MH85" i="11"/>
  <c r="MH84" i="11"/>
  <c r="MH83" i="11"/>
  <c r="MH82" i="11"/>
  <c r="MH81" i="11"/>
  <c r="MH80" i="11"/>
  <c r="MH48" i="11"/>
  <c r="MH47" i="11"/>
  <c r="MH46" i="11"/>
  <c r="MH45" i="11"/>
  <c r="MH44" i="11"/>
  <c r="MH43" i="11"/>
  <c r="MH42" i="11"/>
  <c r="MH41" i="11"/>
  <c r="MH40" i="11"/>
  <c r="MH39" i="11"/>
  <c r="MH38" i="11"/>
  <c r="MH37" i="11"/>
  <c r="MH36" i="11"/>
  <c r="MH35" i="11"/>
  <c r="MH34" i="11"/>
  <c r="MH33" i="11"/>
  <c r="MH32" i="11"/>
  <c r="MH31" i="11"/>
  <c r="MH30" i="11"/>
  <c r="MH29" i="11"/>
  <c r="MH28" i="11"/>
  <c r="MH78" i="11"/>
  <c r="DD78" i="11"/>
  <c r="DC78" i="11"/>
  <c r="DB261" i="11"/>
  <c r="DB260" i="11"/>
  <c r="DB259" i="11"/>
  <c r="DB258" i="11"/>
  <c r="DB257" i="11"/>
  <c r="DB256" i="11"/>
  <c r="DB255" i="11"/>
  <c r="DB254" i="11"/>
  <c r="DB241" i="11"/>
  <c r="DB240" i="11"/>
  <c r="DB215" i="11"/>
  <c r="DB214" i="11"/>
  <c r="DB213" i="11"/>
  <c r="DB212" i="11"/>
  <c r="DB211" i="11"/>
  <c r="DB210" i="11"/>
  <c r="DB209" i="11"/>
  <c r="DB208" i="11"/>
  <c r="DB207" i="11"/>
  <c r="DB206" i="11"/>
  <c r="DB205" i="11"/>
  <c r="DB204" i="11"/>
  <c r="DB126" i="11"/>
  <c r="DB125" i="11"/>
  <c r="DB124" i="11"/>
  <c r="DB123" i="11"/>
  <c r="DB122" i="11"/>
  <c r="DB121" i="11"/>
  <c r="DB120" i="11"/>
  <c r="DB119" i="11"/>
  <c r="DB118" i="11"/>
  <c r="DB117" i="11"/>
  <c r="DB116" i="11"/>
  <c r="DB115" i="11"/>
  <c r="DB114" i="11"/>
  <c r="DB113" i="11"/>
  <c r="DB112" i="11"/>
  <c r="DB111" i="11"/>
  <c r="DB110" i="11"/>
  <c r="DB105" i="11"/>
  <c r="DB104" i="11"/>
  <c r="DB103" i="11"/>
  <c r="DB102" i="11"/>
  <c r="DB101" i="11"/>
  <c r="DB100" i="11"/>
  <c r="DB99" i="11"/>
  <c r="DB98" i="11"/>
  <c r="DB97" i="11"/>
  <c r="DB96" i="11"/>
  <c r="DB95" i="11"/>
  <c r="DB94" i="11"/>
  <c r="DB93" i="11"/>
  <c r="DB92" i="11"/>
  <c r="DB91" i="11"/>
  <c r="DB90" i="11"/>
  <c r="DB89" i="11"/>
  <c r="DB88" i="11"/>
  <c r="DB87" i="11"/>
  <c r="DB86" i="11"/>
  <c r="DB85" i="11"/>
  <c r="DB84" i="11"/>
  <c r="DB83" i="11"/>
  <c r="DB82" i="11"/>
  <c r="DB81" i="11"/>
  <c r="DB80" i="11"/>
  <c r="DB78" i="11"/>
  <c r="DB48" i="11"/>
  <c r="DB47" i="11"/>
  <c r="DB46" i="11"/>
  <c r="DB45" i="11"/>
  <c r="DB44" i="11"/>
  <c r="DB43" i="11"/>
  <c r="DB42" i="11"/>
  <c r="DB41" i="11"/>
  <c r="DB40" i="11"/>
  <c r="DB39" i="11"/>
  <c r="DB38" i="11"/>
  <c r="DB37" i="11"/>
  <c r="DB36" i="11"/>
  <c r="DB35" i="11"/>
  <c r="DB34" i="11"/>
  <c r="DB33" i="11"/>
  <c r="DB32" i="11"/>
  <c r="DB31" i="11"/>
  <c r="DB30" i="11"/>
  <c r="DB29" i="11"/>
  <c r="DB28" i="11"/>
  <c r="CY215" i="11"/>
  <c r="CY214" i="11"/>
  <c r="CY213" i="11"/>
  <c r="CY212" i="11"/>
  <c r="CY211" i="11"/>
  <c r="CY210" i="11"/>
  <c r="CY209" i="11"/>
  <c r="CY208" i="11"/>
  <c r="CY207" i="11"/>
  <c r="CY206" i="11"/>
  <c r="CY205" i="11"/>
  <c r="CY204" i="11"/>
  <c r="CY184" i="11"/>
  <c r="CY261" i="11"/>
  <c r="CY260" i="11"/>
  <c r="CY259" i="11"/>
  <c r="CY258" i="11"/>
  <c r="CY257" i="11"/>
  <c r="CY256" i="11"/>
  <c r="CY255" i="11"/>
  <c r="CY254" i="11"/>
  <c r="CY105" i="11"/>
  <c r="CY104" i="11"/>
  <c r="CY103" i="11"/>
  <c r="CY102" i="11"/>
  <c r="CY101" i="11"/>
  <c r="CY100" i="11"/>
  <c r="CY99" i="11"/>
  <c r="CY98" i="11"/>
  <c r="CY97" i="11"/>
  <c r="CY96" i="11"/>
  <c r="CY95" i="11"/>
  <c r="CY94" i="11"/>
  <c r="CY93" i="11"/>
  <c r="CY92" i="11"/>
  <c r="CY91" i="11"/>
  <c r="CY90" i="11"/>
  <c r="CY89" i="11"/>
  <c r="CY88" i="11"/>
  <c r="CY87" i="11"/>
  <c r="CY86" i="11"/>
  <c r="CY85" i="11"/>
  <c r="CY84" i="11"/>
  <c r="CY83" i="11"/>
  <c r="CY82" i="11"/>
  <c r="CY81" i="11"/>
  <c r="CY80" i="11"/>
  <c r="CY78" i="11"/>
  <c r="HW261" i="11"/>
  <c r="HW260" i="11"/>
  <c r="HW259" i="11"/>
  <c r="HW258" i="11"/>
  <c r="HW257" i="11"/>
  <c r="HW256" i="11"/>
  <c r="HW255" i="11"/>
  <c r="HW254" i="11"/>
  <c r="HW223" i="11"/>
  <c r="HW222" i="11"/>
  <c r="HW221" i="11"/>
  <c r="HW220" i="11"/>
  <c r="HW215" i="11"/>
  <c r="HW214" i="11"/>
  <c r="HW213" i="11"/>
  <c r="HW212" i="11"/>
  <c r="HW211" i="11"/>
  <c r="HW210" i="11"/>
  <c r="HW209" i="11"/>
  <c r="HW208" i="11"/>
  <c r="HW207" i="11"/>
  <c r="HW206" i="11"/>
  <c r="HW205" i="11"/>
  <c r="HW204" i="11"/>
  <c r="HW184" i="11"/>
  <c r="HW141" i="11"/>
  <c r="HW105" i="11"/>
  <c r="HW104" i="11"/>
  <c r="HW103" i="11"/>
  <c r="HW102" i="11"/>
  <c r="HW101" i="11"/>
  <c r="HW100" i="11"/>
  <c r="HW99" i="11"/>
  <c r="HW98" i="11"/>
  <c r="HW97" i="11"/>
  <c r="HW96" i="11"/>
  <c r="HW95" i="11"/>
  <c r="HW94" i="11"/>
  <c r="HW93" i="11"/>
  <c r="HW92" i="11"/>
  <c r="HW91" i="11"/>
  <c r="HW90" i="11"/>
  <c r="HW89" i="11"/>
  <c r="HW88" i="11"/>
  <c r="HW87" i="11"/>
  <c r="HW86" i="11"/>
  <c r="HW85" i="11"/>
  <c r="HW84" i="11"/>
  <c r="HW83" i="11"/>
  <c r="HW82" i="11"/>
  <c r="HW81" i="11"/>
  <c r="HW80" i="11"/>
  <c r="HW78" i="11"/>
  <c r="HW48" i="11"/>
  <c r="HW47" i="11"/>
  <c r="HW46" i="11"/>
  <c r="HW45" i="11"/>
  <c r="HW44" i="11"/>
  <c r="HW43" i="11"/>
  <c r="HW42" i="11"/>
  <c r="HW41" i="11"/>
  <c r="HW40" i="11"/>
  <c r="HW39" i="11"/>
  <c r="HW38" i="11"/>
  <c r="HW37" i="11"/>
  <c r="HW36" i="11"/>
  <c r="HW35" i="11"/>
  <c r="HW34" i="11"/>
  <c r="HW33" i="11"/>
  <c r="HW32" i="11"/>
  <c r="HW31" i="11"/>
  <c r="HW30" i="11"/>
  <c r="HW29" i="11"/>
  <c r="HW28" i="11"/>
  <c r="HV261" i="11"/>
  <c r="HV260" i="11"/>
  <c r="HV259" i="11"/>
  <c r="HV258" i="11"/>
  <c r="HV257" i="11"/>
  <c r="HV256" i="11"/>
  <c r="HV255" i="11"/>
  <c r="HV254" i="11"/>
  <c r="HV215" i="11"/>
  <c r="HV214" i="11"/>
  <c r="HV213" i="11"/>
  <c r="HV212" i="11"/>
  <c r="HV211" i="11"/>
  <c r="HV210" i="11"/>
  <c r="HV209" i="11"/>
  <c r="HV208" i="11"/>
  <c r="HV207" i="11"/>
  <c r="HV206" i="11"/>
  <c r="HV205" i="11"/>
  <c r="HV204" i="11"/>
  <c r="HV78" i="11"/>
  <c r="HI261" i="11"/>
  <c r="HI260" i="11"/>
  <c r="HI259" i="11"/>
  <c r="HI258" i="11"/>
  <c r="HI257" i="11"/>
  <c r="HI256" i="11"/>
  <c r="HI255" i="11"/>
  <c r="HI254" i="11"/>
  <c r="HI78" i="11"/>
  <c r="HI48" i="11"/>
  <c r="HI47" i="11"/>
  <c r="HI46" i="11"/>
  <c r="HI45" i="11"/>
  <c r="HI44" i="11"/>
  <c r="HI43" i="11"/>
  <c r="HI42" i="11"/>
  <c r="HI41" i="11"/>
  <c r="HI40" i="11"/>
  <c r="HI39" i="11"/>
  <c r="HI38" i="11"/>
  <c r="HI37" i="11"/>
  <c r="HI36" i="11"/>
  <c r="HI35" i="11"/>
  <c r="HI34" i="11"/>
  <c r="HI33" i="11"/>
  <c r="HI32" i="11"/>
  <c r="HI31" i="11"/>
  <c r="HI30" i="11"/>
  <c r="HI29" i="11"/>
  <c r="HI28" i="11"/>
  <c r="HH261" i="11"/>
  <c r="HH260" i="11"/>
  <c r="HH259" i="11"/>
  <c r="HH258" i="11"/>
  <c r="HH257" i="11"/>
  <c r="HH256" i="11"/>
  <c r="HH255" i="11"/>
  <c r="HH254" i="11"/>
  <c r="HH215" i="11"/>
  <c r="HH214" i="11"/>
  <c r="HH213" i="11"/>
  <c r="HH212" i="11"/>
  <c r="HH211" i="11"/>
  <c r="HH210" i="11"/>
  <c r="HH209" i="11"/>
  <c r="HH208" i="11"/>
  <c r="HH207" i="11"/>
  <c r="HH206" i="11"/>
  <c r="HH205" i="11"/>
  <c r="HH204" i="11"/>
  <c r="HH126" i="11"/>
  <c r="HH125" i="11"/>
  <c r="HH124" i="11"/>
  <c r="HH123" i="11"/>
  <c r="HH122" i="11"/>
  <c r="HH121" i="11"/>
  <c r="HH120" i="11"/>
  <c r="HH119" i="11"/>
  <c r="HH118" i="11"/>
  <c r="HH117" i="11"/>
  <c r="HH116" i="11"/>
  <c r="HH115" i="11"/>
  <c r="HH114" i="11"/>
  <c r="HH113" i="11"/>
  <c r="HH112" i="11"/>
  <c r="HH111" i="11"/>
  <c r="HH110" i="11"/>
  <c r="HH105" i="11"/>
  <c r="HH104" i="11"/>
  <c r="HH103" i="11"/>
  <c r="HH102" i="11"/>
  <c r="HH101" i="11"/>
  <c r="HH100" i="11"/>
  <c r="HH99" i="11"/>
  <c r="HH98" i="11"/>
  <c r="HH97" i="11"/>
  <c r="HH96" i="11"/>
  <c r="HH95" i="11"/>
  <c r="HH94" i="11"/>
  <c r="HH93" i="11"/>
  <c r="HH92" i="11"/>
  <c r="HH91" i="11"/>
  <c r="HH90" i="11"/>
  <c r="HH89" i="11"/>
  <c r="HH88" i="11"/>
  <c r="HH87" i="11"/>
  <c r="HH86" i="11"/>
  <c r="HH85" i="11"/>
  <c r="HH84" i="11"/>
  <c r="HH83" i="11"/>
  <c r="HH82" i="11"/>
  <c r="HH81" i="11"/>
  <c r="HH80" i="11"/>
  <c r="HH78" i="11"/>
  <c r="AO78" i="11"/>
  <c r="AN78" i="11"/>
  <c r="AQ78" i="11"/>
  <c r="FH78" i="11"/>
  <c r="HG78" i="11"/>
  <c r="KC261" i="11"/>
  <c r="KC260" i="11"/>
  <c r="KC259" i="11"/>
  <c r="KC258" i="11"/>
  <c r="KC257" i="11"/>
  <c r="KC256" i="11"/>
  <c r="KC255" i="11"/>
  <c r="KC254" i="11"/>
  <c r="KC241" i="11"/>
  <c r="KC240" i="11"/>
  <c r="KC215" i="11"/>
  <c r="KC214" i="11"/>
  <c r="KC213" i="11"/>
  <c r="KC212" i="11"/>
  <c r="KC211" i="11"/>
  <c r="KC210" i="11"/>
  <c r="KC209" i="11"/>
  <c r="KC208" i="11"/>
  <c r="KC207" i="11"/>
  <c r="KC206" i="11"/>
  <c r="KC205" i="11"/>
  <c r="KC204" i="11"/>
  <c r="KC184" i="11"/>
  <c r="KC162" i="11"/>
  <c r="KC161" i="11"/>
  <c r="KC159" i="11"/>
  <c r="KC157" i="11"/>
  <c r="KC126" i="11"/>
  <c r="KC125" i="11"/>
  <c r="KC124" i="11"/>
  <c r="KC123" i="11"/>
  <c r="KC122" i="11"/>
  <c r="KC121" i="11"/>
  <c r="KC120" i="11"/>
  <c r="KC119" i="11"/>
  <c r="KC118" i="11"/>
  <c r="KC117" i="11"/>
  <c r="KC116" i="11"/>
  <c r="KC115" i="11"/>
  <c r="KC114" i="11"/>
  <c r="KC113" i="11"/>
  <c r="KC112" i="11"/>
  <c r="KC111" i="11"/>
  <c r="KC110" i="11"/>
  <c r="KC108" i="11"/>
  <c r="KC107" i="11"/>
  <c r="KC105" i="11"/>
  <c r="KC104" i="11"/>
  <c r="KC103" i="11"/>
  <c r="KC102" i="11"/>
  <c r="KC101" i="11"/>
  <c r="KC100" i="11"/>
  <c r="KC99" i="11"/>
  <c r="KC98" i="11"/>
  <c r="KC97" i="11"/>
  <c r="KC96" i="11"/>
  <c r="KC95" i="11"/>
  <c r="KC94" i="11"/>
  <c r="KC93" i="11"/>
  <c r="KC92" i="11"/>
  <c r="KC91" i="11"/>
  <c r="KC90" i="11"/>
  <c r="KC89" i="11"/>
  <c r="KC88" i="11"/>
  <c r="KC87" i="11"/>
  <c r="KC86" i="11"/>
  <c r="KC85" i="11"/>
  <c r="KC84" i="11"/>
  <c r="KC83" i="11"/>
  <c r="KC82" i="11"/>
  <c r="KC81" i="11"/>
  <c r="KC80" i="11"/>
  <c r="KC78" i="11"/>
  <c r="KC48" i="11"/>
  <c r="KC47" i="11"/>
  <c r="KC46" i="11"/>
  <c r="KC45" i="11"/>
  <c r="KC44" i="11"/>
  <c r="KC43" i="11"/>
  <c r="KC42" i="11"/>
  <c r="KC41" i="11"/>
  <c r="KC40" i="11"/>
  <c r="KC39" i="11"/>
  <c r="KC38" i="11"/>
  <c r="KC37" i="11"/>
  <c r="KC36" i="11"/>
  <c r="KC35" i="11"/>
  <c r="KC34" i="11"/>
  <c r="KC33" i="11"/>
  <c r="KC32" i="11"/>
  <c r="KC31" i="11"/>
  <c r="KC30" i="11"/>
  <c r="KC29" i="11"/>
  <c r="KC28" i="11"/>
  <c r="JV78" i="11"/>
  <c r="KM78" i="11"/>
  <c r="EZ78" i="11"/>
  <c r="EY261" i="11"/>
  <c r="EY260" i="11"/>
  <c r="EY259" i="11"/>
  <c r="EY258" i="11"/>
  <c r="EY257" i="11"/>
  <c r="EY256" i="11"/>
  <c r="EY255" i="11"/>
  <c r="EY254" i="11"/>
  <c r="EY215" i="11"/>
  <c r="EY214" i="11"/>
  <c r="EY213" i="11"/>
  <c r="EY212" i="11"/>
  <c r="EY211" i="11"/>
  <c r="EY210" i="11"/>
  <c r="EY209" i="11"/>
  <c r="EY208" i="11"/>
  <c r="EY207" i="11"/>
  <c r="EY206" i="11"/>
  <c r="EY205" i="11"/>
  <c r="EY204" i="11"/>
  <c r="EY182" i="11"/>
  <c r="EY162" i="11"/>
  <c r="EY161" i="11"/>
  <c r="EY159" i="11"/>
  <c r="EY157" i="11"/>
  <c r="EY126" i="11"/>
  <c r="EY125" i="11"/>
  <c r="EY124" i="11"/>
  <c r="EY123" i="11"/>
  <c r="EY122" i="11"/>
  <c r="EY121" i="11"/>
  <c r="EY120" i="11"/>
  <c r="EY119" i="11"/>
  <c r="EY118" i="11"/>
  <c r="EY117" i="11"/>
  <c r="EY116" i="11"/>
  <c r="EY115" i="11"/>
  <c r="EY114" i="11"/>
  <c r="EY113" i="11"/>
  <c r="EY112" i="11"/>
  <c r="EY111" i="11"/>
  <c r="EY110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8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U78" i="11"/>
  <c r="FN215" i="11" l="1"/>
  <c r="FN214" i="11"/>
  <c r="FN213" i="11"/>
  <c r="FN212" i="11"/>
  <c r="FN211" i="11"/>
  <c r="FN210" i="11"/>
  <c r="FN209" i="11"/>
  <c r="FN208" i="11"/>
  <c r="FN207" i="11"/>
  <c r="FN206" i="11"/>
  <c r="FN205" i="11"/>
  <c r="FN204" i="11"/>
  <c r="FN126" i="11"/>
  <c r="FN125" i="11"/>
  <c r="FN124" i="11"/>
  <c r="FN123" i="11"/>
  <c r="FN122" i="11"/>
  <c r="FN121" i="11"/>
  <c r="FN120" i="11"/>
  <c r="FN119" i="11"/>
  <c r="FN118" i="11"/>
  <c r="FN117" i="11"/>
  <c r="FN116" i="11"/>
  <c r="FN115" i="11"/>
  <c r="FN114" i="11"/>
  <c r="FN113" i="11"/>
  <c r="FN112" i="11"/>
  <c r="FN111" i="11"/>
  <c r="FN110" i="11"/>
  <c r="FN105" i="11"/>
  <c r="FN104" i="11"/>
  <c r="FN103" i="11"/>
  <c r="FN102" i="11"/>
  <c r="FN101" i="11"/>
  <c r="FN100" i="11"/>
  <c r="FN99" i="11"/>
  <c r="FN98" i="11"/>
  <c r="FN97" i="11"/>
  <c r="FN96" i="11"/>
  <c r="FN95" i="11"/>
  <c r="FN94" i="11"/>
  <c r="FN93" i="11"/>
  <c r="FN92" i="11"/>
  <c r="FN91" i="11"/>
  <c r="FN90" i="11"/>
  <c r="FN89" i="11"/>
  <c r="FN88" i="11"/>
  <c r="FN87" i="11"/>
  <c r="FN86" i="11"/>
  <c r="FN85" i="11"/>
  <c r="FN84" i="11"/>
  <c r="FN83" i="11"/>
  <c r="FN82" i="11"/>
  <c r="FN81" i="11"/>
  <c r="FN80" i="11"/>
  <c r="FN78" i="11"/>
  <c r="KL78" i="11"/>
  <c r="EV287" i="11"/>
  <c r="EV286" i="11"/>
  <c r="EV284" i="11"/>
  <c r="EV283" i="11"/>
  <c r="EV282" i="11"/>
  <c r="EV281" i="11"/>
  <c r="EV280" i="11"/>
  <c r="EV279" i="11"/>
  <c r="EV278" i="11"/>
  <c r="EV271" i="11"/>
  <c r="EV270" i="11"/>
  <c r="EV268" i="11"/>
  <c r="EV267" i="11"/>
  <c r="EV266" i="11"/>
  <c r="EV265" i="11"/>
  <c r="EV261" i="11"/>
  <c r="EV260" i="11"/>
  <c r="EV259" i="11"/>
  <c r="EV258" i="11"/>
  <c r="EV257" i="11"/>
  <c r="EV256" i="11"/>
  <c r="EV255" i="11"/>
  <c r="EV254" i="11"/>
  <c r="EV249" i="11"/>
  <c r="EV248" i="11"/>
  <c r="EV241" i="11"/>
  <c r="EV240" i="11"/>
  <c r="EV238" i="11"/>
  <c r="EV237" i="11"/>
  <c r="EV236" i="11"/>
  <c r="EV235" i="11"/>
  <c r="EV228" i="11"/>
  <c r="EV227" i="11"/>
  <c r="EV226" i="11"/>
  <c r="EV225" i="11"/>
  <c r="EV223" i="11"/>
  <c r="EV222" i="11"/>
  <c r="EV221" i="11"/>
  <c r="EV220" i="11"/>
  <c r="EV218" i="11"/>
  <c r="EV217" i="11"/>
  <c r="EV215" i="11"/>
  <c r="EV214" i="11"/>
  <c r="EV213" i="11"/>
  <c r="EV212" i="11"/>
  <c r="EV211" i="11"/>
  <c r="EV210" i="11"/>
  <c r="EV209" i="11"/>
  <c r="EV208" i="11"/>
  <c r="EV207" i="11"/>
  <c r="EV206" i="11"/>
  <c r="EV205" i="11"/>
  <c r="EV204" i="11"/>
  <c r="EV202" i="11"/>
  <c r="EV201" i="11"/>
  <c r="EV200" i="11"/>
  <c r="EV198" i="11"/>
  <c r="EV197" i="11"/>
  <c r="EV196" i="11"/>
  <c r="EV195" i="11"/>
  <c r="EV194" i="11"/>
  <c r="EV189" i="11"/>
  <c r="EV188" i="11"/>
  <c r="EV187" i="11"/>
  <c r="EV186" i="11"/>
  <c r="EV184" i="11"/>
  <c r="EV182" i="11"/>
  <c r="EV180" i="11"/>
  <c r="EV179" i="11"/>
  <c r="EV177" i="11"/>
  <c r="EV176" i="11"/>
  <c r="EV175" i="11"/>
  <c r="EV174" i="11"/>
  <c r="EV173" i="11"/>
  <c r="EV172" i="11"/>
  <c r="EV171" i="11"/>
  <c r="EV169" i="11"/>
  <c r="EV168" i="11"/>
  <c r="EV167" i="11"/>
  <c r="EV162" i="11"/>
  <c r="EV161" i="11"/>
  <c r="EV159" i="11"/>
  <c r="EV157" i="11"/>
  <c r="EV155" i="11"/>
  <c r="EV154" i="11"/>
  <c r="EV153" i="11"/>
  <c r="EV152" i="11"/>
  <c r="EV150" i="11"/>
  <c r="EV143" i="11"/>
  <c r="EV141" i="11"/>
  <c r="EV132" i="11"/>
  <c r="EV131" i="11"/>
  <c r="EV130" i="11"/>
  <c r="EV126" i="11"/>
  <c r="EV125" i="11"/>
  <c r="EV124" i="11"/>
  <c r="EV123" i="11"/>
  <c r="EV122" i="11"/>
  <c r="EV121" i="11"/>
  <c r="EV120" i="11"/>
  <c r="EV119" i="11"/>
  <c r="EV118" i="11"/>
  <c r="EV117" i="11"/>
  <c r="EV116" i="11"/>
  <c r="EV115" i="11"/>
  <c r="EV114" i="11"/>
  <c r="EV113" i="11"/>
  <c r="EV112" i="11"/>
  <c r="EV111" i="11"/>
  <c r="EV110" i="11"/>
  <c r="EV108" i="11"/>
  <c r="EV107" i="11"/>
  <c r="EV105" i="11"/>
  <c r="EV104" i="11"/>
  <c r="EV103" i="11"/>
  <c r="EV102" i="11"/>
  <c r="EV101" i="11"/>
  <c r="EV100" i="11"/>
  <c r="EV99" i="11"/>
  <c r="EV98" i="11"/>
  <c r="EV97" i="11"/>
  <c r="EV96" i="11"/>
  <c r="EV95" i="11"/>
  <c r="EV94" i="11"/>
  <c r="EV93" i="11"/>
  <c r="EV92" i="11"/>
  <c r="EV91" i="11"/>
  <c r="EV90" i="11"/>
  <c r="EV89" i="11"/>
  <c r="EV88" i="11"/>
  <c r="EV87" i="11"/>
  <c r="EV86" i="11"/>
  <c r="EV85" i="11"/>
  <c r="EV84" i="11"/>
  <c r="EV83" i="11"/>
  <c r="EV82" i="11"/>
  <c r="EV81" i="11"/>
  <c r="EV80" i="11"/>
  <c r="EV78" i="11"/>
  <c r="EV76" i="11"/>
  <c r="EV75" i="11"/>
  <c r="EV73" i="11"/>
  <c r="EV72" i="11"/>
  <c r="EV71" i="11"/>
  <c r="EV70" i="11"/>
  <c r="EV69" i="11"/>
  <c r="EV68" i="11"/>
  <c r="EV67" i="11"/>
  <c r="EV66" i="11"/>
  <c r="EV61" i="11"/>
  <c r="EV60" i="11"/>
  <c r="EV59" i="11"/>
  <c r="EV58" i="11"/>
  <c r="EV57" i="11"/>
  <c r="EV56" i="11"/>
  <c r="EV54" i="11"/>
  <c r="EV53" i="11"/>
  <c r="EV52" i="11"/>
  <c r="EV50" i="11"/>
  <c r="EV48" i="11"/>
  <c r="EV47" i="11"/>
  <c r="EV46" i="11"/>
  <c r="EV45" i="11"/>
  <c r="EV44" i="11"/>
  <c r="EV43" i="11"/>
  <c r="EV42" i="11"/>
  <c r="EV41" i="11"/>
  <c r="EV40" i="11"/>
  <c r="EV39" i="11"/>
  <c r="EV38" i="11"/>
  <c r="EV37" i="11"/>
  <c r="EV36" i="11"/>
  <c r="EV35" i="11"/>
  <c r="EV34" i="11"/>
  <c r="EV33" i="11"/>
  <c r="EV32" i="11"/>
  <c r="EV31" i="11"/>
  <c r="EV30" i="11"/>
  <c r="EV29" i="11"/>
  <c r="EV28" i="11"/>
  <c r="EV26" i="11"/>
  <c r="EV25" i="11"/>
  <c r="EV24" i="11"/>
  <c r="EV23" i="11"/>
  <c r="EV21" i="11"/>
  <c r="EV20" i="11"/>
  <c r="EV19" i="11"/>
  <c r="EV18" i="11"/>
  <c r="EV17" i="11"/>
  <c r="EV16" i="11"/>
  <c r="EV15" i="11"/>
  <c r="HA215" i="11"/>
  <c r="HA214" i="11"/>
  <c r="HA213" i="11"/>
  <c r="HA212" i="11"/>
  <c r="HA211" i="11"/>
  <c r="HA210" i="11"/>
  <c r="HA209" i="11"/>
  <c r="HA208" i="11"/>
  <c r="HA207" i="11"/>
  <c r="HA206" i="11"/>
  <c r="HA205" i="11"/>
  <c r="HA204" i="11"/>
  <c r="HA78" i="11"/>
  <c r="GZ261" i="11"/>
  <c r="GZ260" i="11"/>
  <c r="GZ259" i="11"/>
  <c r="GZ258" i="11"/>
  <c r="GZ257" i="11"/>
  <c r="GZ256" i="11"/>
  <c r="GZ255" i="11"/>
  <c r="GZ254" i="11"/>
  <c r="GZ215" i="11"/>
  <c r="GZ214" i="11"/>
  <c r="GZ213" i="11"/>
  <c r="GZ212" i="11"/>
  <c r="GZ211" i="11"/>
  <c r="GZ210" i="11"/>
  <c r="GZ209" i="11"/>
  <c r="GZ208" i="11"/>
  <c r="GZ207" i="11"/>
  <c r="GZ206" i="11"/>
  <c r="GZ205" i="11"/>
  <c r="GZ204" i="11"/>
  <c r="GZ78" i="11"/>
  <c r="KK78" i="11"/>
  <c r="LA78" i="11"/>
  <c r="GP215" i="11"/>
  <c r="GP214" i="11"/>
  <c r="GP213" i="11"/>
  <c r="GP212" i="11"/>
  <c r="GP211" i="11"/>
  <c r="GP210" i="11"/>
  <c r="GP209" i="11"/>
  <c r="GP208" i="11"/>
  <c r="GP207" i="11"/>
  <c r="GP206" i="11"/>
  <c r="GP205" i="11"/>
  <c r="GP204" i="11"/>
  <c r="GP78" i="11"/>
  <c r="FL78" i="11"/>
  <c r="ES182" i="11"/>
  <c r="ES48" i="11"/>
  <c r="ES47" i="11"/>
  <c r="ES46" i="11"/>
  <c r="ES45" i="11"/>
  <c r="ES44" i="11"/>
  <c r="ES43" i="11"/>
  <c r="ES42" i="11"/>
  <c r="ES41" i="11"/>
  <c r="ES40" i="11"/>
  <c r="ES39" i="11"/>
  <c r="ES38" i="11"/>
  <c r="ES37" i="11"/>
  <c r="ES36" i="11"/>
  <c r="ES35" i="11"/>
  <c r="ES34" i="11"/>
  <c r="ES33" i="11"/>
  <c r="ES32" i="11"/>
  <c r="ES31" i="11"/>
  <c r="ES30" i="11"/>
  <c r="ES29" i="11"/>
  <c r="ES28" i="11"/>
  <c r="ES78" i="11"/>
  <c r="GE215" i="11" l="1"/>
  <c r="GE214" i="11"/>
  <c r="GE213" i="11"/>
  <c r="GE212" i="11"/>
  <c r="GE211" i="11"/>
  <c r="GE210" i="11"/>
  <c r="GE209" i="11"/>
  <c r="GE208" i="11"/>
  <c r="GE207" i="11"/>
  <c r="GE206" i="11"/>
  <c r="GE205" i="11"/>
  <c r="GE204" i="11"/>
  <c r="GE78" i="11"/>
  <c r="JZ78" i="11"/>
  <c r="JZ48" i="11"/>
  <c r="JZ47" i="11"/>
  <c r="JZ46" i="11"/>
  <c r="JZ45" i="11"/>
  <c r="JZ44" i="11"/>
  <c r="JZ43" i="11"/>
  <c r="JZ42" i="11"/>
  <c r="JZ41" i="11"/>
  <c r="JZ40" i="11"/>
  <c r="JZ39" i="11"/>
  <c r="JZ38" i="11"/>
  <c r="JZ37" i="11"/>
  <c r="JZ36" i="11"/>
  <c r="JZ35" i="11"/>
  <c r="JZ34" i="11"/>
  <c r="JZ33" i="11"/>
  <c r="JZ32" i="11"/>
  <c r="JZ31" i="11"/>
  <c r="JZ30" i="11"/>
  <c r="JZ29" i="11"/>
  <c r="JZ28" i="11"/>
  <c r="EU261" i="11"/>
  <c r="EU260" i="11"/>
  <c r="EU259" i="11"/>
  <c r="EU258" i="11"/>
  <c r="EU257" i="11"/>
  <c r="EU256" i="11"/>
  <c r="EU255" i="11"/>
  <c r="EU254" i="11"/>
  <c r="EU126" i="11"/>
  <c r="EU125" i="11"/>
  <c r="EU124" i="11"/>
  <c r="EU123" i="11"/>
  <c r="EU122" i="11"/>
  <c r="EU121" i="11"/>
  <c r="EU120" i="11"/>
  <c r="EU119" i="11"/>
  <c r="EU118" i="11"/>
  <c r="EU117" i="11"/>
  <c r="EU116" i="11"/>
  <c r="EU115" i="11"/>
  <c r="EU114" i="11"/>
  <c r="EU113" i="11"/>
  <c r="EU112" i="11"/>
  <c r="EU111" i="11"/>
  <c r="EU110" i="11"/>
  <c r="EU108" i="11"/>
  <c r="EU107" i="11"/>
  <c r="EU105" i="11"/>
  <c r="EU104" i="11"/>
  <c r="EU103" i="11"/>
  <c r="EU102" i="11"/>
  <c r="EU101" i="11"/>
  <c r="EU100" i="11"/>
  <c r="EU99" i="11"/>
  <c r="EU98" i="11"/>
  <c r="EU97" i="11"/>
  <c r="EU96" i="11"/>
  <c r="EU95" i="11"/>
  <c r="EU94" i="11"/>
  <c r="EU93" i="11"/>
  <c r="EU92" i="11"/>
  <c r="EU91" i="11"/>
  <c r="EU90" i="11"/>
  <c r="EU89" i="11"/>
  <c r="EU88" i="11"/>
  <c r="EU87" i="11"/>
  <c r="EU86" i="11"/>
  <c r="EU85" i="11"/>
  <c r="EU84" i="11"/>
  <c r="EU83" i="11"/>
  <c r="EU82" i="11"/>
  <c r="EU81" i="11"/>
  <c r="EU80" i="11"/>
  <c r="EU78" i="11"/>
  <c r="EU21" i="11"/>
  <c r="EU20" i="11"/>
  <c r="EU19" i="11"/>
  <c r="EU18" i="11"/>
  <c r="EU17" i="11"/>
  <c r="EU16" i="11"/>
  <c r="EU15" i="11"/>
  <c r="EU48" i="11"/>
  <c r="EU47" i="11"/>
  <c r="EU46" i="11"/>
  <c r="EU45" i="11"/>
  <c r="EU44" i="11"/>
  <c r="EU43" i="11"/>
  <c r="EU42" i="11"/>
  <c r="EU41" i="11"/>
  <c r="EU40" i="11"/>
  <c r="EU39" i="11"/>
  <c r="EU38" i="11"/>
  <c r="EU37" i="11"/>
  <c r="EU36" i="11"/>
  <c r="EU35" i="11"/>
  <c r="EU34" i="11"/>
  <c r="EU33" i="11"/>
  <c r="EU32" i="11"/>
  <c r="EU31" i="11"/>
  <c r="EU30" i="11"/>
  <c r="EU29" i="11"/>
  <c r="EU28" i="11"/>
  <c r="JX88" i="11"/>
  <c r="KJ78" i="11"/>
  <c r="KI78" i="11"/>
  <c r="LL78" i="11"/>
  <c r="IJ287" i="11" l="1"/>
  <c r="IJ286" i="11"/>
  <c r="IJ261" i="11"/>
  <c r="IJ260" i="11"/>
  <c r="IJ259" i="11"/>
  <c r="IJ258" i="11"/>
  <c r="IJ257" i="11"/>
  <c r="IJ256" i="11"/>
  <c r="IJ255" i="11"/>
  <c r="IJ254" i="11"/>
  <c r="IJ215" i="11"/>
  <c r="IJ214" i="11"/>
  <c r="IJ213" i="11"/>
  <c r="IJ212" i="11"/>
  <c r="IJ211" i="11"/>
  <c r="IJ210" i="11"/>
  <c r="IJ209" i="11"/>
  <c r="IJ208" i="11"/>
  <c r="IJ207" i="11"/>
  <c r="IJ206" i="11"/>
  <c r="IJ205" i="11"/>
  <c r="IJ204" i="11"/>
  <c r="IJ189" i="11"/>
  <c r="IJ188" i="11"/>
  <c r="IJ187" i="11"/>
  <c r="IJ186" i="11"/>
  <c r="IJ184" i="11"/>
  <c r="IJ141" i="11"/>
  <c r="IJ132" i="11"/>
  <c r="IJ131" i="11"/>
  <c r="IJ130" i="11"/>
  <c r="IJ126" i="11"/>
  <c r="IJ125" i="11"/>
  <c r="IJ124" i="11"/>
  <c r="IJ123" i="11"/>
  <c r="IJ122" i="11"/>
  <c r="IJ121" i="11"/>
  <c r="IJ120" i="11"/>
  <c r="IJ119" i="11"/>
  <c r="IJ118" i="11"/>
  <c r="IJ117" i="11"/>
  <c r="IJ116" i="11"/>
  <c r="IJ115" i="11"/>
  <c r="IJ114" i="11"/>
  <c r="IJ113" i="11"/>
  <c r="IJ112" i="11"/>
  <c r="IJ111" i="11"/>
  <c r="IJ110" i="11"/>
  <c r="IJ105" i="11"/>
  <c r="IJ104" i="11"/>
  <c r="IJ103" i="11"/>
  <c r="IJ102" i="11"/>
  <c r="IJ101" i="11"/>
  <c r="IJ100" i="11"/>
  <c r="IJ99" i="11"/>
  <c r="IJ98" i="11"/>
  <c r="IJ97" i="11"/>
  <c r="IJ96" i="11"/>
  <c r="IJ95" i="11"/>
  <c r="IJ94" i="11"/>
  <c r="IJ93" i="11"/>
  <c r="IJ92" i="11"/>
  <c r="IJ91" i="11"/>
  <c r="IJ90" i="11"/>
  <c r="IJ89" i="11"/>
  <c r="IJ88" i="11"/>
  <c r="IJ87" i="11"/>
  <c r="IJ86" i="11"/>
  <c r="IJ85" i="11"/>
  <c r="IJ84" i="11"/>
  <c r="IJ83" i="11"/>
  <c r="IJ82" i="11"/>
  <c r="IJ81" i="11"/>
  <c r="IJ80" i="11"/>
  <c r="IJ78" i="11"/>
  <c r="IJ48" i="11"/>
  <c r="IJ47" i="11"/>
  <c r="IJ46" i="11"/>
  <c r="IJ45" i="11"/>
  <c r="IJ44" i="11"/>
  <c r="IJ43" i="11"/>
  <c r="IJ42" i="11"/>
  <c r="IJ41" i="11"/>
  <c r="IJ40" i="11"/>
  <c r="IJ39" i="11"/>
  <c r="IJ38" i="11"/>
  <c r="IJ37" i="11"/>
  <c r="IJ36" i="11"/>
  <c r="IJ35" i="11"/>
  <c r="IJ34" i="11"/>
  <c r="IJ33" i="11"/>
  <c r="IJ32" i="11"/>
  <c r="IJ31" i="11"/>
  <c r="IJ30" i="11"/>
  <c r="IJ29" i="11"/>
  <c r="IJ28" i="11"/>
  <c r="IK271" i="11"/>
  <c r="IK270" i="11"/>
  <c r="IK249" i="11"/>
  <c r="IK248" i="11"/>
  <c r="IK238" i="11"/>
  <c r="IK237" i="11"/>
  <c r="IK236" i="11"/>
  <c r="IK235" i="11"/>
  <c r="IK215" i="11"/>
  <c r="IK214" i="11"/>
  <c r="IK213" i="11"/>
  <c r="IK212" i="11"/>
  <c r="IK211" i="11"/>
  <c r="IK210" i="11"/>
  <c r="IK209" i="11"/>
  <c r="IK208" i="11"/>
  <c r="IK207" i="11"/>
  <c r="IK206" i="11"/>
  <c r="IK205" i="11"/>
  <c r="IK204" i="11"/>
  <c r="IK180" i="11"/>
  <c r="IK179" i="11"/>
  <c r="IK162" i="11"/>
  <c r="IK161" i="11"/>
  <c r="IK159" i="11"/>
  <c r="IK157" i="11"/>
  <c r="IK126" i="11"/>
  <c r="IK125" i="11"/>
  <c r="IK124" i="11"/>
  <c r="IK123" i="11"/>
  <c r="IK122" i="11"/>
  <c r="IK121" i="11"/>
  <c r="IK120" i="11"/>
  <c r="IK119" i="11"/>
  <c r="IK118" i="11"/>
  <c r="IK117" i="11"/>
  <c r="IK116" i="11"/>
  <c r="IK115" i="11"/>
  <c r="IK114" i="11"/>
  <c r="IK113" i="11"/>
  <c r="IK112" i="11"/>
  <c r="IK111" i="11"/>
  <c r="IK110" i="11"/>
  <c r="IK108" i="11"/>
  <c r="IK107" i="11"/>
  <c r="IK105" i="11"/>
  <c r="IK104" i="11"/>
  <c r="IK103" i="11"/>
  <c r="IK102" i="11"/>
  <c r="IK101" i="11"/>
  <c r="IK100" i="11"/>
  <c r="IK99" i="11"/>
  <c r="IK98" i="11"/>
  <c r="IK97" i="11"/>
  <c r="IK96" i="11"/>
  <c r="IK95" i="11"/>
  <c r="IK94" i="11"/>
  <c r="IK93" i="11"/>
  <c r="IK92" i="11"/>
  <c r="IK91" i="11"/>
  <c r="IK90" i="11"/>
  <c r="IK89" i="11"/>
  <c r="IK88" i="11"/>
  <c r="IK87" i="11"/>
  <c r="IK86" i="11"/>
  <c r="IK85" i="11"/>
  <c r="IK84" i="11"/>
  <c r="IK83" i="11"/>
  <c r="IK82" i="11"/>
  <c r="IK81" i="11"/>
  <c r="IK80" i="11"/>
  <c r="IK78" i="11"/>
  <c r="IK76" i="11"/>
  <c r="IK75" i="11"/>
  <c r="IK48" i="11"/>
  <c r="IK47" i="11"/>
  <c r="IK46" i="11"/>
  <c r="IK45" i="11"/>
  <c r="IK44" i="11"/>
  <c r="IK43" i="11"/>
  <c r="IK42" i="11"/>
  <c r="IK41" i="11"/>
  <c r="IK40" i="11"/>
  <c r="IK39" i="11"/>
  <c r="IK38" i="11"/>
  <c r="IK37" i="11"/>
  <c r="IK36" i="11"/>
  <c r="IK35" i="11"/>
  <c r="IK34" i="11"/>
  <c r="IK33" i="11"/>
  <c r="IK32" i="11"/>
  <c r="IK31" i="11"/>
  <c r="IK30" i="11"/>
  <c r="IK29" i="11"/>
  <c r="IK28" i="11"/>
  <c r="IK26" i="11"/>
  <c r="IK25" i="11"/>
  <c r="IK24" i="11"/>
  <c r="IK23" i="11"/>
  <c r="CO261" i="11"/>
  <c r="CO260" i="11"/>
  <c r="CO259" i="11"/>
  <c r="CO258" i="11"/>
  <c r="CO257" i="11"/>
  <c r="CO256" i="11"/>
  <c r="CO255" i="11"/>
  <c r="CO254" i="11"/>
  <c r="CO241" i="11"/>
  <c r="CO240" i="11"/>
  <c r="CO223" i="11"/>
  <c r="CO222" i="11"/>
  <c r="CO221" i="11"/>
  <c r="CO220" i="11"/>
  <c r="CO215" i="11"/>
  <c r="CO214" i="11"/>
  <c r="CO213" i="11"/>
  <c r="CO212" i="11"/>
  <c r="CO211" i="11"/>
  <c r="CO210" i="11"/>
  <c r="CO209" i="11"/>
  <c r="CO208" i="11"/>
  <c r="CO207" i="11"/>
  <c r="CO206" i="11"/>
  <c r="CO205" i="11"/>
  <c r="CO204" i="11"/>
  <c r="CO202" i="11"/>
  <c r="CO201" i="11"/>
  <c r="CO200" i="11"/>
  <c r="CO184" i="11"/>
  <c r="CO126" i="11"/>
  <c r="CO125" i="11"/>
  <c r="CO124" i="11"/>
  <c r="CO123" i="11"/>
  <c r="CO122" i="11"/>
  <c r="CO121" i="11"/>
  <c r="CO120" i="11"/>
  <c r="CO119" i="11"/>
  <c r="CO118" i="11"/>
  <c r="CO117" i="11"/>
  <c r="CO116" i="11"/>
  <c r="CO115" i="11"/>
  <c r="CO114" i="11"/>
  <c r="CO113" i="11"/>
  <c r="CO112" i="11"/>
  <c r="CO111" i="11"/>
  <c r="CO110" i="11"/>
  <c r="CO108" i="11"/>
  <c r="CO107" i="11"/>
  <c r="CO105" i="11"/>
  <c r="CO104" i="11"/>
  <c r="CO103" i="11"/>
  <c r="CO102" i="11"/>
  <c r="CO101" i="11"/>
  <c r="CO100" i="11"/>
  <c r="CO99" i="11"/>
  <c r="CO98" i="11"/>
  <c r="CO97" i="11"/>
  <c r="CO96" i="11"/>
  <c r="CO95" i="11"/>
  <c r="CO94" i="11"/>
  <c r="CO93" i="11"/>
  <c r="CO92" i="11"/>
  <c r="CO91" i="11"/>
  <c r="CO90" i="11"/>
  <c r="CO89" i="11"/>
  <c r="CO88" i="11"/>
  <c r="CO87" i="11"/>
  <c r="CO86" i="11"/>
  <c r="CO85" i="11"/>
  <c r="CO84" i="11"/>
  <c r="CO83" i="11"/>
  <c r="CO82" i="11"/>
  <c r="CO81" i="11"/>
  <c r="CO80" i="11"/>
  <c r="CO78" i="11"/>
  <c r="CO61" i="11"/>
  <c r="CO60" i="11"/>
  <c r="CO59" i="11"/>
  <c r="CO58" i="11"/>
  <c r="CO57" i="11"/>
  <c r="CO56" i="11"/>
  <c r="CO48" i="11"/>
  <c r="CO47" i="11"/>
  <c r="CO46" i="11"/>
  <c r="CO45" i="11"/>
  <c r="CO44" i="11"/>
  <c r="CO43" i="11"/>
  <c r="CO42" i="11"/>
  <c r="CO41" i="11"/>
  <c r="CO40" i="11"/>
  <c r="CO39" i="11"/>
  <c r="CO38" i="11"/>
  <c r="CO37" i="11"/>
  <c r="CO36" i="11"/>
  <c r="CO35" i="11"/>
  <c r="CO34" i="11"/>
  <c r="CO33" i="11"/>
  <c r="CO32" i="11"/>
  <c r="CO31" i="11"/>
  <c r="CO30" i="11"/>
  <c r="CO29" i="11"/>
  <c r="CO28" i="11"/>
  <c r="CT261" i="11"/>
  <c r="CT260" i="11"/>
  <c r="CT259" i="11"/>
  <c r="CT258" i="11"/>
  <c r="CT257" i="11"/>
  <c r="CT256" i="11"/>
  <c r="CT255" i="11"/>
  <c r="CT254" i="11"/>
  <c r="CT241" i="11"/>
  <c r="CT240" i="11"/>
  <c r="CT215" i="11"/>
  <c r="CT214" i="11"/>
  <c r="CT213" i="11"/>
  <c r="CT212" i="11"/>
  <c r="CT211" i="11"/>
  <c r="CT210" i="11"/>
  <c r="CT209" i="11"/>
  <c r="CT208" i="11"/>
  <c r="CT207" i="11"/>
  <c r="CT206" i="11"/>
  <c r="CT205" i="11"/>
  <c r="CT204" i="11"/>
  <c r="CT202" i="11"/>
  <c r="CT201" i="11"/>
  <c r="CT200" i="11"/>
  <c r="CT184" i="11"/>
  <c r="CT155" i="11"/>
  <c r="CT154" i="11"/>
  <c r="CT153" i="11"/>
  <c r="CT152" i="11"/>
  <c r="CT126" i="11"/>
  <c r="CT125" i="11"/>
  <c r="CT124" i="11"/>
  <c r="CT123" i="11"/>
  <c r="CT122" i="11"/>
  <c r="CT121" i="11"/>
  <c r="CT120" i="11"/>
  <c r="CT119" i="11"/>
  <c r="CT118" i="11"/>
  <c r="CT117" i="11"/>
  <c r="CT116" i="11"/>
  <c r="CT115" i="11"/>
  <c r="CT114" i="11"/>
  <c r="CT113" i="11"/>
  <c r="CT112" i="11"/>
  <c r="CT111" i="11"/>
  <c r="CT110" i="11"/>
  <c r="CT105" i="11"/>
  <c r="CT104" i="11"/>
  <c r="CT103" i="11"/>
  <c r="CT102" i="11"/>
  <c r="CT101" i="11"/>
  <c r="CT100" i="11"/>
  <c r="CT99" i="11"/>
  <c r="CT98" i="11"/>
  <c r="CT97" i="11"/>
  <c r="CT96" i="11"/>
  <c r="CT95" i="11"/>
  <c r="CT94" i="11"/>
  <c r="CT93" i="11"/>
  <c r="CT92" i="11"/>
  <c r="CT91" i="11"/>
  <c r="CT90" i="11"/>
  <c r="CT89" i="11"/>
  <c r="CT88" i="11"/>
  <c r="CT87" i="11"/>
  <c r="CT86" i="11"/>
  <c r="CT85" i="11"/>
  <c r="CT84" i="11"/>
  <c r="CT83" i="11"/>
  <c r="CT82" i="11"/>
  <c r="CT81" i="11"/>
  <c r="CT80" i="11"/>
  <c r="CT61" i="11"/>
  <c r="CT60" i="11"/>
  <c r="CT59" i="11"/>
  <c r="CT58" i="11"/>
  <c r="CT57" i="11"/>
  <c r="CT56" i="11"/>
  <c r="CT48" i="11"/>
  <c r="CT47" i="11"/>
  <c r="CT46" i="11"/>
  <c r="CT45" i="11"/>
  <c r="CT44" i="11"/>
  <c r="CT43" i="11"/>
  <c r="CT42" i="11"/>
  <c r="CT41" i="11"/>
  <c r="CT40" i="11"/>
  <c r="CT39" i="11"/>
  <c r="CT38" i="11"/>
  <c r="CT37" i="11"/>
  <c r="CT36" i="11"/>
  <c r="CT35" i="11"/>
  <c r="CT34" i="11"/>
  <c r="CT33" i="11"/>
  <c r="CT32" i="11"/>
  <c r="CT31" i="11"/>
  <c r="CT30" i="11"/>
  <c r="CT29" i="11"/>
  <c r="CT28" i="11"/>
  <c r="MF126" i="11"/>
  <c r="MF125" i="11"/>
  <c r="MF124" i="11"/>
  <c r="MF123" i="11"/>
  <c r="MF122" i="11"/>
  <c r="MF121" i="11"/>
  <c r="MF120" i="11"/>
  <c r="MF119" i="11"/>
  <c r="MF118" i="11"/>
  <c r="MF117" i="11"/>
  <c r="MF116" i="11"/>
  <c r="MF115" i="11"/>
  <c r="MF114" i="11"/>
  <c r="MF113" i="11"/>
  <c r="MF112" i="11"/>
  <c r="MF111" i="11"/>
  <c r="MF110" i="11"/>
  <c r="MF108" i="11"/>
  <c r="MF107" i="11"/>
  <c r="MF105" i="11"/>
  <c r="MF104" i="11"/>
  <c r="MF103" i="11"/>
  <c r="MF102" i="11"/>
  <c r="MF101" i="11"/>
  <c r="MF100" i="11"/>
  <c r="MF99" i="11"/>
  <c r="MF98" i="11"/>
  <c r="MF97" i="11"/>
  <c r="MF96" i="11"/>
  <c r="MF95" i="11"/>
  <c r="MF94" i="11"/>
  <c r="MF93" i="11"/>
  <c r="MF92" i="11"/>
  <c r="MF91" i="11"/>
  <c r="MF90" i="11"/>
  <c r="MF89" i="11"/>
  <c r="MF88" i="11"/>
  <c r="MF87" i="11"/>
  <c r="MF86" i="11"/>
  <c r="MF85" i="11"/>
  <c r="MF84" i="11"/>
  <c r="MF83" i="11"/>
  <c r="MF82" i="11"/>
  <c r="MF81" i="11"/>
  <c r="MF80" i="11"/>
  <c r="MF78" i="11"/>
  <c r="MF48" i="11"/>
  <c r="MF47" i="11"/>
  <c r="MF46" i="11"/>
  <c r="MF45" i="11"/>
  <c r="MF44" i="11"/>
  <c r="MF43" i="11"/>
  <c r="MF42" i="11"/>
  <c r="MF41" i="11"/>
  <c r="MF40" i="11"/>
  <c r="MF39" i="11"/>
  <c r="MF38" i="11"/>
  <c r="MF37" i="11"/>
  <c r="MF36" i="11"/>
  <c r="MF35" i="11"/>
  <c r="MF34" i="11"/>
  <c r="MF33" i="11"/>
  <c r="MF32" i="11"/>
  <c r="MF31" i="11"/>
  <c r="MF30" i="11"/>
  <c r="MF29" i="11"/>
  <c r="MF28" i="11"/>
  <c r="ME126" i="11"/>
  <c r="ME125" i="11"/>
  <c r="ME124" i="11"/>
  <c r="ME123" i="11"/>
  <c r="ME122" i="11"/>
  <c r="ME121" i="11"/>
  <c r="ME120" i="11"/>
  <c r="ME119" i="11"/>
  <c r="ME118" i="11"/>
  <c r="ME117" i="11"/>
  <c r="ME116" i="11"/>
  <c r="ME115" i="11"/>
  <c r="ME114" i="11"/>
  <c r="ME113" i="11"/>
  <c r="ME112" i="11"/>
  <c r="ME111" i="11"/>
  <c r="ME110" i="11"/>
  <c r="ME108" i="11"/>
  <c r="ME107" i="11"/>
  <c r="ME105" i="11"/>
  <c r="ME104" i="11"/>
  <c r="ME103" i="11"/>
  <c r="ME102" i="11"/>
  <c r="ME101" i="11"/>
  <c r="ME100" i="11"/>
  <c r="ME99" i="11"/>
  <c r="ME98" i="11"/>
  <c r="ME97" i="11"/>
  <c r="ME96" i="11"/>
  <c r="ME95" i="11"/>
  <c r="ME94" i="11"/>
  <c r="ME93" i="11"/>
  <c r="ME92" i="11"/>
  <c r="ME91" i="11"/>
  <c r="ME90" i="11"/>
  <c r="ME89" i="11"/>
  <c r="ME88" i="11"/>
  <c r="ME87" i="11"/>
  <c r="ME86" i="11"/>
  <c r="ME85" i="11"/>
  <c r="ME84" i="11"/>
  <c r="ME83" i="11"/>
  <c r="ME82" i="11"/>
  <c r="ME81" i="11"/>
  <c r="ME80" i="11"/>
  <c r="ME78" i="11"/>
  <c r="ME48" i="11"/>
  <c r="ME47" i="11"/>
  <c r="ME46" i="11"/>
  <c r="ME45" i="11"/>
  <c r="ME44" i="11"/>
  <c r="ME43" i="11"/>
  <c r="ME42" i="11"/>
  <c r="ME41" i="11"/>
  <c r="ME40" i="11"/>
  <c r="ME39" i="11"/>
  <c r="ME38" i="11"/>
  <c r="ME37" i="11"/>
  <c r="ME36" i="11"/>
  <c r="ME35" i="11"/>
  <c r="ME34" i="11"/>
  <c r="ME33" i="11"/>
  <c r="ME32" i="11"/>
  <c r="ME31" i="11"/>
  <c r="ME30" i="11"/>
  <c r="ME29" i="11"/>
  <c r="ME28" i="11"/>
  <c r="LZ78" i="11"/>
  <c r="IC108" i="11"/>
  <c r="IC107" i="11"/>
  <c r="IC105" i="11"/>
  <c r="IC104" i="11"/>
  <c r="IC103" i="11"/>
  <c r="IC102" i="11"/>
  <c r="IC101" i="11"/>
  <c r="IC100" i="11"/>
  <c r="IC99" i="11"/>
  <c r="IC98" i="11"/>
  <c r="IC97" i="11"/>
  <c r="IC96" i="11"/>
  <c r="IC95" i="11"/>
  <c r="IC94" i="11"/>
  <c r="IC93" i="11"/>
  <c r="IC92" i="11"/>
  <c r="IC91" i="11"/>
  <c r="IC90" i="11"/>
  <c r="IC89" i="11"/>
  <c r="IC88" i="11"/>
  <c r="IC87" i="11"/>
  <c r="IC86" i="11"/>
  <c r="IC85" i="11"/>
  <c r="IC84" i="11"/>
  <c r="IC83" i="11"/>
  <c r="IC82" i="11"/>
  <c r="IC81" i="11"/>
  <c r="IC80" i="11"/>
  <c r="IC78" i="11"/>
  <c r="IC48" i="11"/>
  <c r="IC47" i="11"/>
  <c r="IC46" i="11"/>
  <c r="IC45" i="11"/>
  <c r="IC44" i="11"/>
  <c r="IC43" i="11"/>
  <c r="IC42" i="11"/>
  <c r="IC41" i="11"/>
  <c r="IC40" i="11"/>
  <c r="IC39" i="11"/>
  <c r="IC38" i="11"/>
  <c r="IC37" i="11"/>
  <c r="IC36" i="11"/>
  <c r="IC35" i="11"/>
  <c r="IC34" i="11"/>
  <c r="IC33" i="11"/>
  <c r="IC32" i="11"/>
  <c r="IC31" i="11"/>
  <c r="IC30" i="11"/>
  <c r="IC29" i="11"/>
  <c r="IC28" i="11"/>
  <c r="IB78" i="11"/>
  <c r="EX261" i="11" l="1"/>
  <c r="EX260" i="11"/>
  <c r="EX259" i="11"/>
  <c r="EX258" i="11"/>
  <c r="EX257" i="11"/>
  <c r="EX256" i="11"/>
  <c r="EX255" i="11"/>
  <c r="EX254" i="11"/>
  <c r="EX215" i="11"/>
  <c r="EX214" i="11"/>
  <c r="EX213" i="11"/>
  <c r="EX212" i="11"/>
  <c r="EX211" i="11"/>
  <c r="EX210" i="11"/>
  <c r="EX209" i="11"/>
  <c r="EX208" i="11"/>
  <c r="EX207" i="11"/>
  <c r="EX206" i="11"/>
  <c r="EX205" i="11"/>
  <c r="EX204" i="11"/>
  <c r="EX105" i="11"/>
  <c r="EX104" i="11"/>
  <c r="EX103" i="11"/>
  <c r="EX102" i="11"/>
  <c r="EX101" i="11"/>
  <c r="EX100" i="11"/>
  <c r="EX99" i="11"/>
  <c r="EX98" i="11"/>
  <c r="EX97" i="11"/>
  <c r="EX96" i="11"/>
  <c r="EX95" i="11"/>
  <c r="EX94" i="11"/>
  <c r="EX93" i="11"/>
  <c r="EX92" i="11"/>
  <c r="EX91" i="11"/>
  <c r="EX90" i="11"/>
  <c r="EX89" i="11"/>
  <c r="EX88" i="11"/>
  <c r="EX87" i="11"/>
  <c r="EX86" i="11"/>
  <c r="EX85" i="11"/>
  <c r="EX84" i="11"/>
  <c r="EX83" i="11"/>
  <c r="EX82" i="11"/>
  <c r="EX81" i="11"/>
  <c r="EX80" i="11"/>
  <c r="EX78" i="11"/>
  <c r="EX48" i="11"/>
  <c r="EX47" i="11"/>
  <c r="EX46" i="11"/>
  <c r="EX45" i="11"/>
  <c r="EX44" i="11"/>
  <c r="EX43" i="11"/>
  <c r="EX42" i="11"/>
  <c r="EX41" i="11"/>
  <c r="EX40" i="11"/>
  <c r="EX39" i="11"/>
  <c r="EX38" i="11"/>
  <c r="EX37" i="11"/>
  <c r="EX36" i="11"/>
  <c r="EX35" i="11"/>
  <c r="EX34" i="11"/>
  <c r="EX33" i="11"/>
  <c r="EX32" i="11"/>
  <c r="EX31" i="11"/>
  <c r="EX30" i="11"/>
  <c r="EX29" i="11"/>
  <c r="EX28" i="11"/>
  <c r="CU261" i="11"/>
  <c r="CU260" i="11"/>
  <c r="CU259" i="11"/>
  <c r="CU258" i="11"/>
  <c r="CU257" i="11"/>
  <c r="CU256" i="11"/>
  <c r="CU255" i="11"/>
  <c r="CU254" i="11"/>
  <c r="CU241" i="11"/>
  <c r="CU240" i="11"/>
  <c r="CU215" i="11"/>
  <c r="CU214" i="11"/>
  <c r="CU213" i="11"/>
  <c r="CU212" i="11"/>
  <c r="CU211" i="11"/>
  <c r="CU210" i="11"/>
  <c r="CU209" i="11"/>
  <c r="CU208" i="11"/>
  <c r="CU207" i="11"/>
  <c r="CU206" i="11"/>
  <c r="CU205" i="11"/>
  <c r="CU204" i="11"/>
  <c r="CU105" i="11"/>
  <c r="CU104" i="11"/>
  <c r="CU103" i="11"/>
  <c r="CU102" i="11"/>
  <c r="CU101" i="11"/>
  <c r="CU100" i="11"/>
  <c r="CU99" i="11"/>
  <c r="CU98" i="11"/>
  <c r="CU97" i="11"/>
  <c r="CU96" i="11"/>
  <c r="CU95" i="11"/>
  <c r="CU94" i="11"/>
  <c r="CU93" i="11"/>
  <c r="CU92" i="11"/>
  <c r="CU91" i="11"/>
  <c r="CU90" i="11"/>
  <c r="CU89" i="11"/>
  <c r="CU88" i="11"/>
  <c r="CU87" i="11"/>
  <c r="CU86" i="11"/>
  <c r="CU85" i="11"/>
  <c r="CU84" i="11"/>
  <c r="CU83" i="11"/>
  <c r="CU82" i="11"/>
  <c r="CU81" i="11"/>
  <c r="CU80" i="11"/>
  <c r="CU78" i="11"/>
  <c r="IP287" i="11"/>
  <c r="IX287" i="11"/>
  <c r="EB287" i="11"/>
  <c r="CA287" i="11"/>
  <c r="BZ287" i="11"/>
  <c r="BU287" i="11"/>
  <c r="BR287" i="11"/>
  <c r="BA287" i="11"/>
  <c r="AZ287" i="11"/>
  <c r="AW287" i="11"/>
  <c r="AV287" i="11"/>
  <c r="JS287" i="11"/>
  <c r="HB287" i="11"/>
  <c r="GL287" i="11"/>
  <c r="EM287" i="11"/>
  <c r="EL287" i="11"/>
  <c r="HY287" i="11"/>
  <c r="HX287" i="11"/>
  <c r="FV287" i="11"/>
  <c r="FU287" i="11"/>
  <c r="FT287" i="11"/>
  <c r="FS287" i="11"/>
  <c r="FR287" i="11"/>
  <c r="FQ287" i="11"/>
  <c r="FO287" i="11"/>
  <c r="FM287" i="11"/>
  <c r="FJ287" i="11"/>
  <c r="FD287" i="11"/>
  <c r="FC287" i="11"/>
  <c r="EQ287" i="11"/>
  <c r="EO287" i="11"/>
  <c r="DH287" i="11"/>
  <c r="DG287" i="11"/>
  <c r="DF287" i="11"/>
  <c r="DE287" i="11"/>
  <c r="CJ287" i="11"/>
  <c r="CI287" i="11"/>
  <c r="CA268" i="11"/>
  <c r="BZ268" i="11"/>
  <c r="BU268" i="11"/>
  <c r="BR268" i="11"/>
  <c r="BA268" i="11"/>
  <c r="AZ268" i="11"/>
  <c r="AW268" i="11"/>
  <c r="AV268" i="11"/>
  <c r="HB268" i="11"/>
  <c r="HY268" i="11"/>
  <c r="HX268" i="11"/>
  <c r="FD268" i="11"/>
  <c r="FC268" i="11"/>
  <c r="EP268" i="11"/>
  <c r="DH268" i="11"/>
  <c r="DG268" i="11"/>
  <c r="DF268" i="11"/>
  <c r="DE268" i="11"/>
  <c r="CJ268" i="11"/>
  <c r="CA267" i="11"/>
  <c r="BZ267" i="11"/>
  <c r="BU267" i="11"/>
  <c r="BR267" i="11"/>
  <c r="BA267" i="11"/>
  <c r="AZ267" i="11"/>
  <c r="AW267" i="11"/>
  <c r="AV267" i="11"/>
  <c r="HB267" i="11"/>
  <c r="HY267" i="11"/>
  <c r="HX267" i="11"/>
  <c r="FD267" i="11"/>
  <c r="FC267" i="11"/>
  <c r="EP267" i="11"/>
  <c r="DH267" i="11"/>
  <c r="DG267" i="11"/>
  <c r="DF267" i="11"/>
  <c r="DE267" i="11"/>
  <c r="CJ267" i="11"/>
  <c r="IP261" i="11"/>
  <c r="IX261" i="11"/>
  <c r="IU261" i="11"/>
  <c r="EA261" i="11"/>
  <c r="EB261" i="11"/>
  <c r="DZ261" i="11"/>
  <c r="DY261" i="11"/>
  <c r="MC261" i="11"/>
  <c r="CA261" i="11"/>
  <c r="BZ261" i="11"/>
  <c r="BV261" i="11"/>
  <c r="BU261" i="11"/>
  <c r="BR261" i="11"/>
  <c r="BG261" i="11"/>
  <c r="BA261" i="11"/>
  <c r="AZ261" i="11"/>
  <c r="AW261" i="11"/>
  <c r="AV261" i="11"/>
  <c r="KB261" i="11"/>
  <c r="IM261" i="11"/>
  <c r="KA261" i="11"/>
  <c r="HF261" i="11"/>
  <c r="HE261" i="11"/>
  <c r="HD261" i="11"/>
  <c r="HC261" i="11"/>
  <c r="HB261" i="11"/>
  <c r="GB261" i="11"/>
  <c r="IG261" i="11"/>
  <c r="GM261" i="11"/>
  <c r="GL261" i="11"/>
  <c r="EM261" i="11"/>
  <c r="EL261" i="11"/>
  <c r="II261" i="11"/>
  <c r="IH261" i="11"/>
  <c r="ID261" i="11"/>
  <c r="HY261" i="11"/>
  <c r="HX261" i="11"/>
  <c r="HU261" i="11"/>
  <c r="HT261" i="11"/>
  <c r="HR261" i="11"/>
  <c r="HQ261" i="11"/>
  <c r="HP261" i="11"/>
  <c r="HO261" i="11"/>
  <c r="HN261" i="11"/>
  <c r="HM261" i="11"/>
  <c r="HL261" i="11"/>
  <c r="HK261" i="11"/>
  <c r="HJ261" i="11"/>
  <c r="GY261" i="11"/>
  <c r="GX261" i="11"/>
  <c r="GW261" i="11"/>
  <c r="GV261" i="11"/>
  <c r="GT261" i="11"/>
  <c r="GS261" i="11"/>
  <c r="GO261" i="11"/>
  <c r="GI261" i="11"/>
  <c r="GH261" i="11"/>
  <c r="GF261" i="11"/>
  <c r="GD261" i="11"/>
  <c r="GC261" i="11"/>
  <c r="FY261" i="11"/>
  <c r="FW261" i="11"/>
  <c r="FV261" i="11"/>
  <c r="FU261" i="11"/>
  <c r="FT261" i="11"/>
  <c r="FS261" i="11"/>
  <c r="FR261" i="11"/>
  <c r="FQ261" i="11"/>
  <c r="FO261" i="11"/>
  <c r="FM261" i="11"/>
  <c r="FK261" i="11"/>
  <c r="FJ261" i="11"/>
  <c r="FE261" i="11"/>
  <c r="FD261" i="11"/>
  <c r="FC261" i="11"/>
  <c r="EW261" i="11"/>
  <c r="EQ261" i="11"/>
  <c r="EP261" i="11"/>
  <c r="EO261" i="11"/>
  <c r="DU261" i="11"/>
  <c r="DQ261" i="11"/>
  <c r="DP261" i="11"/>
  <c r="DH261" i="11"/>
  <c r="DG261" i="11"/>
  <c r="DF261" i="11"/>
  <c r="DE261" i="11"/>
  <c r="AC261" i="11"/>
  <c r="M261" i="11"/>
  <c r="CW261" i="11"/>
  <c r="CX261" i="11"/>
  <c r="CV261" i="11"/>
  <c r="CK261" i="11"/>
  <c r="CJ261" i="11"/>
  <c r="CI261" i="11"/>
  <c r="CH261" i="11"/>
  <c r="CF261" i="11"/>
  <c r="IP241" i="11"/>
  <c r="IX241" i="11"/>
  <c r="EB241" i="11"/>
  <c r="DZ241" i="11"/>
  <c r="DY241" i="11"/>
  <c r="MC241" i="11"/>
  <c r="CA241" i="11"/>
  <c r="BZ241" i="11"/>
  <c r="BV241" i="11"/>
  <c r="BU241" i="11"/>
  <c r="BR241" i="11"/>
  <c r="BA241" i="11"/>
  <c r="AZ241" i="11"/>
  <c r="AW241" i="11"/>
  <c r="AV241" i="11"/>
  <c r="IM241" i="11"/>
  <c r="HB241" i="11"/>
  <c r="GL241" i="11"/>
  <c r="EL241" i="11"/>
  <c r="IH241" i="11"/>
  <c r="HY241" i="11"/>
  <c r="HX241" i="11"/>
  <c r="GJ241" i="11"/>
  <c r="GC241" i="11"/>
  <c r="FV241" i="11"/>
  <c r="FU241" i="11"/>
  <c r="FT241" i="11"/>
  <c r="FS241" i="11"/>
  <c r="FR241" i="11"/>
  <c r="FQ241" i="11"/>
  <c r="FO241" i="11"/>
  <c r="FM241" i="11"/>
  <c r="FK241" i="11"/>
  <c r="FJ241" i="11"/>
  <c r="FD241" i="11"/>
  <c r="FC241" i="11"/>
  <c r="EW241" i="11"/>
  <c r="EQ241" i="11"/>
  <c r="EP241" i="11"/>
  <c r="EO241" i="11"/>
  <c r="DU241" i="11"/>
  <c r="DH241" i="11"/>
  <c r="DG241" i="11"/>
  <c r="DF241" i="11"/>
  <c r="DE241" i="11"/>
  <c r="AC241" i="11"/>
  <c r="CX241" i="11"/>
  <c r="CV241" i="11"/>
  <c r="CK241" i="11"/>
  <c r="CJ241" i="11"/>
  <c r="CI241" i="11"/>
  <c r="CA227" i="11"/>
  <c r="BZ227" i="11"/>
  <c r="BV227" i="11"/>
  <c r="BU227" i="11"/>
  <c r="BR227" i="11"/>
  <c r="BA227" i="11"/>
  <c r="AZ227" i="11"/>
  <c r="AW227" i="11"/>
  <c r="AV227" i="11"/>
  <c r="KA227" i="11"/>
  <c r="HF227" i="11"/>
  <c r="HE227" i="11"/>
  <c r="HD227" i="11"/>
  <c r="HC227" i="11"/>
  <c r="HB227" i="11"/>
  <c r="HY227" i="11"/>
  <c r="HX227" i="11"/>
  <c r="FC227" i="11"/>
  <c r="DH227" i="11"/>
  <c r="DG227" i="11"/>
  <c r="DF227" i="11"/>
  <c r="DE227" i="11"/>
  <c r="CJ227" i="11"/>
  <c r="JB222" i="11"/>
  <c r="IX222" i="11"/>
  <c r="EJ222" i="11"/>
  <c r="CA222" i="11"/>
  <c r="BZ222" i="11"/>
  <c r="BV222" i="11"/>
  <c r="BU222" i="11"/>
  <c r="BR222" i="11"/>
  <c r="BL222" i="11"/>
  <c r="BK222" i="11"/>
  <c r="BG222" i="11"/>
  <c r="BA222" i="11"/>
  <c r="AZ222" i="11"/>
  <c r="AW222" i="11"/>
  <c r="AV222" i="11"/>
  <c r="KA222" i="11"/>
  <c r="HB222" i="11"/>
  <c r="GL222" i="11"/>
  <c r="EM222" i="11"/>
  <c r="EL222" i="11"/>
  <c r="HY222" i="11"/>
  <c r="HX222" i="11"/>
  <c r="GQ222" i="11"/>
  <c r="GO222" i="11"/>
  <c r="GJ222" i="11"/>
  <c r="GC222" i="11"/>
  <c r="FV222" i="11"/>
  <c r="FU222" i="11"/>
  <c r="FT222" i="11"/>
  <c r="FS222" i="11"/>
  <c r="FR222" i="11"/>
  <c r="FQ222" i="11"/>
  <c r="FO222" i="11"/>
  <c r="FM222" i="11"/>
  <c r="FK222" i="11"/>
  <c r="FJ222" i="11"/>
  <c r="GR222" i="11"/>
  <c r="FF222" i="11"/>
  <c r="FD222" i="11"/>
  <c r="FC222" i="11"/>
  <c r="ET222" i="11"/>
  <c r="EQ222" i="11"/>
  <c r="EP222" i="11"/>
  <c r="EO222" i="11"/>
  <c r="DU222" i="11"/>
  <c r="DP222" i="11"/>
  <c r="DH222" i="11"/>
  <c r="DG222" i="11"/>
  <c r="DF222" i="11"/>
  <c r="DE222" i="11"/>
  <c r="AG222" i="11"/>
  <c r="M222" i="11"/>
  <c r="CJ222" i="11"/>
  <c r="CI222" i="11"/>
  <c r="CF222" i="11"/>
  <c r="IP213" i="11"/>
  <c r="IZ213" i="11"/>
  <c r="IX213" i="11"/>
  <c r="IU213" i="11"/>
  <c r="EA213" i="11"/>
  <c r="EB213" i="11"/>
  <c r="DZ213" i="11"/>
  <c r="DY213" i="11"/>
  <c r="MC213" i="11"/>
  <c r="CA213" i="11"/>
  <c r="BZ213" i="11"/>
  <c r="BV213" i="11"/>
  <c r="BU213" i="11"/>
  <c r="BR213" i="11"/>
  <c r="BL213" i="11"/>
  <c r="BJ213" i="11"/>
  <c r="BA213" i="11"/>
  <c r="AZ213" i="11"/>
  <c r="AW213" i="11"/>
  <c r="AV213" i="11"/>
  <c r="KE213" i="11"/>
  <c r="JS213" i="11"/>
  <c r="IM213" i="11"/>
  <c r="KA213" i="11"/>
  <c r="HB213" i="11"/>
  <c r="GA213" i="11"/>
  <c r="GB213" i="11"/>
  <c r="IG213" i="11"/>
  <c r="GM213" i="11"/>
  <c r="GL213" i="11"/>
  <c r="EM213" i="11"/>
  <c r="EL213" i="11"/>
  <c r="II213" i="11"/>
  <c r="IH213" i="11"/>
  <c r="HY213" i="11"/>
  <c r="HX213" i="11"/>
  <c r="HK213" i="11"/>
  <c r="GY213" i="11"/>
  <c r="GX213" i="11"/>
  <c r="GW213" i="11"/>
  <c r="GV213" i="11"/>
  <c r="GU213" i="11"/>
  <c r="GT213" i="11"/>
  <c r="GS213" i="11"/>
  <c r="GQ213" i="11"/>
  <c r="GO213" i="11"/>
  <c r="GJ213" i="11"/>
  <c r="GI213" i="11"/>
  <c r="GH213" i="11"/>
  <c r="GG213" i="11"/>
  <c r="GF213" i="11"/>
  <c r="GD213" i="11"/>
  <c r="GC213" i="11"/>
  <c r="FZ213" i="11"/>
  <c r="FY213" i="11"/>
  <c r="FX213" i="11"/>
  <c r="FW213" i="11"/>
  <c r="FV213" i="11"/>
  <c r="FU213" i="11"/>
  <c r="FT213" i="11"/>
  <c r="FS213" i="11"/>
  <c r="FR213" i="11"/>
  <c r="FQ213" i="11"/>
  <c r="FO213" i="11"/>
  <c r="FM213" i="11"/>
  <c r="FK213" i="11"/>
  <c r="FJ213" i="11"/>
  <c r="GR213" i="11"/>
  <c r="FF213" i="11"/>
  <c r="FD213" i="11"/>
  <c r="FC213" i="11"/>
  <c r="EW213" i="11"/>
  <c r="EQ213" i="11"/>
  <c r="EP213" i="11"/>
  <c r="EO213" i="11"/>
  <c r="DU213" i="11"/>
  <c r="DQ213" i="11"/>
  <c r="DP213" i="11"/>
  <c r="DH213" i="11"/>
  <c r="DG213" i="11"/>
  <c r="DF213" i="11"/>
  <c r="DE213" i="11"/>
  <c r="AG213" i="11"/>
  <c r="AC213" i="11"/>
  <c r="M213" i="11"/>
  <c r="CW213" i="11"/>
  <c r="CX213" i="11"/>
  <c r="CV213" i="11"/>
  <c r="CK213" i="11"/>
  <c r="CJ213" i="11"/>
  <c r="CI213" i="11"/>
  <c r="CH213" i="11"/>
  <c r="CF213" i="11"/>
  <c r="CE213" i="11"/>
  <c r="IP211" i="11"/>
  <c r="IZ211" i="11"/>
  <c r="IX211" i="11"/>
  <c r="IU211" i="11"/>
  <c r="EA211" i="11"/>
  <c r="EB211" i="11"/>
  <c r="DZ211" i="11"/>
  <c r="DY211" i="11"/>
  <c r="MC211" i="11"/>
  <c r="CA211" i="11"/>
  <c r="BZ211" i="11"/>
  <c r="BV211" i="11"/>
  <c r="BU211" i="11"/>
  <c r="BR211" i="11"/>
  <c r="BL211" i="11"/>
  <c r="BJ211" i="11"/>
  <c r="BA211" i="11"/>
  <c r="AZ211" i="11"/>
  <c r="AW211" i="11"/>
  <c r="AV211" i="11"/>
  <c r="KE211" i="11"/>
  <c r="JS211" i="11"/>
  <c r="IM211" i="11"/>
  <c r="KA211" i="11"/>
  <c r="HB211" i="11"/>
  <c r="GA211" i="11"/>
  <c r="GB211" i="11"/>
  <c r="IG211" i="11"/>
  <c r="GM211" i="11"/>
  <c r="GL211" i="11"/>
  <c r="EM211" i="11"/>
  <c r="EL211" i="11"/>
  <c r="II211" i="11"/>
  <c r="IH211" i="11"/>
  <c r="HY211" i="11"/>
  <c r="HX211" i="11"/>
  <c r="HK211" i="11"/>
  <c r="GY211" i="11"/>
  <c r="GX211" i="11"/>
  <c r="GW211" i="11"/>
  <c r="GV211" i="11"/>
  <c r="GU211" i="11"/>
  <c r="GT211" i="11"/>
  <c r="GS211" i="11"/>
  <c r="GQ211" i="11"/>
  <c r="GO211" i="11"/>
  <c r="GJ211" i="11"/>
  <c r="GI211" i="11"/>
  <c r="GH211" i="11"/>
  <c r="GG211" i="11"/>
  <c r="GF211" i="11"/>
  <c r="GD211" i="11"/>
  <c r="GC211" i="11"/>
  <c r="FZ211" i="11"/>
  <c r="FY211" i="11"/>
  <c r="FX211" i="11"/>
  <c r="FW211" i="11"/>
  <c r="FV211" i="11"/>
  <c r="FU211" i="11"/>
  <c r="FT211" i="11"/>
  <c r="FS211" i="11"/>
  <c r="FR211" i="11"/>
  <c r="FQ211" i="11"/>
  <c r="FO211" i="11"/>
  <c r="FM211" i="11"/>
  <c r="FK211" i="11"/>
  <c r="FJ211" i="11"/>
  <c r="GR211" i="11"/>
  <c r="FF211" i="11"/>
  <c r="FD211" i="11"/>
  <c r="FC211" i="11"/>
  <c r="EW211" i="11"/>
  <c r="EQ211" i="11"/>
  <c r="EP211" i="11"/>
  <c r="EO211" i="11"/>
  <c r="DU211" i="11"/>
  <c r="DQ211" i="11"/>
  <c r="DP211" i="11"/>
  <c r="DH211" i="11"/>
  <c r="DG211" i="11"/>
  <c r="DF211" i="11"/>
  <c r="DE211" i="11"/>
  <c r="AG211" i="11"/>
  <c r="AC211" i="11"/>
  <c r="M211" i="11"/>
  <c r="CW211" i="11"/>
  <c r="CX211" i="11"/>
  <c r="CV211" i="11"/>
  <c r="CK211" i="11"/>
  <c r="CJ211" i="11"/>
  <c r="CI211" i="11"/>
  <c r="CH211" i="11"/>
  <c r="CF211" i="11"/>
  <c r="CE211" i="11"/>
  <c r="IP208" i="11"/>
  <c r="IZ208" i="11"/>
  <c r="IX208" i="11"/>
  <c r="IU208" i="11"/>
  <c r="EA208" i="11"/>
  <c r="EB208" i="11"/>
  <c r="DZ208" i="11"/>
  <c r="DY208" i="11"/>
  <c r="MC208" i="11"/>
  <c r="CA208" i="11"/>
  <c r="BZ208" i="11"/>
  <c r="BV208" i="11"/>
  <c r="BU208" i="11"/>
  <c r="BR208" i="11"/>
  <c r="BL208" i="11"/>
  <c r="BJ208" i="11"/>
  <c r="BA208" i="11"/>
  <c r="AZ208" i="11"/>
  <c r="AW208" i="11"/>
  <c r="AV208" i="11"/>
  <c r="KE208" i="11"/>
  <c r="JS208" i="11"/>
  <c r="IM208" i="11"/>
  <c r="KA208" i="11"/>
  <c r="HB208" i="11"/>
  <c r="GA208" i="11"/>
  <c r="GB208" i="11"/>
  <c r="IG208" i="11"/>
  <c r="GM208" i="11"/>
  <c r="GL208" i="11"/>
  <c r="EM208" i="11"/>
  <c r="EL208" i="11"/>
  <c r="II208" i="11"/>
  <c r="IH208" i="11"/>
  <c r="HY208" i="11"/>
  <c r="HX208" i="11"/>
  <c r="HK208" i="11"/>
  <c r="GY208" i="11"/>
  <c r="GX208" i="11"/>
  <c r="GW208" i="11"/>
  <c r="GV208" i="11"/>
  <c r="GU208" i="11"/>
  <c r="GT208" i="11"/>
  <c r="GS208" i="11"/>
  <c r="GQ208" i="11"/>
  <c r="GO208" i="11"/>
  <c r="GJ208" i="11"/>
  <c r="GI208" i="11"/>
  <c r="GH208" i="11"/>
  <c r="GG208" i="11"/>
  <c r="GF208" i="11"/>
  <c r="GD208" i="11"/>
  <c r="GC208" i="11"/>
  <c r="FZ208" i="11"/>
  <c r="FY208" i="11"/>
  <c r="FX208" i="11"/>
  <c r="FW208" i="11"/>
  <c r="FV208" i="11"/>
  <c r="FU208" i="11"/>
  <c r="FT208" i="11"/>
  <c r="FS208" i="11"/>
  <c r="FR208" i="11"/>
  <c r="FQ208" i="11"/>
  <c r="FO208" i="11"/>
  <c r="FM208" i="11"/>
  <c r="FK208" i="11"/>
  <c r="FJ208" i="11"/>
  <c r="GR208" i="11"/>
  <c r="FF208" i="11"/>
  <c r="FD208" i="11"/>
  <c r="FC208" i="11"/>
  <c r="EW208" i="11"/>
  <c r="EQ208" i="11"/>
  <c r="EP208" i="11"/>
  <c r="EO208" i="11"/>
  <c r="DU208" i="11"/>
  <c r="DQ208" i="11"/>
  <c r="DP208" i="11"/>
  <c r="DH208" i="11"/>
  <c r="DG208" i="11"/>
  <c r="DF208" i="11"/>
  <c r="DE208" i="11"/>
  <c r="AG208" i="11"/>
  <c r="AC208" i="11"/>
  <c r="M208" i="11"/>
  <c r="CW208" i="11"/>
  <c r="CX208" i="11"/>
  <c r="CV208" i="11"/>
  <c r="CK208" i="11"/>
  <c r="CJ208" i="11"/>
  <c r="CI208" i="11"/>
  <c r="CH208" i="11"/>
  <c r="CF208" i="11"/>
  <c r="CE208" i="11"/>
  <c r="IP206" i="11"/>
  <c r="IZ206" i="11"/>
  <c r="IX206" i="11"/>
  <c r="IU206" i="11"/>
  <c r="EA206" i="11"/>
  <c r="EB206" i="11"/>
  <c r="DZ206" i="11"/>
  <c r="DY206" i="11"/>
  <c r="MC206" i="11"/>
  <c r="CA206" i="11"/>
  <c r="BZ206" i="11"/>
  <c r="BV206" i="11"/>
  <c r="BU206" i="11"/>
  <c r="BR206" i="11"/>
  <c r="BL206" i="11"/>
  <c r="BJ206" i="11"/>
  <c r="BA206" i="11"/>
  <c r="AZ206" i="11"/>
  <c r="AW206" i="11"/>
  <c r="AV206" i="11"/>
  <c r="KE206" i="11"/>
  <c r="JS206" i="11"/>
  <c r="IM206" i="11"/>
  <c r="KA206" i="11"/>
  <c r="HB206" i="11"/>
  <c r="GA206" i="11"/>
  <c r="GB206" i="11"/>
  <c r="IG206" i="11"/>
  <c r="GM206" i="11"/>
  <c r="GL206" i="11"/>
  <c r="EM206" i="11"/>
  <c r="EL206" i="11"/>
  <c r="II206" i="11"/>
  <c r="IH206" i="11"/>
  <c r="HY206" i="11"/>
  <c r="HX206" i="11"/>
  <c r="HK206" i="11"/>
  <c r="GY206" i="11"/>
  <c r="GX206" i="11"/>
  <c r="GW206" i="11"/>
  <c r="GV206" i="11"/>
  <c r="GU206" i="11"/>
  <c r="GT206" i="11"/>
  <c r="GS206" i="11"/>
  <c r="GQ206" i="11"/>
  <c r="GO206" i="11"/>
  <c r="GJ206" i="11"/>
  <c r="GI206" i="11"/>
  <c r="GH206" i="11"/>
  <c r="GG206" i="11"/>
  <c r="GF206" i="11"/>
  <c r="GD206" i="11"/>
  <c r="GC206" i="11"/>
  <c r="FZ206" i="11"/>
  <c r="FY206" i="11"/>
  <c r="FX206" i="11"/>
  <c r="FW206" i="11"/>
  <c r="FV206" i="11"/>
  <c r="FU206" i="11"/>
  <c r="FT206" i="11"/>
  <c r="FS206" i="11"/>
  <c r="FR206" i="11"/>
  <c r="FQ206" i="11"/>
  <c r="FO206" i="11"/>
  <c r="FM206" i="11"/>
  <c r="FK206" i="11"/>
  <c r="FJ206" i="11"/>
  <c r="GR206" i="11"/>
  <c r="FF206" i="11"/>
  <c r="FD206" i="11"/>
  <c r="FC206" i="11"/>
  <c r="EW206" i="11"/>
  <c r="EQ206" i="11"/>
  <c r="EP206" i="11"/>
  <c r="EO206" i="11"/>
  <c r="DU206" i="11"/>
  <c r="DQ206" i="11"/>
  <c r="DP206" i="11"/>
  <c r="DH206" i="11"/>
  <c r="DG206" i="11"/>
  <c r="DF206" i="11"/>
  <c r="DE206" i="11"/>
  <c r="AG206" i="11"/>
  <c r="AC206" i="11"/>
  <c r="M206" i="11"/>
  <c r="CW206" i="11"/>
  <c r="CX206" i="11"/>
  <c r="CV206" i="11"/>
  <c r="CK206" i="11"/>
  <c r="CJ206" i="11"/>
  <c r="CI206" i="11"/>
  <c r="CH206" i="11"/>
  <c r="CF206" i="11"/>
  <c r="CE206" i="11"/>
  <c r="IP207" i="11"/>
  <c r="IZ207" i="11"/>
  <c r="IX207" i="11"/>
  <c r="IU207" i="11"/>
  <c r="EA207" i="11"/>
  <c r="EB207" i="11"/>
  <c r="DZ207" i="11"/>
  <c r="DY207" i="11"/>
  <c r="MC207" i="11"/>
  <c r="CA207" i="11"/>
  <c r="BZ207" i="11"/>
  <c r="BV207" i="11"/>
  <c r="BU207" i="11"/>
  <c r="BR207" i="11"/>
  <c r="BL207" i="11"/>
  <c r="BJ207" i="11"/>
  <c r="BA207" i="11"/>
  <c r="AZ207" i="11"/>
  <c r="AW207" i="11"/>
  <c r="AV207" i="11"/>
  <c r="KE207" i="11"/>
  <c r="JS207" i="11"/>
  <c r="IM207" i="11"/>
  <c r="KA207" i="11"/>
  <c r="HB207" i="11"/>
  <c r="GA207" i="11"/>
  <c r="GB207" i="11"/>
  <c r="IG207" i="11"/>
  <c r="GM207" i="11"/>
  <c r="GL207" i="11"/>
  <c r="EM207" i="11"/>
  <c r="EL207" i="11"/>
  <c r="II207" i="11"/>
  <c r="IH207" i="11"/>
  <c r="HY207" i="11"/>
  <c r="HX207" i="11"/>
  <c r="HK207" i="11"/>
  <c r="GY207" i="11"/>
  <c r="GX207" i="11"/>
  <c r="GW207" i="11"/>
  <c r="GV207" i="11"/>
  <c r="GU207" i="11"/>
  <c r="GT207" i="11"/>
  <c r="GS207" i="11"/>
  <c r="GQ207" i="11"/>
  <c r="GO207" i="11"/>
  <c r="GJ207" i="11"/>
  <c r="GI207" i="11"/>
  <c r="GH207" i="11"/>
  <c r="GG207" i="11"/>
  <c r="GF207" i="11"/>
  <c r="GD207" i="11"/>
  <c r="GC207" i="11"/>
  <c r="FZ207" i="11"/>
  <c r="FY207" i="11"/>
  <c r="FX207" i="11"/>
  <c r="FW207" i="11"/>
  <c r="FV207" i="11"/>
  <c r="FU207" i="11"/>
  <c r="FT207" i="11"/>
  <c r="FS207" i="11"/>
  <c r="FR207" i="11"/>
  <c r="FQ207" i="11"/>
  <c r="FO207" i="11"/>
  <c r="FM207" i="11"/>
  <c r="FK207" i="11"/>
  <c r="FJ207" i="11"/>
  <c r="GR207" i="11"/>
  <c r="FF207" i="11"/>
  <c r="FD207" i="11"/>
  <c r="FC207" i="11"/>
  <c r="EW207" i="11"/>
  <c r="EQ207" i="11"/>
  <c r="EP207" i="11"/>
  <c r="EO207" i="11"/>
  <c r="DU207" i="11"/>
  <c r="DQ207" i="11"/>
  <c r="DP207" i="11"/>
  <c r="DH207" i="11"/>
  <c r="DG207" i="11"/>
  <c r="DF207" i="11"/>
  <c r="DE207" i="11"/>
  <c r="AG207" i="11"/>
  <c r="AC207" i="11"/>
  <c r="M207" i="11"/>
  <c r="CW207" i="11"/>
  <c r="CX207" i="11"/>
  <c r="CV207" i="11"/>
  <c r="CK207" i="11"/>
  <c r="CJ207" i="11"/>
  <c r="CI207" i="11"/>
  <c r="CH207" i="11"/>
  <c r="CF207" i="11"/>
  <c r="CE207" i="11"/>
  <c r="IP202" i="11"/>
  <c r="DZ202" i="11"/>
  <c r="CA202" i="11"/>
  <c r="BZ202" i="11"/>
  <c r="BV202" i="11"/>
  <c r="BU202" i="11"/>
  <c r="BR202" i="11"/>
  <c r="BL202" i="11"/>
  <c r="BA202" i="11"/>
  <c r="AZ202" i="11"/>
  <c r="AW202" i="11"/>
  <c r="AV202" i="11"/>
  <c r="IM202" i="11"/>
  <c r="HB202" i="11"/>
  <c r="GL202" i="11"/>
  <c r="EL202" i="11"/>
  <c r="HY202" i="11"/>
  <c r="HX202" i="11"/>
  <c r="GQ202" i="11"/>
  <c r="GO202" i="11"/>
  <c r="GC202" i="11"/>
  <c r="FV202" i="11"/>
  <c r="FU202" i="11"/>
  <c r="FT202" i="11"/>
  <c r="FS202" i="11"/>
  <c r="FR202" i="11"/>
  <c r="FQ202" i="11"/>
  <c r="FO202" i="11"/>
  <c r="FM202" i="11"/>
  <c r="FK202" i="11"/>
  <c r="FJ202" i="11"/>
  <c r="GR202" i="11"/>
  <c r="FF202" i="11"/>
  <c r="FD202" i="11"/>
  <c r="FC202" i="11"/>
  <c r="EQ202" i="11"/>
  <c r="EP202" i="11"/>
  <c r="EO202" i="11"/>
  <c r="DU202" i="11"/>
  <c r="DQ202" i="11"/>
  <c r="DP202" i="11"/>
  <c r="DH202" i="11"/>
  <c r="DG202" i="11"/>
  <c r="DF202" i="11"/>
  <c r="DE202" i="11"/>
  <c r="CK202" i="11"/>
  <c r="CJ202" i="11"/>
  <c r="CI202" i="11"/>
  <c r="CH202" i="11"/>
  <c r="CA194" i="11"/>
  <c r="BZ194" i="11"/>
  <c r="BU194" i="11"/>
  <c r="BR194" i="11"/>
  <c r="BA194" i="11"/>
  <c r="AZ194" i="11"/>
  <c r="AW194" i="11"/>
  <c r="AV194" i="11"/>
  <c r="HF194" i="11"/>
  <c r="HE194" i="11"/>
  <c r="HD194" i="11"/>
  <c r="HC194" i="11"/>
  <c r="HB194" i="11"/>
  <c r="HY194" i="11"/>
  <c r="HX194" i="11"/>
  <c r="FC194" i="11"/>
  <c r="DH194" i="11"/>
  <c r="DG194" i="11"/>
  <c r="DF194" i="11"/>
  <c r="DE194" i="11"/>
  <c r="CJ194" i="11"/>
  <c r="CA169" i="11"/>
  <c r="BZ169" i="11"/>
  <c r="BU169" i="11"/>
  <c r="BR169" i="11"/>
  <c r="BK169" i="11"/>
  <c r="BA169" i="11"/>
  <c r="AZ169" i="11"/>
  <c r="AW169" i="11"/>
  <c r="AV169" i="11"/>
  <c r="KA169" i="11"/>
  <c r="HF169" i="11"/>
  <c r="HE169" i="11"/>
  <c r="HD169" i="11"/>
  <c r="HC169" i="11"/>
  <c r="HB169" i="11"/>
  <c r="EL169" i="11"/>
  <c r="HY169" i="11"/>
  <c r="HX169" i="11"/>
  <c r="FD169" i="11"/>
  <c r="FC169" i="11"/>
  <c r="EQ169" i="11"/>
  <c r="DH169" i="11"/>
  <c r="DG169" i="11"/>
  <c r="DF169" i="11"/>
  <c r="DE169" i="11"/>
  <c r="CJ169" i="11"/>
  <c r="CA168" i="11"/>
  <c r="BZ168" i="11"/>
  <c r="BU168" i="11"/>
  <c r="BR168" i="11"/>
  <c r="BK168" i="11"/>
  <c r="BA168" i="11"/>
  <c r="AZ168" i="11"/>
  <c r="AW168" i="11"/>
  <c r="AV168" i="11"/>
  <c r="KA168" i="11"/>
  <c r="HF168" i="11"/>
  <c r="HE168" i="11"/>
  <c r="HD168" i="11"/>
  <c r="HC168" i="11"/>
  <c r="HB168" i="11"/>
  <c r="EL168" i="11"/>
  <c r="HY168" i="11"/>
  <c r="HX168" i="11"/>
  <c r="FD168" i="11"/>
  <c r="FC168" i="11"/>
  <c r="EQ168" i="11"/>
  <c r="DH168" i="11"/>
  <c r="DG168" i="11"/>
  <c r="DF168" i="11"/>
  <c r="DE168" i="11"/>
  <c r="CJ168" i="11"/>
  <c r="IP141" i="11"/>
  <c r="DZ141" i="11"/>
  <c r="CA141" i="11"/>
  <c r="BZ141" i="11"/>
  <c r="BV141" i="11"/>
  <c r="BU141" i="11"/>
  <c r="BR141" i="11"/>
  <c r="BA141" i="11"/>
  <c r="AZ141" i="11"/>
  <c r="AW141" i="11"/>
  <c r="AV141" i="11"/>
  <c r="IM141" i="11"/>
  <c r="HB141" i="11"/>
  <c r="EL141" i="11"/>
  <c r="IH141" i="11"/>
  <c r="HY141" i="11"/>
  <c r="HX141" i="11"/>
  <c r="GC141" i="11"/>
  <c r="FK141" i="11"/>
  <c r="FD141" i="11"/>
  <c r="FC141" i="11"/>
  <c r="EQ141" i="11"/>
  <c r="EP141" i="11"/>
  <c r="EO141" i="11"/>
  <c r="DU141" i="11"/>
  <c r="DH141" i="11"/>
  <c r="DG141" i="11"/>
  <c r="DF141" i="11"/>
  <c r="DE141" i="11"/>
  <c r="CJ141" i="11"/>
  <c r="CI141" i="11"/>
  <c r="IP132" i="11"/>
  <c r="EB132" i="11"/>
  <c r="DZ132" i="11"/>
  <c r="CA132" i="11"/>
  <c r="BZ132" i="11"/>
  <c r="BV132" i="11"/>
  <c r="BU132" i="11"/>
  <c r="BR132" i="11"/>
  <c r="BA132" i="11"/>
  <c r="AZ132" i="11"/>
  <c r="AW132" i="11"/>
  <c r="AV132" i="11"/>
  <c r="IM132" i="11"/>
  <c r="HB132" i="11"/>
  <c r="HY132" i="11"/>
  <c r="HX132" i="11"/>
  <c r="FK132" i="11"/>
  <c r="FD132" i="11"/>
  <c r="FC132" i="11"/>
  <c r="EP132" i="11"/>
  <c r="EO132" i="11"/>
  <c r="DU132" i="11"/>
  <c r="DH132" i="11"/>
  <c r="DG132" i="11"/>
  <c r="DF132" i="11"/>
  <c r="DE132" i="11"/>
  <c r="CJ132" i="11"/>
  <c r="CJ131" i="11"/>
  <c r="DE131" i="11"/>
  <c r="DF131" i="11"/>
  <c r="DG131" i="11"/>
  <c r="DH131" i="11"/>
  <c r="DU131" i="11"/>
  <c r="EO131" i="11"/>
  <c r="EP131" i="11"/>
  <c r="FC131" i="11"/>
  <c r="FD131" i="11"/>
  <c r="FK131" i="11"/>
  <c r="HX131" i="11"/>
  <c r="HY131" i="11"/>
  <c r="HB131" i="11"/>
  <c r="IM131" i="11"/>
  <c r="AV131" i="11"/>
  <c r="AW131" i="11"/>
  <c r="AZ131" i="11"/>
  <c r="BA131" i="11"/>
  <c r="BR131" i="11"/>
  <c r="BU131" i="11"/>
  <c r="BV131" i="11"/>
  <c r="BZ131" i="11"/>
  <c r="CA131" i="11"/>
  <c r="DZ131" i="11"/>
  <c r="EB131" i="11"/>
  <c r="IP131" i="11"/>
  <c r="IP126" i="11"/>
  <c r="JB126" i="11"/>
  <c r="IZ126" i="11"/>
  <c r="IX126" i="11"/>
  <c r="IU126" i="11"/>
  <c r="IL126" i="11"/>
  <c r="EJ126" i="11"/>
  <c r="EA126" i="11"/>
  <c r="EB126" i="11"/>
  <c r="DZ126" i="11"/>
  <c r="DY126" i="11"/>
  <c r="MC126" i="11"/>
  <c r="CA126" i="11"/>
  <c r="BZ126" i="11"/>
  <c r="BV126" i="11"/>
  <c r="BU126" i="11"/>
  <c r="BR126" i="11"/>
  <c r="BK126" i="11"/>
  <c r="BI126" i="11"/>
  <c r="BG126" i="11"/>
  <c r="BE126" i="11"/>
  <c r="BA126" i="11"/>
  <c r="AZ126" i="11"/>
  <c r="AW126" i="11"/>
  <c r="AV126" i="11"/>
  <c r="AU126" i="11"/>
  <c r="KE126" i="11"/>
  <c r="JS126" i="11"/>
  <c r="IM126" i="11"/>
  <c r="KA126" i="11"/>
  <c r="HF126" i="11"/>
  <c r="HE126" i="11"/>
  <c r="HD126" i="11"/>
  <c r="HC126" i="11"/>
  <c r="HB126" i="11"/>
  <c r="GL126" i="11"/>
  <c r="EM126" i="11"/>
  <c r="EL126" i="11"/>
  <c r="IH126" i="11"/>
  <c r="HZ126" i="11"/>
  <c r="HY126" i="11"/>
  <c r="HX126" i="11"/>
  <c r="GQ126" i="11"/>
  <c r="GO126" i="11"/>
  <c r="GJ126" i="11"/>
  <c r="GC126" i="11"/>
  <c r="FV126" i="11"/>
  <c r="FU126" i="11"/>
  <c r="FT126" i="11"/>
  <c r="FS126" i="11"/>
  <c r="FR126" i="11"/>
  <c r="FQ126" i="11"/>
  <c r="FP126" i="11"/>
  <c r="FO126" i="11"/>
  <c r="FM126" i="11"/>
  <c r="FK126" i="11"/>
  <c r="FJ126" i="11"/>
  <c r="GR126" i="11"/>
  <c r="FF126" i="11"/>
  <c r="FD126" i="11"/>
  <c r="FC126" i="11"/>
  <c r="FA126" i="11"/>
  <c r="EW126" i="11"/>
  <c r="ET126" i="11"/>
  <c r="EQ126" i="11"/>
  <c r="EP126" i="11"/>
  <c r="EO126" i="11"/>
  <c r="DU126" i="11"/>
  <c r="DQ126" i="11"/>
  <c r="DH126" i="11"/>
  <c r="DG126" i="11"/>
  <c r="DF126" i="11"/>
  <c r="DE126" i="11"/>
  <c r="AK126" i="11"/>
  <c r="AJ126" i="11"/>
  <c r="AG126" i="11"/>
  <c r="AF126" i="11"/>
  <c r="AC126" i="11"/>
  <c r="T126" i="11"/>
  <c r="CX126" i="11"/>
  <c r="CJ126" i="11"/>
  <c r="CI126" i="11"/>
  <c r="CH126" i="11"/>
  <c r="IP125" i="11"/>
  <c r="JB125" i="11"/>
  <c r="IZ125" i="11"/>
  <c r="IX125" i="11"/>
  <c r="IU125" i="11"/>
  <c r="IL125" i="11"/>
  <c r="EJ125" i="11"/>
  <c r="EA125" i="11"/>
  <c r="EB125" i="11"/>
  <c r="DZ125" i="11"/>
  <c r="DY125" i="11"/>
  <c r="MC125" i="11"/>
  <c r="CA125" i="11"/>
  <c r="BZ125" i="11"/>
  <c r="BV125" i="11"/>
  <c r="BU125" i="11"/>
  <c r="BR125" i="11"/>
  <c r="BK125" i="11"/>
  <c r="BI125" i="11"/>
  <c r="BG125" i="11"/>
  <c r="BE125" i="11"/>
  <c r="BA125" i="11"/>
  <c r="AZ125" i="11"/>
  <c r="AW125" i="11"/>
  <c r="AV125" i="11"/>
  <c r="AU125" i="11"/>
  <c r="KE125" i="11"/>
  <c r="JS125" i="11"/>
  <c r="IM125" i="11"/>
  <c r="KA125" i="11"/>
  <c r="HF125" i="11"/>
  <c r="HE125" i="11"/>
  <c r="HD125" i="11"/>
  <c r="HC125" i="11"/>
  <c r="HB125" i="11"/>
  <c r="GL125" i="11"/>
  <c r="EM125" i="11"/>
  <c r="EL125" i="11"/>
  <c r="IH125" i="11"/>
  <c r="HZ125" i="11"/>
  <c r="HY125" i="11"/>
  <c r="HX125" i="11"/>
  <c r="GQ125" i="11"/>
  <c r="GO125" i="11"/>
  <c r="GJ125" i="11"/>
  <c r="GC125" i="11"/>
  <c r="FV125" i="11"/>
  <c r="FU125" i="11"/>
  <c r="FT125" i="11"/>
  <c r="FS125" i="11"/>
  <c r="FR125" i="11"/>
  <c r="FQ125" i="11"/>
  <c r="FP125" i="11"/>
  <c r="FO125" i="11"/>
  <c r="FM125" i="11"/>
  <c r="FK125" i="11"/>
  <c r="FJ125" i="11"/>
  <c r="GR125" i="11"/>
  <c r="FF125" i="11"/>
  <c r="FD125" i="11"/>
  <c r="FC125" i="11"/>
  <c r="FA125" i="11"/>
  <c r="EW125" i="11"/>
  <c r="ET125" i="11"/>
  <c r="EQ125" i="11"/>
  <c r="EP125" i="11"/>
  <c r="EO125" i="11"/>
  <c r="DU125" i="11"/>
  <c r="DQ125" i="11"/>
  <c r="DH125" i="11"/>
  <c r="DG125" i="11"/>
  <c r="DF125" i="11"/>
  <c r="DE125" i="11"/>
  <c r="AK125" i="11"/>
  <c r="AJ125" i="11"/>
  <c r="AG125" i="11"/>
  <c r="AF125" i="11"/>
  <c r="AC125" i="11"/>
  <c r="T125" i="11"/>
  <c r="CX125" i="11"/>
  <c r="CJ125" i="11"/>
  <c r="CI125" i="11"/>
  <c r="CH125" i="11"/>
  <c r="IP124" i="11"/>
  <c r="JB124" i="11"/>
  <c r="IZ124" i="11"/>
  <c r="IX124" i="11"/>
  <c r="IU124" i="11"/>
  <c r="IL124" i="11"/>
  <c r="EJ124" i="11"/>
  <c r="EA124" i="11"/>
  <c r="EB124" i="11"/>
  <c r="DZ124" i="11"/>
  <c r="DY124" i="11"/>
  <c r="MC124" i="11"/>
  <c r="CA124" i="11"/>
  <c r="BZ124" i="11"/>
  <c r="BV124" i="11"/>
  <c r="BU124" i="11"/>
  <c r="BR124" i="11"/>
  <c r="BK124" i="11"/>
  <c r="BI124" i="11"/>
  <c r="BG124" i="11"/>
  <c r="BE124" i="11"/>
  <c r="BA124" i="11"/>
  <c r="AZ124" i="11"/>
  <c r="AW124" i="11"/>
  <c r="AV124" i="11"/>
  <c r="AU124" i="11"/>
  <c r="KE124" i="11"/>
  <c r="JS124" i="11"/>
  <c r="IM124" i="11"/>
  <c r="KA124" i="11"/>
  <c r="HF124" i="11"/>
  <c r="HE124" i="11"/>
  <c r="HD124" i="11"/>
  <c r="HC124" i="11"/>
  <c r="HB124" i="11"/>
  <c r="GL124" i="11"/>
  <c r="EM124" i="11"/>
  <c r="EL124" i="11"/>
  <c r="IH124" i="11"/>
  <c r="HZ124" i="11"/>
  <c r="HY124" i="11"/>
  <c r="HX124" i="11"/>
  <c r="GQ124" i="11"/>
  <c r="GO124" i="11"/>
  <c r="GJ124" i="11"/>
  <c r="GC124" i="11"/>
  <c r="FV124" i="11"/>
  <c r="FU124" i="11"/>
  <c r="FT124" i="11"/>
  <c r="FS124" i="11"/>
  <c r="FR124" i="11"/>
  <c r="FQ124" i="11"/>
  <c r="FP124" i="11"/>
  <c r="FO124" i="11"/>
  <c r="FM124" i="11"/>
  <c r="FK124" i="11"/>
  <c r="FJ124" i="11"/>
  <c r="GR124" i="11"/>
  <c r="FF124" i="11"/>
  <c r="FD124" i="11"/>
  <c r="FC124" i="11"/>
  <c r="FA124" i="11"/>
  <c r="EW124" i="11"/>
  <c r="ET124" i="11"/>
  <c r="EQ124" i="11"/>
  <c r="EP124" i="11"/>
  <c r="EO124" i="11"/>
  <c r="DU124" i="11"/>
  <c r="DQ124" i="11"/>
  <c r="DH124" i="11"/>
  <c r="DG124" i="11"/>
  <c r="DF124" i="11"/>
  <c r="DE124" i="11"/>
  <c r="AK124" i="11"/>
  <c r="AJ124" i="11"/>
  <c r="AG124" i="11"/>
  <c r="AF124" i="11"/>
  <c r="AC124" i="11"/>
  <c r="T124" i="11"/>
  <c r="CX124" i="11"/>
  <c r="CJ124" i="11"/>
  <c r="CI124" i="11"/>
  <c r="CH124" i="11"/>
  <c r="IP123" i="11"/>
  <c r="JB123" i="11"/>
  <c r="IZ123" i="11"/>
  <c r="IX123" i="11"/>
  <c r="IU123" i="11"/>
  <c r="IL123" i="11"/>
  <c r="EJ123" i="11"/>
  <c r="EA123" i="11"/>
  <c r="EB123" i="11"/>
  <c r="DZ123" i="11"/>
  <c r="DY123" i="11"/>
  <c r="MC123" i="11"/>
  <c r="CA123" i="11"/>
  <c r="BZ123" i="11"/>
  <c r="BV123" i="11"/>
  <c r="BU123" i="11"/>
  <c r="BR123" i="11"/>
  <c r="BK123" i="11"/>
  <c r="BI123" i="11"/>
  <c r="BG123" i="11"/>
  <c r="BE123" i="11"/>
  <c r="BA123" i="11"/>
  <c r="AZ123" i="11"/>
  <c r="AW123" i="11"/>
  <c r="AV123" i="11"/>
  <c r="AU123" i="11"/>
  <c r="KE123" i="11"/>
  <c r="JS123" i="11"/>
  <c r="IM123" i="11"/>
  <c r="KA123" i="11"/>
  <c r="HF123" i="11"/>
  <c r="HE123" i="11"/>
  <c r="HD123" i="11"/>
  <c r="HC123" i="11"/>
  <c r="HB123" i="11"/>
  <c r="GL123" i="11"/>
  <c r="EM123" i="11"/>
  <c r="EL123" i="11"/>
  <c r="IH123" i="11"/>
  <c r="HZ123" i="11"/>
  <c r="HY123" i="11"/>
  <c r="HX123" i="11"/>
  <c r="GQ123" i="11"/>
  <c r="GO123" i="11"/>
  <c r="GJ123" i="11"/>
  <c r="GC123" i="11"/>
  <c r="FV123" i="11"/>
  <c r="FU123" i="11"/>
  <c r="FT123" i="11"/>
  <c r="FS123" i="11"/>
  <c r="FR123" i="11"/>
  <c r="FQ123" i="11"/>
  <c r="FP123" i="11"/>
  <c r="FO123" i="11"/>
  <c r="FM123" i="11"/>
  <c r="FK123" i="11"/>
  <c r="FJ123" i="11"/>
  <c r="GR123" i="11"/>
  <c r="FF123" i="11"/>
  <c r="FD123" i="11"/>
  <c r="FC123" i="11"/>
  <c r="FA123" i="11"/>
  <c r="EW123" i="11"/>
  <c r="ET123" i="11"/>
  <c r="EQ123" i="11"/>
  <c r="EP123" i="11"/>
  <c r="EO123" i="11"/>
  <c r="DU123" i="11"/>
  <c r="DQ123" i="11"/>
  <c r="DH123" i="11"/>
  <c r="DG123" i="11"/>
  <c r="DF123" i="11"/>
  <c r="DE123" i="11"/>
  <c r="AK123" i="11"/>
  <c r="AJ123" i="11"/>
  <c r="AG123" i="11"/>
  <c r="AF123" i="11"/>
  <c r="AC123" i="11"/>
  <c r="T123" i="11"/>
  <c r="CX123" i="11"/>
  <c r="CJ123" i="11"/>
  <c r="CI123" i="11"/>
  <c r="CH123" i="11"/>
  <c r="IP122" i="11"/>
  <c r="JB122" i="11"/>
  <c r="IZ122" i="11"/>
  <c r="IX122" i="11"/>
  <c r="IU122" i="11"/>
  <c r="IL122" i="11"/>
  <c r="EJ122" i="11"/>
  <c r="EA122" i="11"/>
  <c r="EB122" i="11"/>
  <c r="DZ122" i="11"/>
  <c r="DY122" i="11"/>
  <c r="MC122" i="11"/>
  <c r="CA122" i="11"/>
  <c r="BZ122" i="11"/>
  <c r="BV122" i="11"/>
  <c r="BU122" i="11"/>
  <c r="BR122" i="11"/>
  <c r="BK122" i="11"/>
  <c r="BI122" i="11"/>
  <c r="BG122" i="11"/>
  <c r="BE122" i="11"/>
  <c r="BA122" i="11"/>
  <c r="AZ122" i="11"/>
  <c r="AW122" i="11"/>
  <c r="AV122" i="11"/>
  <c r="AU122" i="11"/>
  <c r="KE122" i="11"/>
  <c r="JS122" i="11"/>
  <c r="IM122" i="11"/>
  <c r="KA122" i="11"/>
  <c r="HF122" i="11"/>
  <c r="HE122" i="11"/>
  <c r="HD122" i="11"/>
  <c r="HC122" i="11"/>
  <c r="HB122" i="11"/>
  <c r="GL122" i="11"/>
  <c r="EM122" i="11"/>
  <c r="EL122" i="11"/>
  <c r="IH122" i="11"/>
  <c r="HZ122" i="11"/>
  <c r="HY122" i="11"/>
  <c r="HX122" i="11"/>
  <c r="GQ122" i="11"/>
  <c r="GO122" i="11"/>
  <c r="GJ122" i="11"/>
  <c r="GC122" i="11"/>
  <c r="FV122" i="11"/>
  <c r="FU122" i="11"/>
  <c r="FT122" i="11"/>
  <c r="FS122" i="11"/>
  <c r="FR122" i="11"/>
  <c r="FQ122" i="11"/>
  <c r="FP122" i="11"/>
  <c r="FO122" i="11"/>
  <c r="FM122" i="11"/>
  <c r="FK122" i="11"/>
  <c r="FJ122" i="11"/>
  <c r="GR122" i="11"/>
  <c r="FF122" i="11"/>
  <c r="FD122" i="11"/>
  <c r="FC122" i="11"/>
  <c r="FA122" i="11"/>
  <c r="EW122" i="11"/>
  <c r="ET122" i="11"/>
  <c r="EQ122" i="11"/>
  <c r="EP122" i="11"/>
  <c r="EO122" i="11"/>
  <c r="DU122" i="11"/>
  <c r="DQ122" i="11"/>
  <c r="DH122" i="11"/>
  <c r="DG122" i="11"/>
  <c r="DF122" i="11"/>
  <c r="DE122" i="11"/>
  <c r="AK122" i="11"/>
  <c r="AJ122" i="11"/>
  <c r="AG122" i="11"/>
  <c r="AF122" i="11"/>
  <c r="AC122" i="11"/>
  <c r="T122" i="11"/>
  <c r="CX122" i="11"/>
  <c r="CJ122" i="11"/>
  <c r="CI122" i="11"/>
  <c r="CH122" i="11"/>
  <c r="IP121" i="11"/>
  <c r="JB121" i="11"/>
  <c r="IZ121" i="11"/>
  <c r="IX121" i="11"/>
  <c r="IU121" i="11"/>
  <c r="IL121" i="11"/>
  <c r="EJ121" i="11"/>
  <c r="EA121" i="11"/>
  <c r="EB121" i="11"/>
  <c r="DZ121" i="11"/>
  <c r="DY121" i="11"/>
  <c r="MC121" i="11"/>
  <c r="CA121" i="11"/>
  <c r="BZ121" i="11"/>
  <c r="BV121" i="11"/>
  <c r="BU121" i="11"/>
  <c r="BR121" i="11"/>
  <c r="BK121" i="11"/>
  <c r="BI121" i="11"/>
  <c r="BG121" i="11"/>
  <c r="BE121" i="11"/>
  <c r="BA121" i="11"/>
  <c r="AZ121" i="11"/>
  <c r="AW121" i="11"/>
  <c r="AV121" i="11"/>
  <c r="AU121" i="11"/>
  <c r="KE121" i="11"/>
  <c r="JS121" i="11"/>
  <c r="IM121" i="11"/>
  <c r="KA121" i="11"/>
  <c r="HF121" i="11"/>
  <c r="HE121" i="11"/>
  <c r="HD121" i="11"/>
  <c r="HC121" i="11"/>
  <c r="HB121" i="11"/>
  <c r="GL121" i="11"/>
  <c r="EM121" i="11"/>
  <c r="EL121" i="11"/>
  <c r="IH121" i="11"/>
  <c r="HZ121" i="11"/>
  <c r="HY121" i="11"/>
  <c r="HX121" i="11"/>
  <c r="GQ121" i="11"/>
  <c r="GO121" i="11"/>
  <c r="GJ121" i="11"/>
  <c r="GC121" i="11"/>
  <c r="FV121" i="11"/>
  <c r="FU121" i="11"/>
  <c r="FT121" i="11"/>
  <c r="FS121" i="11"/>
  <c r="FR121" i="11"/>
  <c r="FQ121" i="11"/>
  <c r="FP121" i="11"/>
  <c r="FO121" i="11"/>
  <c r="FM121" i="11"/>
  <c r="FK121" i="11"/>
  <c r="FJ121" i="11"/>
  <c r="GR121" i="11"/>
  <c r="FF121" i="11"/>
  <c r="FD121" i="11"/>
  <c r="FC121" i="11"/>
  <c r="FA121" i="11"/>
  <c r="EW121" i="11"/>
  <c r="ET121" i="11"/>
  <c r="EQ121" i="11"/>
  <c r="EP121" i="11"/>
  <c r="EO121" i="11"/>
  <c r="DU121" i="11"/>
  <c r="DQ121" i="11"/>
  <c r="DH121" i="11"/>
  <c r="DG121" i="11"/>
  <c r="DF121" i="11"/>
  <c r="DE121" i="11"/>
  <c r="AK121" i="11"/>
  <c r="AJ121" i="11"/>
  <c r="AG121" i="11"/>
  <c r="AF121" i="11"/>
  <c r="AC121" i="11"/>
  <c r="T121" i="11"/>
  <c r="CX121" i="11"/>
  <c r="CJ121" i="11"/>
  <c r="CI121" i="11"/>
  <c r="CH121" i="11"/>
  <c r="IP120" i="11"/>
  <c r="JB120" i="11"/>
  <c r="IZ120" i="11"/>
  <c r="IX120" i="11"/>
  <c r="IU120" i="11"/>
  <c r="IL120" i="11"/>
  <c r="EJ120" i="11"/>
  <c r="EA120" i="11"/>
  <c r="EB120" i="11"/>
  <c r="DZ120" i="11"/>
  <c r="DY120" i="11"/>
  <c r="MC120" i="11"/>
  <c r="CA120" i="11"/>
  <c r="BZ120" i="11"/>
  <c r="BV120" i="11"/>
  <c r="BU120" i="11"/>
  <c r="BR120" i="11"/>
  <c r="BK120" i="11"/>
  <c r="BI120" i="11"/>
  <c r="BG120" i="11"/>
  <c r="BE120" i="11"/>
  <c r="BA120" i="11"/>
  <c r="AZ120" i="11"/>
  <c r="AW120" i="11"/>
  <c r="AV120" i="11"/>
  <c r="AU120" i="11"/>
  <c r="KE120" i="11"/>
  <c r="JS120" i="11"/>
  <c r="IM120" i="11"/>
  <c r="KA120" i="11"/>
  <c r="HF120" i="11"/>
  <c r="HE120" i="11"/>
  <c r="HD120" i="11"/>
  <c r="HC120" i="11"/>
  <c r="HB120" i="11"/>
  <c r="GL120" i="11"/>
  <c r="EM120" i="11"/>
  <c r="EL120" i="11"/>
  <c r="IH120" i="11"/>
  <c r="HZ120" i="11"/>
  <c r="HY120" i="11"/>
  <c r="HX120" i="11"/>
  <c r="GQ120" i="11"/>
  <c r="GO120" i="11"/>
  <c r="GJ120" i="11"/>
  <c r="GC120" i="11"/>
  <c r="FV120" i="11"/>
  <c r="FU120" i="11"/>
  <c r="FT120" i="11"/>
  <c r="FS120" i="11"/>
  <c r="FR120" i="11"/>
  <c r="FQ120" i="11"/>
  <c r="FP120" i="11"/>
  <c r="FO120" i="11"/>
  <c r="FM120" i="11"/>
  <c r="FK120" i="11"/>
  <c r="FJ120" i="11"/>
  <c r="GR120" i="11"/>
  <c r="FF120" i="11"/>
  <c r="FD120" i="11"/>
  <c r="FC120" i="11"/>
  <c r="FA120" i="11"/>
  <c r="EW120" i="11"/>
  <c r="ET120" i="11"/>
  <c r="EQ120" i="11"/>
  <c r="EP120" i="11"/>
  <c r="EO120" i="11"/>
  <c r="DU120" i="11"/>
  <c r="DQ120" i="11"/>
  <c r="DH120" i="11"/>
  <c r="DG120" i="11"/>
  <c r="DF120" i="11"/>
  <c r="DE120" i="11"/>
  <c r="AK120" i="11"/>
  <c r="AJ120" i="11"/>
  <c r="AG120" i="11"/>
  <c r="AF120" i="11"/>
  <c r="AC120" i="11"/>
  <c r="T120" i="11"/>
  <c r="CX120" i="11"/>
  <c r="CJ120" i="11"/>
  <c r="CI120" i="11"/>
  <c r="CH120" i="11"/>
  <c r="IP119" i="11"/>
  <c r="JB119" i="11"/>
  <c r="IZ119" i="11"/>
  <c r="IX119" i="11"/>
  <c r="IU119" i="11"/>
  <c r="IL119" i="11"/>
  <c r="EJ119" i="11"/>
  <c r="EA119" i="11"/>
  <c r="EB119" i="11"/>
  <c r="DZ119" i="11"/>
  <c r="DY119" i="11"/>
  <c r="MC119" i="11"/>
  <c r="CA119" i="11"/>
  <c r="BZ119" i="11"/>
  <c r="BV119" i="11"/>
  <c r="BU119" i="11"/>
  <c r="BR119" i="11"/>
  <c r="BK119" i="11"/>
  <c r="BI119" i="11"/>
  <c r="BG119" i="11"/>
  <c r="BE119" i="11"/>
  <c r="BA119" i="11"/>
  <c r="AZ119" i="11"/>
  <c r="AW119" i="11"/>
  <c r="AV119" i="11"/>
  <c r="AU119" i="11"/>
  <c r="KE119" i="11"/>
  <c r="JS119" i="11"/>
  <c r="IM119" i="11"/>
  <c r="KA119" i="11"/>
  <c r="HF119" i="11"/>
  <c r="HE119" i="11"/>
  <c r="HD119" i="11"/>
  <c r="HC119" i="11"/>
  <c r="HB119" i="11"/>
  <c r="GL119" i="11"/>
  <c r="EM119" i="11"/>
  <c r="EL119" i="11"/>
  <c r="IH119" i="11"/>
  <c r="HZ119" i="11"/>
  <c r="HY119" i="11"/>
  <c r="HX119" i="11"/>
  <c r="GQ119" i="11"/>
  <c r="GO119" i="11"/>
  <c r="GJ119" i="11"/>
  <c r="GC119" i="11"/>
  <c r="FV119" i="11"/>
  <c r="FU119" i="11"/>
  <c r="FT119" i="11"/>
  <c r="FS119" i="11"/>
  <c r="FR119" i="11"/>
  <c r="FQ119" i="11"/>
  <c r="FP119" i="11"/>
  <c r="FO119" i="11"/>
  <c r="FM119" i="11"/>
  <c r="FK119" i="11"/>
  <c r="FJ119" i="11"/>
  <c r="GR119" i="11"/>
  <c r="FF119" i="11"/>
  <c r="FD119" i="11"/>
  <c r="FC119" i="11"/>
  <c r="FA119" i="11"/>
  <c r="EW119" i="11"/>
  <c r="ET119" i="11"/>
  <c r="EQ119" i="11"/>
  <c r="EP119" i="11"/>
  <c r="EO119" i="11"/>
  <c r="DU119" i="11"/>
  <c r="DQ119" i="11"/>
  <c r="DH119" i="11"/>
  <c r="DG119" i="11"/>
  <c r="DF119" i="11"/>
  <c r="DE119" i="11"/>
  <c r="AK119" i="11"/>
  <c r="AJ119" i="11"/>
  <c r="AG119" i="11"/>
  <c r="AF119" i="11"/>
  <c r="AC119" i="11"/>
  <c r="T119" i="11"/>
  <c r="CX119" i="11"/>
  <c r="CJ119" i="11"/>
  <c r="CI119" i="11"/>
  <c r="CH119" i="11"/>
  <c r="IP118" i="11"/>
  <c r="JB118" i="11"/>
  <c r="IZ118" i="11"/>
  <c r="IX118" i="11"/>
  <c r="IU118" i="11"/>
  <c r="IL118" i="11"/>
  <c r="EJ118" i="11"/>
  <c r="EA118" i="11"/>
  <c r="EB118" i="11"/>
  <c r="DZ118" i="11"/>
  <c r="DY118" i="11"/>
  <c r="MC118" i="11"/>
  <c r="CA118" i="11"/>
  <c r="BZ118" i="11"/>
  <c r="BV118" i="11"/>
  <c r="BU118" i="11"/>
  <c r="BR118" i="11"/>
  <c r="BK118" i="11"/>
  <c r="BI118" i="11"/>
  <c r="BG118" i="11"/>
  <c r="BE118" i="11"/>
  <c r="BA118" i="11"/>
  <c r="AZ118" i="11"/>
  <c r="AW118" i="11"/>
  <c r="AV118" i="11"/>
  <c r="AU118" i="11"/>
  <c r="KE118" i="11"/>
  <c r="JS118" i="11"/>
  <c r="IM118" i="11"/>
  <c r="KA118" i="11"/>
  <c r="HF118" i="11"/>
  <c r="HE118" i="11"/>
  <c r="HD118" i="11"/>
  <c r="HC118" i="11"/>
  <c r="HB118" i="11"/>
  <c r="GL118" i="11"/>
  <c r="EM118" i="11"/>
  <c r="EL118" i="11"/>
  <c r="IH118" i="11"/>
  <c r="HZ118" i="11"/>
  <c r="HY118" i="11"/>
  <c r="HX118" i="11"/>
  <c r="GQ118" i="11"/>
  <c r="GO118" i="11"/>
  <c r="GJ118" i="11"/>
  <c r="GC118" i="11"/>
  <c r="FV118" i="11"/>
  <c r="FU118" i="11"/>
  <c r="FT118" i="11"/>
  <c r="FS118" i="11"/>
  <c r="FR118" i="11"/>
  <c r="FQ118" i="11"/>
  <c r="FP118" i="11"/>
  <c r="FO118" i="11"/>
  <c r="FM118" i="11"/>
  <c r="FK118" i="11"/>
  <c r="FJ118" i="11"/>
  <c r="GR118" i="11"/>
  <c r="FF118" i="11"/>
  <c r="FD118" i="11"/>
  <c r="FC118" i="11"/>
  <c r="FA118" i="11"/>
  <c r="EW118" i="11"/>
  <c r="ET118" i="11"/>
  <c r="EQ118" i="11"/>
  <c r="EP118" i="11"/>
  <c r="EO118" i="11"/>
  <c r="DU118" i="11"/>
  <c r="DQ118" i="11"/>
  <c r="DH118" i="11"/>
  <c r="DG118" i="11"/>
  <c r="DF118" i="11"/>
  <c r="DE118" i="11"/>
  <c r="AK118" i="11"/>
  <c r="AJ118" i="11"/>
  <c r="AG118" i="11"/>
  <c r="AF118" i="11"/>
  <c r="AC118" i="11"/>
  <c r="T118" i="11"/>
  <c r="CX118" i="11"/>
  <c r="CJ118" i="11"/>
  <c r="CI118" i="11"/>
  <c r="CH118" i="11"/>
  <c r="IP117" i="11"/>
  <c r="JB117" i="11"/>
  <c r="IZ117" i="11"/>
  <c r="IX117" i="11"/>
  <c r="IU117" i="11"/>
  <c r="IL117" i="11"/>
  <c r="EJ117" i="11"/>
  <c r="EA117" i="11"/>
  <c r="EB117" i="11"/>
  <c r="DZ117" i="11"/>
  <c r="DY117" i="11"/>
  <c r="MC117" i="11"/>
  <c r="CA117" i="11"/>
  <c r="BZ117" i="11"/>
  <c r="BV117" i="11"/>
  <c r="BU117" i="11"/>
  <c r="BR117" i="11"/>
  <c r="BK117" i="11"/>
  <c r="BI117" i="11"/>
  <c r="BG117" i="11"/>
  <c r="BE117" i="11"/>
  <c r="BA117" i="11"/>
  <c r="AZ117" i="11"/>
  <c r="AW117" i="11"/>
  <c r="AV117" i="11"/>
  <c r="AU117" i="11"/>
  <c r="KE117" i="11"/>
  <c r="JS117" i="11"/>
  <c r="IM117" i="11"/>
  <c r="KA117" i="11"/>
  <c r="HF117" i="11"/>
  <c r="HE117" i="11"/>
  <c r="HD117" i="11"/>
  <c r="HC117" i="11"/>
  <c r="HB117" i="11"/>
  <c r="GL117" i="11"/>
  <c r="EM117" i="11"/>
  <c r="EL117" i="11"/>
  <c r="IH117" i="11"/>
  <c r="HZ117" i="11"/>
  <c r="HY117" i="11"/>
  <c r="HX117" i="11"/>
  <c r="GQ117" i="11"/>
  <c r="GO117" i="11"/>
  <c r="GJ117" i="11"/>
  <c r="GC117" i="11"/>
  <c r="FV117" i="11"/>
  <c r="FU117" i="11"/>
  <c r="FT117" i="11"/>
  <c r="FS117" i="11"/>
  <c r="FR117" i="11"/>
  <c r="FQ117" i="11"/>
  <c r="FP117" i="11"/>
  <c r="FO117" i="11"/>
  <c r="FM117" i="11"/>
  <c r="FK117" i="11"/>
  <c r="FJ117" i="11"/>
  <c r="GR117" i="11"/>
  <c r="FF117" i="11"/>
  <c r="FD117" i="11"/>
  <c r="FC117" i="11"/>
  <c r="FA117" i="11"/>
  <c r="EW117" i="11"/>
  <c r="ET117" i="11"/>
  <c r="EQ117" i="11"/>
  <c r="EP117" i="11"/>
  <c r="EO117" i="11"/>
  <c r="DU117" i="11"/>
  <c r="DQ117" i="11"/>
  <c r="DH117" i="11"/>
  <c r="DG117" i="11"/>
  <c r="DF117" i="11"/>
  <c r="DE117" i="11"/>
  <c r="AK117" i="11"/>
  <c r="AJ117" i="11"/>
  <c r="AG117" i="11"/>
  <c r="AF117" i="11"/>
  <c r="AC117" i="11"/>
  <c r="T117" i="11"/>
  <c r="CX117" i="11"/>
  <c r="CJ117" i="11"/>
  <c r="CI117" i="11"/>
  <c r="CH117" i="11"/>
  <c r="IP116" i="11"/>
  <c r="JB116" i="11"/>
  <c r="IZ116" i="11"/>
  <c r="IX116" i="11"/>
  <c r="IU116" i="11"/>
  <c r="IL116" i="11"/>
  <c r="EJ116" i="11"/>
  <c r="EA116" i="11"/>
  <c r="EB116" i="11"/>
  <c r="DZ116" i="11"/>
  <c r="DY116" i="11"/>
  <c r="MC116" i="11"/>
  <c r="CA116" i="11"/>
  <c r="BZ116" i="11"/>
  <c r="BV116" i="11"/>
  <c r="BU116" i="11"/>
  <c r="BR116" i="11"/>
  <c r="BK116" i="11"/>
  <c r="BI116" i="11"/>
  <c r="BG116" i="11"/>
  <c r="BE116" i="11"/>
  <c r="BA116" i="11"/>
  <c r="AZ116" i="11"/>
  <c r="AW116" i="11"/>
  <c r="AV116" i="11"/>
  <c r="AU116" i="11"/>
  <c r="KE116" i="11"/>
  <c r="JS116" i="11"/>
  <c r="IM116" i="11"/>
  <c r="KA116" i="11"/>
  <c r="HF116" i="11"/>
  <c r="HE116" i="11"/>
  <c r="HD116" i="11"/>
  <c r="HC116" i="11"/>
  <c r="HB116" i="11"/>
  <c r="GL116" i="11"/>
  <c r="EM116" i="11"/>
  <c r="EL116" i="11"/>
  <c r="IH116" i="11"/>
  <c r="HZ116" i="11"/>
  <c r="HY116" i="11"/>
  <c r="HX116" i="11"/>
  <c r="GQ116" i="11"/>
  <c r="GO116" i="11"/>
  <c r="GJ116" i="11"/>
  <c r="GC116" i="11"/>
  <c r="FV116" i="11"/>
  <c r="FU116" i="11"/>
  <c r="FT116" i="11"/>
  <c r="FS116" i="11"/>
  <c r="FR116" i="11"/>
  <c r="FQ116" i="11"/>
  <c r="FP116" i="11"/>
  <c r="FO116" i="11"/>
  <c r="FM116" i="11"/>
  <c r="FK116" i="11"/>
  <c r="FJ116" i="11"/>
  <c r="GR116" i="11"/>
  <c r="FF116" i="11"/>
  <c r="FD116" i="11"/>
  <c r="FC116" i="11"/>
  <c r="FA116" i="11"/>
  <c r="EW116" i="11"/>
  <c r="ET116" i="11"/>
  <c r="EQ116" i="11"/>
  <c r="EP116" i="11"/>
  <c r="EO116" i="11"/>
  <c r="DU116" i="11"/>
  <c r="DQ116" i="11"/>
  <c r="DH116" i="11"/>
  <c r="DG116" i="11"/>
  <c r="DF116" i="11"/>
  <c r="DE116" i="11"/>
  <c r="AK116" i="11"/>
  <c r="AJ116" i="11"/>
  <c r="AG116" i="11"/>
  <c r="AF116" i="11"/>
  <c r="AC116" i="11"/>
  <c r="T116" i="11"/>
  <c r="CX116" i="11"/>
  <c r="CJ116" i="11"/>
  <c r="CI116" i="11"/>
  <c r="CH116" i="11"/>
  <c r="IP115" i="11"/>
  <c r="JB115" i="11"/>
  <c r="IZ115" i="11"/>
  <c r="IX115" i="11"/>
  <c r="IU115" i="11"/>
  <c r="IL115" i="11"/>
  <c r="EJ115" i="11"/>
  <c r="EA115" i="11"/>
  <c r="EB115" i="11"/>
  <c r="DZ115" i="11"/>
  <c r="DY115" i="11"/>
  <c r="MC115" i="11"/>
  <c r="CA115" i="11"/>
  <c r="BZ115" i="11"/>
  <c r="BV115" i="11"/>
  <c r="BU115" i="11"/>
  <c r="BR115" i="11"/>
  <c r="BK115" i="11"/>
  <c r="BI115" i="11"/>
  <c r="BG115" i="11"/>
  <c r="BE115" i="11"/>
  <c r="BA115" i="11"/>
  <c r="AZ115" i="11"/>
  <c r="AW115" i="11"/>
  <c r="AV115" i="11"/>
  <c r="AU115" i="11"/>
  <c r="KE115" i="11"/>
  <c r="JS115" i="11"/>
  <c r="IM115" i="11"/>
  <c r="KA115" i="11"/>
  <c r="HF115" i="11"/>
  <c r="HE115" i="11"/>
  <c r="HD115" i="11"/>
  <c r="HC115" i="11"/>
  <c r="HB115" i="11"/>
  <c r="GL115" i="11"/>
  <c r="EM115" i="11"/>
  <c r="EL115" i="11"/>
  <c r="IH115" i="11"/>
  <c r="HZ115" i="11"/>
  <c r="HY115" i="11"/>
  <c r="HX115" i="11"/>
  <c r="GQ115" i="11"/>
  <c r="GO115" i="11"/>
  <c r="GJ115" i="11"/>
  <c r="GC115" i="11"/>
  <c r="FV115" i="11"/>
  <c r="FU115" i="11"/>
  <c r="FT115" i="11"/>
  <c r="FS115" i="11"/>
  <c r="FR115" i="11"/>
  <c r="FQ115" i="11"/>
  <c r="FP115" i="11"/>
  <c r="FO115" i="11"/>
  <c r="FM115" i="11"/>
  <c r="FK115" i="11"/>
  <c r="FJ115" i="11"/>
  <c r="GR115" i="11"/>
  <c r="FF115" i="11"/>
  <c r="FD115" i="11"/>
  <c r="FC115" i="11"/>
  <c r="FA115" i="11"/>
  <c r="EW115" i="11"/>
  <c r="ET115" i="11"/>
  <c r="EQ115" i="11"/>
  <c r="EP115" i="11"/>
  <c r="EO115" i="11"/>
  <c r="DU115" i="11"/>
  <c r="DQ115" i="11"/>
  <c r="DH115" i="11"/>
  <c r="DG115" i="11"/>
  <c r="DF115" i="11"/>
  <c r="DE115" i="11"/>
  <c r="AK115" i="11"/>
  <c r="AJ115" i="11"/>
  <c r="AG115" i="11"/>
  <c r="AF115" i="11"/>
  <c r="AC115" i="11"/>
  <c r="T115" i="11"/>
  <c r="CX115" i="11"/>
  <c r="CJ115" i="11"/>
  <c r="CI115" i="11"/>
  <c r="CH115" i="11"/>
  <c r="IP114" i="11"/>
  <c r="JB114" i="11"/>
  <c r="IZ114" i="11"/>
  <c r="IX114" i="11"/>
  <c r="IU114" i="11"/>
  <c r="IL114" i="11"/>
  <c r="EJ114" i="11"/>
  <c r="EA114" i="11"/>
  <c r="EB114" i="11"/>
  <c r="DZ114" i="11"/>
  <c r="DY114" i="11"/>
  <c r="MC114" i="11"/>
  <c r="CA114" i="11"/>
  <c r="BZ114" i="11"/>
  <c r="BV114" i="11"/>
  <c r="BU114" i="11"/>
  <c r="BR114" i="11"/>
  <c r="BK114" i="11"/>
  <c r="BI114" i="11"/>
  <c r="BG114" i="11"/>
  <c r="BE114" i="11"/>
  <c r="BA114" i="11"/>
  <c r="AZ114" i="11"/>
  <c r="AW114" i="11"/>
  <c r="AV114" i="11"/>
  <c r="AU114" i="11"/>
  <c r="KE114" i="11"/>
  <c r="JS114" i="11"/>
  <c r="IM114" i="11"/>
  <c r="KA114" i="11"/>
  <c r="HF114" i="11"/>
  <c r="HE114" i="11"/>
  <c r="HD114" i="11"/>
  <c r="HC114" i="11"/>
  <c r="HB114" i="11"/>
  <c r="GL114" i="11"/>
  <c r="EM114" i="11"/>
  <c r="EL114" i="11"/>
  <c r="IH114" i="11"/>
  <c r="HZ114" i="11"/>
  <c r="HY114" i="11"/>
  <c r="HX114" i="11"/>
  <c r="GQ114" i="11"/>
  <c r="GO114" i="11"/>
  <c r="GJ114" i="11"/>
  <c r="GC114" i="11"/>
  <c r="FV114" i="11"/>
  <c r="FU114" i="11"/>
  <c r="FT114" i="11"/>
  <c r="FS114" i="11"/>
  <c r="FR114" i="11"/>
  <c r="FQ114" i="11"/>
  <c r="FP114" i="11"/>
  <c r="FO114" i="11"/>
  <c r="FM114" i="11"/>
  <c r="FK114" i="11"/>
  <c r="FJ114" i="11"/>
  <c r="GR114" i="11"/>
  <c r="FF114" i="11"/>
  <c r="FD114" i="11"/>
  <c r="FC114" i="11"/>
  <c r="FA114" i="11"/>
  <c r="EW114" i="11"/>
  <c r="ET114" i="11"/>
  <c r="EQ114" i="11"/>
  <c r="EP114" i="11"/>
  <c r="EO114" i="11"/>
  <c r="DU114" i="11"/>
  <c r="DQ114" i="11"/>
  <c r="DH114" i="11"/>
  <c r="DG114" i="11"/>
  <c r="DF114" i="11"/>
  <c r="DE114" i="11"/>
  <c r="AK114" i="11"/>
  <c r="AJ114" i="11"/>
  <c r="AG114" i="11"/>
  <c r="AF114" i="11"/>
  <c r="AC114" i="11"/>
  <c r="T114" i="11"/>
  <c r="CX114" i="11"/>
  <c r="CJ114" i="11"/>
  <c r="CI114" i="11"/>
  <c r="CH114" i="11"/>
  <c r="IP113" i="11"/>
  <c r="JB113" i="11"/>
  <c r="IZ113" i="11"/>
  <c r="IX113" i="11"/>
  <c r="IU113" i="11"/>
  <c r="IL113" i="11"/>
  <c r="EJ113" i="11"/>
  <c r="EA113" i="11"/>
  <c r="EB113" i="11"/>
  <c r="DZ113" i="11"/>
  <c r="DY113" i="11"/>
  <c r="MC113" i="11"/>
  <c r="CA113" i="11"/>
  <c r="BZ113" i="11"/>
  <c r="BV113" i="11"/>
  <c r="BU113" i="11"/>
  <c r="BR113" i="11"/>
  <c r="BK113" i="11"/>
  <c r="BI113" i="11"/>
  <c r="BG113" i="11"/>
  <c r="BE113" i="11"/>
  <c r="BA113" i="11"/>
  <c r="AZ113" i="11"/>
  <c r="AW113" i="11"/>
  <c r="AV113" i="11"/>
  <c r="AU113" i="11"/>
  <c r="KE113" i="11"/>
  <c r="JS113" i="11"/>
  <c r="IM113" i="11"/>
  <c r="KA113" i="11"/>
  <c r="HF113" i="11"/>
  <c r="HE113" i="11"/>
  <c r="HD113" i="11"/>
  <c r="HC113" i="11"/>
  <c r="HB113" i="11"/>
  <c r="GL113" i="11"/>
  <c r="EM113" i="11"/>
  <c r="EL113" i="11"/>
  <c r="IH113" i="11"/>
  <c r="HZ113" i="11"/>
  <c r="HY113" i="11"/>
  <c r="HX113" i="11"/>
  <c r="GQ113" i="11"/>
  <c r="GO113" i="11"/>
  <c r="GJ113" i="11"/>
  <c r="GC113" i="11"/>
  <c r="FV113" i="11"/>
  <c r="FU113" i="11"/>
  <c r="FT113" i="11"/>
  <c r="FS113" i="11"/>
  <c r="FR113" i="11"/>
  <c r="FQ113" i="11"/>
  <c r="FP113" i="11"/>
  <c r="FO113" i="11"/>
  <c r="FM113" i="11"/>
  <c r="FK113" i="11"/>
  <c r="FJ113" i="11"/>
  <c r="GR113" i="11"/>
  <c r="FF113" i="11"/>
  <c r="FD113" i="11"/>
  <c r="FC113" i="11"/>
  <c r="FA113" i="11"/>
  <c r="EW113" i="11"/>
  <c r="ET113" i="11"/>
  <c r="EQ113" i="11"/>
  <c r="EP113" i="11"/>
  <c r="EO113" i="11"/>
  <c r="DU113" i="11"/>
  <c r="DQ113" i="11"/>
  <c r="DH113" i="11"/>
  <c r="DG113" i="11"/>
  <c r="DF113" i="11"/>
  <c r="DE113" i="11"/>
  <c r="AK113" i="11"/>
  <c r="AJ113" i="11"/>
  <c r="AG113" i="11"/>
  <c r="AF113" i="11"/>
  <c r="AC113" i="11"/>
  <c r="T113" i="11"/>
  <c r="CX113" i="11"/>
  <c r="CJ113" i="11"/>
  <c r="CI113" i="11"/>
  <c r="CH113" i="11"/>
  <c r="IP112" i="11"/>
  <c r="JB112" i="11"/>
  <c r="IZ112" i="11"/>
  <c r="IX112" i="11"/>
  <c r="IU112" i="11"/>
  <c r="IL112" i="11"/>
  <c r="EJ112" i="11"/>
  <c r="EA112" i="11"/>
  <c r="EB112" i="11"/>
  <c r="DZ112" i="11"/>
  <c r="DY112" i="11"/>
  <c r="MC112" i="11"/>
  <c r="CA112" i="11"/>
  <c r="BZ112" i="11"/>
  <c r="BV112" i="11"/>
  <c r="BU112" i="11"/>
  <c r="BR112" i="11"/>
  <c r="BK112" i="11"/>
  <c r="BI112" i="11"/>
  <c r="BG112" i="11"/>
  <c r="BE112" i="11"/>
  <c r="BA112" i="11"/>
  <c r="AZ112" i="11"/>
  <c r="AW112" i="11"/>
  <c r="AV112" i="11"/>
  <c r="AU112" i="11"/>
  <c r="KE112" i="11"/>
  <c r="JS112" i="11"/>
  <c r="IM112" i="11"/>
  <c r="KA112" i="11"/>
  <c r="HF112" i="11"/>
  <c r="HE112" i="11"/>
  <c r="HD112" i="11"/>
  <c r="HC112" i="11"/>
  <c r="HB112" i="11"/>
  <c r="GL112" i="11"/>
  <c r="EM112" i="11"/>
  <c r="EL112" i="11"/>
  <c r="IH112" i="11"/>
  <c r="HZ112" i="11"/>
  <c r="HY112" i="11"/>
  <c r="HX112" i="11"/>
  <c r="GQ112" i="11"/>
  <c r="GO112" i="11"/>
  <c r="GJ112" i="11"/>
  <c r="GC112" i="11"/>
  <c r="FV112" i="11"/>
  <c r="FU112" i="11"/>
  <c r="FT112" i="11"/>
  <c r="FS112" i="11"/>
  <c r="FR112" i="11"/>
  <c r="FQ112" i="11"/>
  <c r="FP112" i="11"/>
  <c r="FO112" i="11"/>
  <c r="FM112" i="11"/>
  <c r="FK112" i="11"/>
  <c r="FJ112" i="11"/>
  <c r="GR112" i="11"/>
  <c r="FF112" i="11"/>
  <c r="FD112" i="11"/>
  <c r="FC112" i="11"/>
  <c r="FA112" i="11"/>
  <c r="EW112" i="11"/>
  <c r="ET112" i="11"/>
  <c r="EQ112" i="11"/>
  <c r="EP112" i="11"/>
  <c r="EO112" i="11"/>
  <c r="DU112" i="11"/>
  <c r="DQ112" i="11"/>
  <c r="DH112" i="11"/>
  <c r="DG112" i="11"/>
  <c r="DF112" i="11"/>
  <c r="DE112" i="11"/>
  <c r="AK112" i="11"/>
  <c r="AJ112" i="11"/>
  <c r="AG112" i="11"/>
  <c r="AF112" i="11"/>
  <c r="AC112" i="11"/>
  <c r="T112" i="11"/>
  <c r="CX112" i="11"/>
  <c r="CJ112" i="11"/>
  <c r="CI112" i="11"/>
  <c r="CH112" i="11"/>
  <c r="IP111" i="11"/>
  <c r="JB111" i="11"/>
  <c r="IZ111" i="11"/>
  <c r="IX111" i="11"/>
  <c r="IU111" i="11"/>
  <c r="IL111" i="11"/>
  <c r="EJ111" i="11"/>
  <c r="EA111" i="11"/>
  <c r="EB111" i="11"/>
  <c r="DZ111" i="11"/>
  <c r="DY111" i="11"/>
  <c r="MC111" i="11"/>
  <c r="CA111" i="11"/>
  <c r="BZ111" i="11"/>
  <c r="BV111" i="11"/>
  <c r="BU111" i="11"/>
  <c r="BR111" i="11"/>
  <c r="BK111" i="11"/>
  <c r="BI111" i="11"/>
  <c r="BG111" i="11"/>
  <c r="BE111" i="11"/>
  <c r="BA111" i="11"/>
  <c r="AZ111" i="11"/>
  <c r="AW111" i="11"/>
  <c r="AV111" i="11"/>
  <c r="AU111" i="11"/>
  <c r="KE111" i="11"/>
  <c r="JS111" i="11"/>
  <c r="IM111" i="11"/>
  <c r="KA111" i="11"/>
  <c r="HF111" i="11"/>
  <c r="HE111" i="11"/>
  <c r="HD111" i="11"/>
  <c r="HC111" i="11"/>
  <c r="HB111" i="11"/>
  <c r="GL111" i="11"/>
  <c r="EM111" i="11"/>
  <c r="EL111" i="11"/>
  <c r="IH111" i="11"/>
  <c r="HZ111" i="11"/>
  <c r="HY111" i="11"/>
  <c r="HX111" i="11"/>
  <c r="GQ111" i="11"/>
  <c r="GO111" i="11"/>
  <c r="GJ111" i="11"/>
  <c r="GC111" i="11"/>
  <c r="FV111" i="11"/>
  <c r="FU111" i="11"/>
  <c r="FT111" i="11"/>
  <c r="FS111" i="11"/>
  <c r="FR111" i="11"/>
  <c r="FQ111" i="11"/>
  <c r="FP111" i="11"/>
  <c r="FO111" i="11"/>
  <c r="FM111" i="11"/>
  <c r="FK111" i="11"/>
  <c r="FJ111" i="11"/>
  <c r="GR111" i="11"/>
  <c r="FF111" i="11"/>
  <c r="FD111" i="11"/>
  <c r="FC111" i="11"/>
  <c r="FA111" i="11"/>
  <c r="EW111" i="11"/>
  <c r="ET111" i="11"/>
  <c r="EQ111" i="11"/>
  <c r="EP111" i="11"/>
  <c r="EO111" i="11"/>
  <c r="DU111" i="11"/>
  <c r="DQ111" i="11"/>
  <c r="DH111" i="11"/>
  <c r="DG111" i="11"/>
  <c r="DF111" i="11"/>
  <c r="DE111" i="11"/>
  <c r="AK111" i="11"/>
  <c r="AJ111" i="11"/>
  <c r="AG111" i="11"/>
  <c r="AF111" i="11"/>
  <c r="AC111" i="11"/>
  <c r="T111" i="11"/>
  <c r="CX111" i="11"/>
  <c r="CJ111" i="11"/>
  <c r="CI111" i="11"/>
  <c r="CH111" i="11"/>
  <c r="IZ108" i="11"/>
  <c r="CA108" i="11"/>
  <c r="BZ108" i="11"/>
  <c r="BW108" i="11"/>
  <c r="BV108" i="11"/>
  <c r="BU108" i="11"/>
  <c r="BR108" i="11"/>
  <c r="BB108" i="11"/>
  <c r="BA108" i="11"/>
  <c r="AZ108" i="11"/>
  <c r="AX108" i="11"/>
  <c r="AW108" i="11"/>
  <c r="AV108" i="11"/>
  <c r="KE108" i="11"/>
  <c r="HB108" i="11"/>
  <c r="HY108" i="11"/>
  <c r="HX108" i="11"/>
  <c r="GQ108" i="11"/>
  <c r="GO108" i="11"/>
  <c r="FJ108" i="11"/>
  <c r="GR108" i="11"/>
  <c r="FF108" i="11"/>
  <c r="FE108" i="11"/>
  <c r="FD108" i="11"/>
  <c r="FC108" i="11"/>
  <c r="EP108" i="11"/>
  <c r="EO108" i="11"/>
  <c r="DH108" i="11"/>
  <c r="DG108" i="11"/>
  <c r="DF108" i="11"/>
  <c r="DE108" i="11"/>
  <c r="AG108" i="11"/>
  <c r="AF108" i="11"/>
  <c r="M108" i="11"/>
  <c r="CJ108" i="11"/>
  <c r="IP99" i="11"/>
  <c r="JB99" i="11"/>
  <c r="JW99" i="11"/>
  <c r="JH99" i="11"/>
  <c r="IZ99" i="11"/>
  <c r="IX99" i="11"/>
  <c r="IU99" i="11"/>
  <c r="IS99" i="11"/>
  <c r="IQ99" i="11"/>
  <c r="IL99" i="11"/>
  <c r="EJ99" i="11"/>
  <c r="EA99" i="11"/>
  <c r="EB99" i="11"/>
  <c r="DZ99" i="11"/>
  <c r="DY99" i="11"/>
  <c r="MC99" i="11"/>
  <c r="CA99" i="11"/>
  <c r="BZ99" i="11"/>
  <c r="BV99" i="11"/>
  <c r="BU99" i="11"/>
  <c r="BR99" i="11"/>
  <c r="BN99" i="11"/>
  <c r="BM99" i="11"/>
  <c r="BL99" i="11"/>
  <c r="BK99" i="11"/>
  <c r="BI99" i="11"/>
  <c r="BG99" i="11"/>
  <c r="BD99" i="11"/>
  <c r="BA99" i="11"/>
  <c r="AZ99" i="11"/>
  <c r="AX99" i="11"/>
  <c r="AW99" i="11"/>
  <c r="AV99" i="11"/>
  <c r="KE99" i="11"/>
  <c r="KB99" i="11"/>
  <c r="JS99" i="11"/>
  <c r="IM99" i="11"/>
  <c r="KA99" i="11"/>
  <c r="HF99" i="11"/>
  <c r="HE99" i="11"/>
  <c r="HD99" i="11"/>
  <c r="HC99" i="11"/>
  <c r="HB99" i="11"/>
  <c r="GN99" i="11"/>
  <c r="GL99" i="11"/>
  <c r="EM99" i="11"/>
  <c r="EL99" i="11"/>
  <c r="II99" i="11"/>
  <c r="IH99" i="11"/>
  <c r="ID99" i="11"/>
  <c r="HZ99" i="11"/>
  <c r="HY99" i="11"/>
  <c r="HX99" i="11"/>
  <c r="HU99" i="11"/>
  <c r="HS99" i="11"/>
  <c r="HR99" i="11"/>
  <c r="HQ99" i="11"/>
  <c r="HP99" i="11"/>
  <c r="HO99" i="11"/>
  <c r="HN99" i="11"/>
  <c r="HM99" i="11"/>
  <c r="HL99" i="11"/>
  <c r="HJ99" i="11"/>
  <c r="GJ99" i="11"/>
  <c r="GC99" i="11"/>
  <c r="FV99" i="11"/>
  <c r="FU99" i="11"/>
  <c r="FT99" i="11"/>
  <c r="FS99" i="11"/>
  <c r="FR99" i="11"/>
  <c r="FQ99" i="11"/>
  <c r="FP99" i="11"/>
  <c r="FO99" i="11"/>
  <c r="FM99" i="11"/>
  <c r="FK99" i="11"/>
  <c r="FJ99" i="11"/>
  <c r="FI99" i="11"/>
  <c r="FF99" i="11"/>
  <c r="FE99" i="11"/>
  <c r="FD99" i="11"/>
  <c r="FC99" i="11"/>
  <c r="FB99" i="11"/>
  <c r="FA99" i="11"/>
  <c r="EW99" i="11"/>
  <c r="ET99" i="11"/>
  <c r="EQ99" i="11"/>
  <c r="EP99" i="11"/>
  <c r="EO99" i="11"/>
  <c r="EN99" i="11"/>
  <c r="EK99" i="11"/>
  <c r="DU99" i="11"/>
  <c r="DQ99" i="11"/>
  <c r="DH99" i="11"/>
  <c r="DG99" i="11"/>
  <c r="DF99" i="11"/>
  <c r="DE99" i="11"/>
  <c r="AT99" i="11"/>
  <c r="AK99" i="11"/>
  <c r="AJ99" i="11"/>
  <c r="AI99" i="11"/>
  <c r="AG99" i="11"/>
  <c r="AF99" i="11"/>
  <c r="AC99" i="11"/>
  <c r="AB99" i="11"/>
  <c r="X99" i="11"/>
  <c r="W99" i="11"/>
  <c r="T99" i="11"/>
  <c r="S99" i="11"/>
  <c r="Q99" i="11"/>
  <c r="P99" i="11"/>
  <c r="N99" i="11"/>
  <c r="M99" i="11"/>
  <c r="CW99" i="11"/>
  <c r="CX99" i="11"/>
  <c r="CV99" i="11"/>
  <c r="CL99" i="11"/>
  <c r="CK99" i="11"/>
  <c r="CJ99" i="11"/>
  <c r="CI99" i="11"/>
  <c r="CH99" i="11"/>
  <c r="CF99" i="11"/>
  <c r="IP98" i="11"/>
  <c r="JB98" i="11"/>
  <c r="JW98" i="11"/>
  <c r="JH98" i="11"/>
  <c r="IZ98" i="11"/>
  <c r="IX98" i="11"/>
  <c r="IU98" i="11"/>
  <c r="IS98" i="11"/>
  <c r="IQ98" i="11"/>
  <c r="IL98" i="11"/>
  <c r="EJ98" i="11"/>
  <c r="EA98" i="11"/>
  <c r="EB98" i="11"/>
  <c r="DZ98" i="11"/>
  <c r="DY98" i="11"/>
  <c r="MC98" i="11"/>
  <c r="CA98" i="11"/>
  <c r="BZ98" i="11"/>
  <c r="BV98" i="11"/>
  <c r="BU98" i="11"/>
  <c r="BR98" i="11"/>
  <c r="BN98" i="11"/>
  <c r="BM98" i="11"/>
  <c r="BL98" i="11"/>
  <c r="BK98" i="11"/>
  <c r="BI98" i="11"/>
  <c r="BG98" i="11"/>
  <c r="BD98" i="11"/>
  <c r="BA98" i="11"/>
  <c r="AZ98" i="11"/>
  <c r="AX98" i="11"/>
  <c r="AW98" i="11"/>
  <c r="AV98" i="11"/>
  <c r="KE98" i="11"/>
  <c r="KB98" i="11"/>
  <c r="JS98" i="11"/>
  <c r="IM98" i="11"/>
  <c r="KA98" i="11"/>
  <c r="HF98" i="11"/>
  <c r="HE98" i="11"/>
  <c r="HD98" i="11"/>
  <c r="HC98" i="11"/>
  <c r="HB98" i="11"/>
  <c r="GN98" i="11"/>
  <c r="GL98" i="11"/>
  <c r="EM98" i="11"/>
  <c r="EL98" i="11"/>
  <c r="II98" i="11"/>
  <c r="IH98" i="11"/>
  <c r="ID98" i="11"/>
  <c r="HZ98" i="11"/>
  <c r="HY98" i="11"/>
  <c r="HX98" i="11"/>
  <c r="HU98" i="11"/>
  <c r="HS98" i="11"/>
  <c r="HR98" i="11"/>
  <c r="HQ98" i="11"/>
  <c r="HP98" i="11"/>
  <c r="HO98" i="11"/>
  <c r="HN98" i="11"/>
  <c r="HM98" i="11"/>
  <c r="HL98" i="11"/>
  <c r="HJ98" i="11"/>
  <c r="GJ98" i="11"/>
  <c r="GC98" i="11"/>
  <c r="FV98" i="11"/>
  <c r="FU98" i="11"/>
  <c r="FT98" i="11"/>
  <c r="FS98" i="11"/>
  <c r="FR98" i="11"/>
  <c r="FQ98" i="11"/>
  <c r="FP98" i="11"/>
  <c r="FO98" i="11"/>
  <c r="FM98" i="11"/>
  <c r="FK98" i="11"/>
  <c r="FJ98" i="11"/>
  <c r="FI98" i="11"/>
  <c r="FF98" i="11"/>
  <c r="FE98" i="11"/>
  <c r="FD98" i="11"/>
  <c r="FC98" i="11"/>
  <c r="FB98" i="11"/>
  <c r="FA98" i="11"/>
  <c r="EW98" i="11"/>
  <c r="ET98" i="11"/>
  <c r="EQ98" i="11"/>
  <c r="EP98" i="11"/>
  <c r="EO98" i="11"/>
  <c r="EN98" i="11"/>
  <c r="EK98" i="11"/>
  <c r="DU98" i="11"/>
  <c r="DQ98" i="11"/>
  <c r="DH98" i="11"/>
  <c r="DG98" i="11"/>
  <c r="DF98" i="11"/>
  <c r="DE98" i="11"/>
  <c r="AT98" i="11"/>
  <c r="AK98" i="11"/>
  <c r="AJ98" i="11"/>
  <c r="AI98" i="11"/>
  <c r="AG98" i="11"/>
  <c r="AF98" i="11"/>
  <c r="AC98" i="11"/>
  <c r="AB98" i="11"/>
  <c r="X98" i="11"/>
  <c r="W98" i="11"/>
  <c r="T98" i="11"/>
  <c r="S98" i="11"/>
  <c r="Q98" i="11"/>
  <c r="P98" i="11"/>
  <c r="N98" i="11"/>
  <c r="M98" i="11"/>
  <c r="CW98" i="11"/>
  <c r="CX98" i="11"/>
  <c r="CV98" i="11"/>
  <c r="CL98" i="11"/>
  <c r="CK98" i="11"/>
  <c r="CJ98" i="11"/>
  <c r="CI98" i="11"/>
  <c r="CH98" i="11"/>
  <c r="CF98" i="11"/>
  <c r="IP97" i="11"/>
  <c r="JB97" i="11"/>
  <c r="JW97" i="11"/>
  <c r="JH97" i="11"/>
  <c r="IZ97" i="11"/>
  <c r="IX97" i="11"/>
  <c r="IU97" i="11"/>
  <c r="IS97" i="11"/>
  <c r="IQ97" i="11"/>
  <c r="IL97" i="11"/>
  <c r="EJ97" i="11"/>
  <c r="EA97" i="11"/>
  <c r="EB97" i="11"/>
  <c r="DZ97" i="11"/>
  <c r="DY97" i="11"/>
  <c r="MC97" i="11"/>
  <c r="CA97" i="11"/>
  <c r="BZ97" i="11"/>
  <c r="BV97" i="11"/>
  <c r="BU97" i="11"/>
  <c r="BR97" i="11"/>
  <c r="BN97" i="11"/>
  <c r="BM97" i="11"/>
  <c r="BL97" i="11"/>
  <c r="BK97" i="11"/>
  <c r="BI97" i="11"/>
  <c r="BG97" i="11"/>
  <c r="BD97" i="11"/>
  <c r="BA97" i="11"/>
  <c r="AZ97" i="11"/>
  <c r="AX97" i="11"/>
  <c r="AW97" i="11"/>
  <c r="AV97" i="11"/>
  <c r="KE97" i="11"/>
  <c r="KB97" i="11"/>
  <c r="JS97" i="11"/>
  <c r="IM97" i="11"/>
  <c r="KA97" i="11"/>
  <c r="HF97" i="11"/>
  <c r="HE97" i="11"/>
  <c r="HD97" i="11"/>
  <c r="HC97" i="11"/>
  <c r="HB97" i="11"/>
  <c r="GN97" i="11"/>
  <c r="GL97" i="11"/>
  <c r="EM97" i="11"/>
  <c r="EL97" i="11"/>
  <c r="II97" i="11"/>
  <c r="IH97" i="11"/>
  <c r="ID97" i="11"/>
  <c r="HZ97" i="11"/>
  <c r="HY97" i="11"/>
  <c r="HX97" i="11"/>
  <c r="HU97" i="11"/>
  <c r="HS97" i="11"/>
  <c r="HR97" i="11"/>
  <c r="HQ97" i="11"/>
  <c r="HP97" i="11"/>
  <c r="HO97" i="11"/>
  <c r="HN97" i="11"/>
  <c r="HM97" i="11"/>
  <c r="HL97" i="11"/>
  <c r="HJ97" i="11"/>
  <c r="GJ97" i="11"/>
  <c r="GC97" i="11"/>
  <c r="FV97" i="11"/>
  <c r="FU97" i="11"/>
  <c r="FT97" i="11"/>
  <c r="FS97" i="11"/>
  <c r="FR97" i="11"/>
  <c r="FQ97" i="11"/>
  <c r="FP97" i="11"/>
  <c r="FO97" i="11"/>
  <c r="FM97" i="11"/>
  <c r="FK97" i="11"/>
  <c r="FJ97" i="11"/>
  <c r="FI97" i="11"/>
  <c r="FF97" i="11"/>
  <c r="FE97" i="11"/>
  <c r="FD97" i="11"/>
  <c r="FC97" i="11"/>
  <c r="FB97" i="11"/>
  <c r="FA97" i="11"/>
  <c r="EW97" i="11"/>
  <c r="ET97" i="11"/>
  <c r="EQ97" i="11"/>
  <c r="EP97" i="11"/>
  <c r="EO97" i="11"/>
  <c r="EN97" i="11"/>
  <c r="EK97" i="11"/>
  <c r="DU97" i="11"/>
  <c r="DQ97" i="11"/>
  <c r="DH97" i="11"/>
  <c r="DG97" i="11"/>
  <c r="DF97" i="11"/>
  <c r="DE97" i="11"/>
  <c r="AT97" i="11"/>
  <c r="AK97" i="11"/>
  <c r="AJ97" i="11"/>
  <c r="AI97" i="11"/>
  <c r="AG97" i="11"/>
  <c r="AF97" i="11"/>
  <c r="AC97" i="11"/>
  <c r="AB97" i="11"/>
  <c r="X97" i="11"/>
  <c r="W97" i="11"/>
  <c r="T97" i="11"/>
  <c r="S97" i="11"/>
  <c r="Q97" i="11"/>
  <c r="P97" i="11"/>
  <c r="N97" i="11"/>
  <c r="M97" i="11"/>
  <c r="CW97" i="11"/>
  <c r="CX97" i="11"/>
  <c r="CV97" i="11"/>
  <c r="CL97" i="11"/>
  <c r="CK97" i="11"/>
  <c r="CJ97" i="11"/>
  <c r="CI97" i="11"/>
  <c r="CH97" i="11"/>
  <c r="CF97" i="11"/>
  <c r="IP96" i="11"/>
  <c r="JB96" i="11"/>
  <c r="JW96" i="11"/>
  <c r="JH96" i="11"/>
  <c r="IZ96" i="11"/>
  <c r="IX96" i="11"/>
  <c r="IU96" i="11"/>
  <c r="IS96" i="11"/>
  <c r="IQ96" i="11"/>
  <c r="IL96" i="11"/>
  <c r="EJ96" i="11"/>
  <c r="EA96" i="11"/>
  <c r="EB96" i="11"/>
  <c r="DZ96" i="11"/>
  <c r="DY96" i="11"/>
  <c r="MC96" i="11"/>
  <c r="CA96" i="11"/>
  <c r="BZ96" i="11"/>
  <c r="BV96" i="11"/>
  <c r="BU96" i="11"/>
  <c r="BR96" i="11"/>
  <c r="BN96" i="11"/>
  <c r="BM96" i="11"/>
  <c r="BL96" i="11"/>
  <c r="BK96" i="11"/>
  <c r="BI96" i="11"/>
  <c r="BG96" i="11"/>
  <c r="BD96" i="11"/>
  <c r="BA96" i="11"/>
  <c r="AZ96" i="11"/>
  <c r="AX96" i="11"/>
  <c r="AW96" i="11"/>
  <c r="AV96" i="11"/>
  <c r="KE96" i="11"/>
  <c r="KB96" i="11"/>
  <c r="JS96" i="11"/>
  <c r="IM96" i="11"/>
  <c r="KA96" i="11"/>
  <c r="HF96" i="11"/>
  <c r="HE96" i="11"/>
  <c r="HD96" i="11"/>
  <c r="HC96" i="11"/>
  <c r="HB96" i="11"/>
  <c r="GN96" i="11"/>
  <c r="GL96" i="11"/>
  <c r="EM96" i="11"/>
  <c r="EL96" i="11"/>
  <c r="II96" i="11"/>
  <c r="IH96" i="11"/>
  <c r="ID96" i="11"/>
  <c r="HZ96" i="11"/>
  <c r="HY96" i="11"/>
  <c r="HX96" i="11"/>
  <c r="HU96" i="11"/>
  <c r="HS96" i="11"/>
  <c r="HR96" i="11"/>
  <c r="HQ96" i="11"/>
  <c r="HP96" i="11"/>
  <c r="HO96" i="11"/>
  <c r="HN96" i="11"/>
  <c r="HM96" i="11"/>
  <c r="HL96" i="11"/>
  <c r="HJ96" i="11"/>
  <c r="GJ96" i="11"/>
  <c r="GC96" i="11"/>
  <c r="FV96" i="11"/>
  <c r="FU96" i="11"/>
  <c r="FT96" i="11"/>
  <c r="FS96" i="11"/>
  <c r="FR96" i="11"/>
  <c r="FQ96" i="11"/>
  <c r="FP96" i="11"/>
  <c r="FO96" i="11"/>
  <c r="FM96" i="11"/>
  <c r="FK96" i="11"/>
  <c r="FJ96" i="11"/>
  <c r="FI96" i="11"/>
  <c r="FF96" i="11"/>
  <c r="FE96" i="11"/>
  <c r="FD96" i="11"/>
  <c r="FC96" i="11"/>
  <c r="FB96" i="11"/>
  <c r="FA96" i="11"/>
  <c r="EW96" i="11"/>
  <c r="ET96" i="11"/>
  <c r="EQ96" i="11"/>
  <c r="EP96" i="11"/>
  <c r="EO96" i="11"/>
  <c r="EN96" i="11"/>
  <c r="EK96" i="11"/>
  <c r="DU96" i="11"/>
  <c r="DQ96" i="11"/>
  <c r="DH96" i="11"/>
  <c r="DG96" i="11"/>
  <c r="DF96" i="11"/>
  <c r="DE96" i="11"/>
  <c r="AT96" i="11"/>
  <c r="AK96" i="11"/>
  <c r="AJ96" i="11"/>
  <c r="AI96" i="11"/>
  <c r="AG96" i="11"/>
  <c r="AF96" i="11"/>
  <c r="AC96" i="11"/>
  <c r="AB96" i="11"/>
  <c r="X96" i="11"/>
  <c r="W96" i="11"/>
  <c r="T96" i="11"/>
  <c r="S96" i="11"/>
  <c r="Q96" i="11"/>
  <c r="P96" i="11"/>
  <c r="N96" i="11"/>
  <c r="M96" i="11"/>
  <c r="CW96" i="11"/>
  <c r="CX96" i="11"/>
  <c r="CV96" i="11"/>
  <c r="CL96" i="11"/>
  <c r="CK96" i="11"/>
  <c r="CJ96" i="11"/>
  <c r="CI96" i="11"/>
  <c r="CH96" i="11"/>
  <c r="CF96" i="11"/>
  <c r="IP95" i="11"/>
  <c r="JB95" i="11"/>
  <c r="JW95" i="11"/>
  <c r="JH95" i="11"/>
  <c r="IZ95" i="11"/>
  <c r="IX95" i="11"/>
  <c r="IU95" i="11"/>
  <c r="IS95" i="11"/>
  <c r="IQ95" i="11"/>
  <c r="IL95" i="11"/>
  <c r="EJ95" i="11"/>
  <c r="EA95" i="11"/>
  <c r="EB95" i="11"/>
  <c r="DZ95" i="11"/>
  <c r="DY95" i="11"/>
  <c r="MC95" i="11"/>
  <c r="CA95" i="11"/>
  <c r="BZ95" i="11"/>
  <c r="BV95" i="11"/>
  <c r="BU95" i="11"/>
  <c r="BR95" i="11"/>
  <c r="BN95" i="11"/>
  <c r="BM95" i="11"/>
  <c r="BL95" i="11"/>
  <c r="BK95" i="11"/>
  <c r="BI95" i="11"/>
  <c r="BG95" i="11"/>
  <c r="BD95" i="11"/>
  <c r="BA95" i="11"/>
  <c r="AZ95" i="11"/>
  <c r="AX95" i="11"/>
  <c r="AW95" i="11"/>
  <c r="AV95" i="11"/>
  <c r="KE95" i="11"/>
  <c r="KB95" i="11"/>
  <c r="JS95" i="11"/>
  <c r="IM95" i="11"/>
  <c r="KA95" i="11"/>
  <c r="HF95" i="11"/>
  <c r="HE95" i="11"/>
  <c r="HD95" i="11"/>
  <c r="HC95" i="11"/>
  <c r="HB95" i="11"/>
  <c r="GN95" i="11"/>
  <c r="GL95" i="11"/>
  <c r="EM95" i="11"/>
  <c r="EL95" i="11"/>
  <c r="II95" i="11"/>
  <c r="IH95" i="11"/>
  <c r="ID95" i="11"/>
  <c r="HZ95" i="11"/>
  <c r="HY95" i="11"/>
  <c r="HX95" i="11"/>
  <c r="HU95" i="11"/>
  <c r="HS95" i="11"/>
  <c r="HR95" i="11"/>
  <c r="HQ95" i="11"/>
  <c r="HP95" i="11"/>
  <c r="HO95" i="11"/>
  <c r="HN95" i="11"/>
  <c r="HM95" i="11"/>
  <c r="HL95" i="11"/>
  <c r="HJ95" i="11"/>
  <c r="GJ95" i="11"/>
  <c r="GC95" i="11"/>
  <c r="FV95" i="11"/>
  <c r="FU95" i="11"/>
  <c r="FT95" i="11"/>
  <c r="FS95" i="11"/>
  <c r="FR95" i="11"/>
  <c r="FQ95" i="11"/>
  <c r="FP95" i="11"/>
  <c r="FO95" i="11"/>
  <c r="FM95" i="11"/>
  <c r="FK95" i="11"/>
  <c r="FJ95" i="11"/>
  <c r="FI95" i="11"/>
  <c r="FF95" i="11"/>
  <c r="FE95" i="11"/>
  <c r="FD95" i="11"/>
  <c r="FC95" i="11"/>
  <c r="FB95" i="11"/>
  <c r="FA95" i="11"/>
  <c r="EW95" i="11"/>
  <c r="ET95" i="11"/>
  <c r="EQ95" i="11"/>
  <c r="EP95" i="11"/>
  <c r="EO95" i="11"/>
  <c r="EN95" i="11"/>
  <c r="EK95" i="11"/>
  <c r="DU95" i="11"/>
  <c r="DQ95" i="11"/>
  <c r="DH95" i="11"/>
  <c r="DG95" i="11"/>
  <c r="DF95" i="11"/>
  <c r="DE95" i="11"/>
  <c r="AT95" i="11"/>
  <c r="AK95" i="11"/>
  <c r="AJ95" i="11"/>
  <c r="AI95" i="11"/>
  <c r="AG95" i="11"/>
  <c r="AF95" i="11"/>
  <c r="AC95" i="11"/>
  <c r="AB95" i="11"/>
  <c r="X95" i="11"/>
  <c r="W95" i="11"/>
  <c r="T95" i="11"/>
  <c r="S95" i="11"/>
  <c r="Q95" i="11"/>
  <c r="P95" i="11"/>
  <c r="N95" i="11"/>
  <c r="M95" i="11"/>
  <c r="CW95" i="11"/>
  <c r="CX95" i="11"/>
  <c r="CV95" i="11"/>
  <c r="CL95" i="11"/>
  <c r="CK95" i="11"/>
  <c r="CJ95" i="11"/>
  <c r="CI95" i="11"/>
  <c r="CH95" i="11"/>
  <c r="CF95" i="11"/>
  <c r="IP94" i="11"/>
  <c r="JB94" i="11"/>
  <c r="JW94" i="11"/>
  <c r="JH94" i="11"/>
  <c r="IZ94" i="11"/>
  <c r="IX94" i="11"/>
  <c r="IU94" i="11"/>
  <c r="IS94" i="11"/>
  <c r="IQ94" i="11"/>
  <c r="IL94" i="11"/>
  <c r="EJ94" i="11"/>
  <c r="EA94" i="11"/>
  <c r="EB94" i="11"/>
  <c r="DZ94" i="11"/>
  <c r="DY94" i="11"/>
  <c r="MC94" i="11"/>
  <c r="CA94" i="11"/>
  <c r="BZ94" i="11"/>
  <c r="BV94" i="11"/>
  <c r="BU94" i="11"/>
  <c r="BR94" i="11"/>
  <c r="BN94" i="11"/>
  <c r="BM94" i="11"/>
  <c r="BL94" i="11"/>
  <c r="BK94" i="11"/>
  <c r="BI94" i="11"/>
  <c r="BG94" i="11"/>
  <c r="BD94" i="11"/>
  <c r="BA94" i="11"/>
  <c r="AZ94" i="11"/>
  <c r="AX94" i="11"/>
  <c r="AW94" i="11"/>
  <c r="AV94" i="11"/>
  <c r="KE94" i="11"/>
  <c r="KB94" i="11"/>
  <c r="JS94" i="11"/>
  <c r="IM94" i="11"/>
  <c r="KA94" i="11"/>
  <c r="HF94" i="11"/>
  <c r="HE94" i="11"/>
  <c r="HD94" i="11"/>
  <c r="HC94" i="11"/>
  <c r="HB94" i="11"/>
  <c r="GN94" i="11"/>
  <c r="GL94" i="11"/>
  <c r="EM94" i="11"/>
  <c r="EL94" i="11"/>
  <c r="II94" i="11"/>
  <c r="IH94" i="11"/>
  <c r="ID94" i="11"/>
  <c r="HZ94" i="11"/>
  <c r="HY94" i="11"/>
  <c r="HX94" i="11"/>
  <c r="HU94" i="11"/>
  <c r="HS94" i="11"/>
  <c r="HR94" i="11"/>
  <c r="HQ94" i="11"/>
  <c r="HP94" i="11"/>
  <c r="HO94" i="11"/>
  <c r="HN94" i="11"/>
  <c r="HM94" i="11"/>
  <c r="HL94" i="11"/>
  <c r="HJ94" i="11"/>
  <c r="GJ94" i="11"/>
  <c r="GC94" i="11"/>
  <c r="FV94" i="11"/>
  <c r="FU94" i="11"/>
  <c r="FT94" i="11"/>
  <c r="FS94" i="11"/>
  <c r="FR94" i="11"/>
  <c r="FQ94" i="11"/>
  <c r="FP94" i="11"/>
  <c r="FO94" i="11"/>
  <c r="FM94" i="11"/>
  <c r="FK94" i="11"/>
  <c r="FJ94" i="11"/>
  <c r="FI94" i="11"/>
  <c r="FF94" i="11"/>
  <c r="FE94" i="11"/>
  <c r="FD94" i="11"/>
  <c r="FC94" i="11"/>
  <c r="FB94" i="11"/>
  <c r="FA94" i="11"/>
  <c r="EW94" i="11"/>
  <c r="ET94" i="11"/>
  <c r="EQ94" i="11"/>
  <c r="EP94" i="11"/>
  <c r="EO94" i="11"/>
  <c r="EN94" i="11"/>
  <c r="EK94" i="11"/>
  <c r="DU94" i="11"/>
  <c r="DQ94" i="11"/>
  <c r="DH94" i="11"/>
  <c r="DG94" i="11"/>
  <c r="DF94" i="11"/>
  <c r="DE94" i="11"/>
  <c r="AT94" i="11"/>
  <c r="AK94" i="11"/>
  <c r="AJ94" i="11"/>
  <c r="AI94" i="11"/>
  <c r="AG94" i="11"/>
  <c r="AF94" i="11"/>
  <c r="AC94" i="11"/>
  <c r="AB94" i="11"/>
  <c r="X94" i="11"/>
  <c r="W94" i="11"/>
  <c r="T94" i="11"/>
  <c r="S94" i="11"/>
  <c r="Q94" i="11"/>
  <c r="P94" i="11"/>
  <c r="N94" i="11"/>
  <c r="M94" i="11"/>
  <c r="CW94" i="11"/>
  <c r="CX94" i="11"/>
  <c r="CV94" i="11"/>
  <c r="CL94" i="11"/>
  <c r="CK94" i="11"/>
  <c r="CJ94" i="11"/>
  <c r="CI94" i="11"/>
  <c r="CH94" i="11"/>
  <c r="CF94" i="11"/>
  <c r="IP93" i="11"/>
  <c r="JB93" i="11"/>
  <c r="JW93" i="11"/>
  <c r="JH93" i="11"/>
  <c r="IZ93" i="11"/>
  <c r="IX93" i="11"/>
  <c r="IU93" i="11"/>
  <c r="IS93" i="11"/>
  <c r="IQ93" i="11"/>
  <c r="IL93" i="11"/>
  <c r="EJ93" i="11"/>
  <c r="EA93" i="11"/>
  <c r="EB93" i="11"/>
  <c r="DZ93" i="11"/>
  <c r="DY93" i="11"/>
  <c r="MC93" i="11"/>
  <c r="CA93" i="11"/>
  <c r="BZ93" i="11"/>
  <c r="BV93" i="11"/>
  <c r="BU93" i="11"/>
  <c r="BR93" i="11"/>
  <c r="BN93" i="11"/>
  <c r="BM93" i="11"/>
  <c r="BL93" i="11"/>
  <c r="BK93" i="11"/>
  <c r="BI93" i="11"/>
  <c r="BG93" i="11"/>
  <c r="BD93" i="11"/>
  <c r="BA93" i="11"/>
  <c r="AZ93" i="11"/>
  <c r="AX93" i="11"/>
  <c r="AW93" i="11"/>
  <c r="AV93" i="11"/>
  <c r="KE93" i="11"/>
  <c r="KB93" i="11"/>
  <c r="JS93" i="11"/>
  <c r="IM93" i="11"/>
  <c r="KA93" i="11"/>
  <c r="HF93" i="11"/>
  <c r="HE93" i="11"/>
  <c r="HD93" i="11"/>
  <c r="HC93" i="11"/>
  <c r="HB93" i="11"/>
  <c r="GN93" i="11"/>
  <c r="GL93" i="11"/>
  <c r="EM93" i="11"/>
  <c r="EL93" i="11"/>
  <c r="II93" i="11"/>
  <c r="IH93" i="11"/>
  <c r="ID93" i="11"/>
  <c r="HZ93" i="11"/>
  <c r="HY93" i="11"/>
  <c r="HX93" i="11"/>
  <c r="HU93" i="11"/>
  <c r="HS93" i="11"/>
  <c r="HR93" i="11"/>
  <c r="HQ93" i="11"/>
  <c r="HP93" i="11"/>
  <c r="HO93" i="11"/>
  <c r="HN93" i="11"/>
  <c r="HM93" i="11"/>
  <c r="HL93" i="11"/>
  <c r="HJ93" i="11"/>
  <c r="GJ93" i="11"/>
  <c r="GC93" i="11"/>
  <c r="FV93" i="11"/>
  <c r="FU93" i="11"/>
  <c r="FT93" i="11"/>
  <c r="FS93" i="11"/>
  <c r="FR93" i="11"/>
  <c r="FQ93" i="11"/>
  <c r="FP93" i="11"/>
  <c r="FO93" i="11"/>
  <c r="FM93" i="11"/>
  <c r="FK93" i="11"/>
  <c r="FJ93" i="11"/>
  <c r="FI93" i="11"/>
  <c r="FF93" i="11"/>
  <c r="FE93" i="11"/>
  <c r="FD93" i="11"/>
  <c r="FC93" i="11"/>
  <c r="FB93" i="11"/>
  <c r="FA93" i="11"/>
  <c r="EW93" i="11"/>
  <c r="ET93" i="11"/>
  <c r="EQ93" i="11"/>
  <c r="EP93" i="11"/>
  <c r="EO93" i="11"/>
  <c r="EN93" i="11"/>
  <c r="EK93" i="11"/>
  <c r="DU93" i="11"/>
  <c r="DQ93" i="11"/>
  <c r="DH93" i="11"/>
  <c r="DG93" i="11"/>
  <c r="DF93" i="11"/>
  <c r="DE93" i="11"/>
  <c r="AT93" i="11"/>
  <c r="AK93" i="11"/>
  <c r="AJ93" i="11"/>
  <c r="AI93" i="11"/>
  <c r="AG93" i="11"/>
  <c r="AF93" i="11"/>
  <c r="AC93" i="11"/>
  <c r="AB93" i="11"/>
  <c r="X93" i="11"/>
  <c r="W93" i="11"/>
  <c r="T93" i="11"/>
  <c r="S93" i="11"/>
  <c r="Q93" i="11"/>
  <c r="P93" i="11"/>
  <c r="N93" i="11"/>
  <c r="M93" i="11"/>
  <c r="CW93" i="11"/>
  <c r="CX93" i="11"/>
  <c r="CV93" i="11"/>
  <c r="CL93" i="11"/>
  <c r="CK93" i="11"/>
  <c r="CJ93" i="11"/>
  <c r="CI93" i="11"/>
  <c r="CH93" i="11"/>
  <c r="CF93" i="11"/>
  <c r="IP92" i="11"/>
  <c r="JB92" i="11"/>
  <c r="JW92" i="11"/>
  <c r="JH92" i="11"/>
  <c r="IZ92" i="11"/>
  <c r="IX92" i="11"/>
  <c r="IU92" i="11"/>
  <c r="IS92" i="11"/>
  <c r="IQ92" i="11"/>
  <c r="IL92" i="11"/>
  <c r="EJ92" i="11"/>
  <c r="EA92" i="11"/>
  <c r="EB92" i="11"/>
  <c r="DZ92" i="11"/>
  <c r="DY92" i="11"/>
  <c r="MC92" i="11"/>
  <c r="CA92" i="11"/>
  <c r="BZ92" i="11"/>
  <c r="BV92" i="11"/>
  <c r="BU92" i="11"/>
  <c r="BR92" i="11"/>
  <c r="BN92" i="11"/>
  <c r="BM92" i="11"/>
  <c r="BL92" i="11"/>
  <c r="BK92" i="11"/>
  <c r="BI92" i="11"/>
  <c r="BG92" i="11"/>
  <c r="BD92" i="11"/>
  <c r="BA92" i="11"/>
  <c r="AZ92" i="11"/>
  <c r="AX92" i="11"/>
  <c r="AW92" i="11"/>
  <c r="AV92" i="11"/>
  <c r="KE92" i="11"/>
  <c r="KB92" i="11"/>
  <c r="JS92" i="11"/>
  <c r="IM92" i="11"/>
  <c r="KA92" i="11"/>
  <c r="HF92" i="11"/>
  <c r="HE92" i="11"/>
  <c r="HD92" i="11"/>
  <c r="HC92" i="11"/>
  <c r="HB92" i="11"/>
  <c r="GN92" i="11"/>
  <c r="GL92" i="11"/>
  <c r="EM92" i="11"/>
  <c r="EL92" i="11"/>
  <c r="II92" i="11"/>
  <c r="IH92" i="11"/>
  <c r="ID92" i="11"/>
  <c r="HZ92" i="11"/>
  <c r="HY92" i="11"/>
  <c r="HX92" i="11"/>
  <c r="HU92" i="11"/>
  <c r="HS92" i="11"/>
  <c r="HR92" i="11"/>
  <c r="HQ92" i="11"/>
  <c r="HP92" i="11"/>
  <c r="HO92" i="11"/>
  <c r="HN92" i="11"/>
  <c r="HM92" i="11"/>
  <c r="HL92" i="11"/>
  <c r="HJ92" i="11"/>
  <c r="GJ92" i="11"/>
  <c r="GC92" i="11"/>
  <c r="FV92" i="11"/>
  <c r="FU92" i="11"/>
  <c r="FT92" i="11"/>
  <c r="FS92" i="11"/>
  <c r="FR92" i="11"/>
  <c r="FQ92" i="11"/>
  <c r="FP92" i="11"/>
  <c r="FO92" i="11"/>
  <c r="FM92" i="11"/>
  <c r="FK92" i="11"/>
  <c r="FJ92" i="11"/>
  <c r="FI92" i="11"/>
  <c r="FF92" i="11"/>
  <c r="FE92" i="11"/>
  <c r="FD92" i="11"/>
  <c r="FC92" i="11"/>
  <c r="FB92" i="11"/>
  <c r="FA92" i="11"/>
  <c r="EW92" i="11"/>
  <c r="ET92" i="11"/>
  <c r="EQ92" i="11"/>
  <c r="EP92" i="11"/>
  <c r="EO92" i="11"/>
  <c r="EN92" i="11"/>
  <c r="EK92" i="11"/>
  <c r="DU92" i="11"/>
  <c r="DQ92" i="11"/>
  <c r="DH92" i="11"/>
  <c r="DG92" i="11"/>
  <c r="DF92" i="11"/>
  <c r="DE92" i="11"/>
  <c r="AT92" i="11"/>
  <c r="AK92" i="11"/>
  <c r="AJ92" i="11"/>
  <c r="AI92" i="11"/>
  <c r="AG92" i="11"/>
  <c r="AF92" i="11"/>
  <c r="AC92" i="11"/>
  <c r="AB92" i="11"/>
  <c r="X92" i="11"/>
  <c r="W92" i="11"/>
  <c r="T92" i="11"/>
  <c r="S92" i="11"/>
  <c r="Q92" i="11"/>
  <c r="P92" i="11"/>
  <c r="N92" i="11"/>
  <c r="M92" i="11"/>
  <c r="CW92" i="11"/>
  <c r="CX92" i="11"/>
  <c r="CV92" i="11"/>
  <c r="CL92" i="11"/>
  <c r="CK92" i="11"/>
  <c r="CJ92" i="11"/>
  <c r="CI92" i="11"/>
  <c r="CH92" i="11"/>
  <c r="CF92" i="11"/>
  <c r="IP91" i="11"/>
  <c r="JB91" i="11"/>
  <c r="JW91" i="11"/>
  <c r="JH91" i="11"/>
  <c r="IZ91" i="11"/>
  <c r="IX91" i="11"/>
  <c r="IU91" i="11"/>
  <c r="IS91" i="11"/>
  <c r="IQ91" i="11"/>
  <c r="IL91" i="11"/>
  <c r="EJ91" i="11"/>
  <c r="EA91" i="11"/>
  <c r="EB91" i="11"/>
  <c r="DZ91" i="11"/>
  <c r="DY91" i="11"/>
  <c r="MC91" i="11"/>
  <c r="CA91" i="11"/>
  <c r="BZ91" i="11"/>
  <c r="BV91" i="11"/>
  <c r="BU91" i="11"/>
  <c r="BR91" i="11"/>
  <c r="BN91" i="11"/>
  <c r="BM91" i="11"/>
  <c r="BL91" i="11"/>
  <c r="BK91" i="11"/>
  <c r="BI91" i="11"/>
  <c r="BG91" i="11"/>
  <c r="BD91" i="11"/>
  <c r="BA91" i="11"/>
  <c r="AZ91" i="11"/>
  <c r="AX91" i="11"/>
  <c r="AW91" i="11"/>
  <c r="AV91" i="11"/>
  <c r="KE91" i="11"/>
  <c r="KB91" i="11"/>
  <c r="JS91" i="11"/>
  <c r="IM91" i="11"/>
  <c r="KA91" i="11"/>
  <c r="HF91" i="11"/>
  <c r="HE91" i="11"/>
  <c r="HD91" i="11"/>
  <c r="HC91" i="11"/>
  <c r="HB91" i="11"/>
  <c r="GN91" i="11"/>
  <c r="GL91" i="11"/>
  <c r="EM91" i="11"/>
  <c r="EL91" i="11"/>
  <c r="II91" i="11"/>
  <c r="IH91" i="11"/>
  <c r="ID91" i="11"/>
  <c r="HZ91" i="11"/>
  <c r="HY91" i="11"/>
  <c r="HX91" i="11"/>
  <c r="HU91" i="11"/>
  <c r="HS91" i="11"/>
  <c r="HR91" i="11"/>
  <c r="HQ91" i="11"/>
  <c r="HP91" i="11"/>
  <c r="HO91" i="11"/>
  <c r="HN91" i="11"/>
  <c r="HM91" i="11"/>
  <c r="HL91" i="11"/>
  <c r="HJ91" i="11"/>
  <c r="GJ91" i="11"/>
  <c r="GC91" i="11"/>
  <c r="FV91" i="11"/>
  <c r="FU91" i="11"/>
  <c r="FT91" i="11"/>
  <c r="FS91" i="11"/>
  <c r="FR91" i="11"/>
  <c r="FQ91" i="11"/>
  <c r="FP91" i="11"/>
  <c r="FO91" i="11"/>
  <c r="FM91" i="11"/>
  <c r="FK91" i="11"/>
  <c r="FJ91" i="11"/>
  <c r="FI91" i="11"/>
  <c r="FF91" i="11"/>
  <c r="FE91" i="11"/>
  <c r="FD91" i="11"/>
  <c r="FC91" i="11"/>
  <c r="FB91" i="11"/>
  <c r="FA91" i="11"/>
  <c r="EW91" i="11"/>
  <c r="ET91" i="11"/>
  <c r="EQ91" i="11"/>
  <c r="EP91" i="11"/>
  <c r="EO91" i="11"/>
  <c r="EN91" i="11"/>
  <c r="EK91" i="11"/>
  <c r="DU91" i="11"/>
  <c r="DQ91" i="11"/>
  <c r="DH91" i="11"/>
  <c r="DG91" i="11"/>
  <c r="DF91" i="11"/>
  <c r="DE91" i="11"/>
  <c r="AT91" i="11"/>
  <c r="AK91" i="11"/>
  <c r="AJ91" i="11"/>
  <c r="AI91" i="11"/>
  <c r="AG91" i="11"/>
  <c r="AF91" i="11"/>
  <c r="AC91" i="11"/>
  <c r="AB91" i="11"/>
  <c r="X91" i="11"/>
  <c r="W91" i="11"/>
  <c r="T91" i="11"/>
  <c r="S91" i="11"/>
  <c r="Q91" i="11"/>
  <c r="P91" i="11"/>
  <c r="N91" i="11"/>
  <c r="M91" i="11"/>
  <c r="CW91" i="11"/>
  <c r="CX91" i="11"/>
  <c r="CV91" i="11"/>
  <c r="CL91" i="11"/>
  <c r="CK91" i="11"/>
  <c r="CJ91" i="11"/>
  <c r="CI91" i="11"/>
  <c r="CH91" i="11"/>
  <c r="CF91" i="11"/>
  <c r="IP90" i="11"/>
  <c r="JB90" i="11"/>
  <c r="JW90" i="11"/>
  <c r="JH90" i="11"/>
  <c r="IZ90" i="11"/>
  <c r="IX90" i="11"/>
  <c r="IU90" i="11"/>
  <c r="IS90" i="11"/>
  <c r="IQ90" i="11"/>
  <c r="IL90" i="11"/>
  <c r="EJ90" i="11"/>
  <c r="EA90" i="11"/>
  <c r="EB90" i="11"/>
  <c r="DZ90" i="11"/>
  <c r="DY90" i="11"/>
  <c r="MC90" i="11"/>
  <c r="CA90" i="11"/>
  <c r="BZ90" i="11"/>
  <c r="BV90" i="11"/>
  <c r="BU90" i="11"/>
  <c r="BR90" i="11"/>
  <c r="BN90" i="11"/>
  <c r="BM90" i="11"/>
  <c r="BL90" i="11"/>
  <c r="BK90" i="11"/>
  <c r="BI90" i="11"/>
  <c r="BG90" i="11"/>
  <c r="BD90" i="11"/>
  <c r="BA90" i="11"/>
  <c r="AZ90" i="11"/>
  <c r="AX90" i="11"/>
  <c r="AW90" i="11"/>
  <c r="AV90" i="11"/>
  <c r="KE90" i="11"/>
  <c r="KB90" i="11"/>
  <c r="JS90" i="11"/>
  <c r="IM90" i="11"/>
  <c r="KA90" i="11"/>
  <c r="HF90" i="11"/>
  <c r="HE90" i="11"/>
  <c r="HD90" i="11"/>
  <c r="HC90" i="11"/>
  <c r="HB90" i="11"/>
  <c r="GN90" i="11"/>
  <c r="GL90" i="11"/>
  <c r="EM90" i="11"/>
  <c r="EL90" i="11"/>
  <c r="II90" i="11"/>
  <c r="IH90" i="11"/>
  <c r="ID90" i="11"/>
  <c r="HZ90" i="11"/>
  <c r="HY90" i="11"/>
  <c r="HX90" i="11"/>
  <c r="HU90" i="11"/>
  <c r="HS90" i="11"/>
  <c r="HR90" i="11"/>
  <c r="HQ90" i="11"/>
  <c r="HP90" i="11"/>
  <c r="HO90" i="11"/>
  <c r="HN90" i="11"/>
  <c r="HM90" i="11"/>
  <c r="HL90" i="11"/>
  <c r="HJ90" i="11"/>
  <c r="GJ90" i="11"/>
  <c r="GC90" i="11"/>
  <c r="FV90" i="11"/>
  <c r="FU90" i="11"/>
  <c r="FT90" i="11"/>
  <c r="FS90" i="11"/>
  <c r="FR90" i="11"/>
  <c r="FQ90" i="11"/>
  <c r="FP90" i="11"/>
  <c r="FO90" i="11"/>
  <c r="FM90" i="11"/>
  <c r="FK90" i="11"/>
  <c r="FJ90" i="11"/>
  <c r="FI90" i="11"/>
  <c r="FF90" i="11"/>
  <c r="FE90" i="11"/>
  <c r="FD90" i="11"/>
  <c r="FC90" i="11"/>
  <c r="FB90" i="11"/>
  <c r="FA90" i="11"/>
  <c r="EW90" i="11"/>
  <c r="ET90" i="11"/>
  <c r="EQ90" i="11"/>
  <c r="EP90" i="11"/>
  <c r="EO90" i="11"/>
  <c r="EN90" i="11"/>
  <c r="EK90" i="11"/>
  <c r="DU90" i="11"/>
  <c r="DQ90" i="11"/>
  <c r="DH90" i="11"/>
  <c r="DG90" i="11"/>
  <c r="DF90" i="11"/>
  <c r="DE90" i="11"/>
  <c r="AT90" i="11"/>
  <c r="AK90" i="11"/>
  <c r="AJ90" i="11"/>
  <c r="AI90" i="11"/>
  <c r="AG90" i="11"/>
  <c r="AF90" i="11"/>
  <c r="AC90" i="11"/>
  <c r="AB90" i="11"/>
  <c r="X90" i="11"/>
  <c r="W90" i="11"/>
  <c r="T90" i="11"/>
  <c r="S90" i="11"/>
  <c r="Q90" i="11"/>
  <c r="P90" i="11"/>
  <c r="N90" i="11"/>
  <c r="M90" i="11"/>
  <c r="CW90" i="11"/>
  <c r="CX90" i="11"/>
  <c r="CV90" i="11"/>
  <c r="CL90" i="11"/>
  <c r="CK90" i="11"/>
  <c r="CJ90" i="11"/>
  <c r="CI90" i="11"/>
  <c r="CH90" i="11"/>
  <c r="CF90" i="11"/>
  <c r="IP89" i="11"/>
  <c r="JB89" i="11"/>
  <c r="JW89" i="11"/>
  <c r="JH89" i="11"/>
  <c r="IZ89" i="11"/>
  <c r="IX89" i="11"/>
  <c r="IU89" i="11"/>
  <c r="IS89" i="11"/>
  <c r="IQ89" i="11"/>
  <c r="IL89" i="11"/>
  <c r="EJ89" i="11"/>
  <c r="EA89" i="11"/>
  <c r="EB89" i="11"/>
  <c r="DZ89" i="11"/>
  <c r="DY89" i="11"/>
  <c r="MC89" i="11"/>
  <c r="CA89" i="11"/>
  <c r="BZ89" i="11"/>
  <c r="BV89" i="11"/>
  <c r="BU89" i="11"/>
  <c r="BR89" i="11"/>
  <c r="BN89" i="11"/>
  <c r="BM89" i="11"/>
  <c r="BL89" i="11"/>
  <c r="BK89" i="11"/>
  <c r="BI89" i="11"/>
  <c r="BG89" i="11"/>
  <c r="BD89" i="11"/>
  <c r="BA89" i="11"/>
  <c r="AZ89" i="11"/>
  <c r="AX89" i="11"/>
  <c r="AW89" i="11"/>
  <c r="AV89" i="11"/>
  <c r="KE89" i="11"/>
  <c r="KB89" i="11"/>
  <c r="JS89" i="11"/>
  <c r="IM89" i="11"/>
  <c r="KA89" i="11"/>
  <c r="HF89" i="11"/>
  <c r="HE89" i="11"/>
  <c r="HD89" i="11"/>
  <c r="HC89" i="11"/>
  <c r="HB89" i="11"/>
  <c r="GN89" i="11"/>
  <c r="GL89" i="11"/>
  <c r="EM89" i="11"/>
  <c r="EL89" i="11"/>
  <c r="II89" i="11"/>
  <c r="IH89" i="11"/>
  <c r="ID89" i="11"/>
  <c r="HZ89" i="11"/>
  <c r="HY89" i="11"/>
  <c r="HX89" i="11"/>
  <c r="HU89" i="11"/>
  <c r="HS89" i="11"/>
  <c r="HR89" i="11"/>
  <c r="HQ89" i="11"/>
  <c r="HP89" i="11"/>
  <c r="HO89" i="11"/>
  <c r="HN89" i="11"/>
  <c r="HM89" i="11"/>
  <c r="HL89" i="11"/>
  <c r="HJ89" i="11"/>
  <c r="GJ89" i="11"/>
  <c r="GC89" i="11"/>
  <c r="FV89" i="11"/>
  <c r="FU89" i="11"/>
  <c r="FT89" i="11"/>
  <c r="FS89" i="11"/>
  <c r="FR89" i="11"/>
  <c r="FQ89" i="11"/>
  <c r="FP89" i="11"/>
  <c r="FO89" i="11"/>
  <c r="FM89" i="11"/>
  <c r="FK89" i="11"/>
  <c r="FJ89" i="11"/>
  <c r="FI89" i="11"/>
  <c r="FF89" i="11"/>
  <c r="FE89" i="11"/>
  <c r="FD89" i="11"/>
  <c r="FC89" i="11"/>
  <c r="FB89" i="11"/>
  <c r="FA89" i="11"/>
  <c r="EW89" i="11"/>
  <c r="ET89" i="11"/>
  <c r="EQ89" i="11"/>
  <c r="EP89" i="11"/>
  <c r="EO89" i="11"/>
  <c r="EN89" i="11"/>
  <c r="EK89" i="11"/>
  <c r="DU89" i="11"/>
  <c r="DQ89" i="11"/>
  <c r="DH89" i="11"/>
  <c r="DG89" i="11"/>
  <c r="DF89" i="11"/>
  <c r="DE89" i="11"/>
  <c r="AT89" i="11"/>
  <c r="AK89" i="11"/>
  <c r="AJ89" i="11"/>
  <c r="AI89" i="11"/>
  <c r="AG89" i="11"/>
  <c r="AF89" i="11"/>
  <c r="AC89" i="11"/>
  <c r="AB89" i="11"/>
  <c r="X89" i="11"/>
  <c r="W89" i="11"/>
  <c r="T89" i="11"/>
  <c r="S89" i="11"/>
  <c r="Q89" i="11"/>
  <c r="P89" i="11"/>
  <c r="N89" i="11"/>
  <c r="M89" i="11"/>
  <c r="CW89" i="11"/>
  <c r="CX89" i="11"/>
  <c r="CV89" i="11"/>
  <c r="CL89" i="11"/>
  <c r="CK89" i="11"/>
  <c r="CJ89" i="11"/>
  <c r="CI89" i="11"/>
  <c r="CH89" i="11"/>
  <c r="CF89" i="11"/>
  <c r="IP88" i="11"/>
  <c r="JB88" i="11"/>
  <c r="JW88" i="11"/>
  <c r="JH88" i="11"/>
  <c r="IZ88" i="11"/>
  <c r="IX88" i="11"/>
  <c r="IU88" i="11"/>
  <c r="IS88" i="11"/>
  <c r="IQ88" i="11"/>
  <c r="IL88" i="11"/>
  <c r="EJ88" i="11"/>
  <c r="EA88" i="11"/>
  <c r="EB88" i="11"/>
  <c r="DZ88" i="11"/>
  <c r="DY88" i="11"/>
  <c r="MC88" i="11"/>
  <c r="CA88" i="11"/>
  <c r="BZ88" i="11"/>
  <c r="BV88" i="11"/>
  <c r="BU88" i="11"/>
  <c r="BR88" i="11"/>
  <c r="BN88" i="11"/>
  <c r="BM88" i="11"/>
  <c r="BL88" i="11"/>
  <c r="BK88" i="11"/>
  <c r="BI88" i="11"/>
  <c r="BG88" i="11"/>
  <c r="BD88" i="11"/>
  <c r="BA88" i="11"/>
  <c r="AZ88" i="11"/>
  <c r="AX88" i="11"/>
  <c r="AW88" i="11"/>
  <c r="AV88" i="11"/>
  <c r="KE88" i="11"/>
  <c r="KB88" i="11"/>
  <c r="JS88" i="11"/>
  <c r="IM88" i="11"/>
  <c r="KA88" i="11"/>
  <c r="HF88" i="11"/>
  <c r="HE88" i="11"/>
  <c r="HD88" i="11"/>
  <c r="HC88" i="11"/>
  <c r="HB88" i="11"/>
  <c r="GN88" i="11"/>
  <c r="GL88" i="11"/>
  <c r="EM88" i="11"/>
  <c r="EL88" i="11"/>
  <c r="II88" i="11"/>
  <c r="IH88" i="11"/>
  <c r="ID88" i="11"/>
  <c r="HZ88" i="11"/>
  <c r="HY88" i="11"/>
  <c r="HX88" i="11"/>
  <c r="HU88" i="11"/>
  <c r="HS88" i="11"/>
  <c r="HR88" i="11"/>
  <c r="HQ88" i="11"/>
  <c r="HP88" i="11"/>
  <c r="HO88" i="11"/>
  <c r="HN88" i="11"/>
  <c r="HM88" i="11"/>
  <c r="HL88" i="11"/>
  <c r="HJ88" i="11"/>
  <c r="GJ88" i="11"/>
  <c r="GC88" i="11"/>
  <c r="FV88" i="11"/>
  <c r="FU88" i="11"/>
  <c r="FT88" i="11"/>
  <c r="FS88" i="11"/>
  <c r="FR88" i="11"/>
  <c r="FQ88" i="11"/>
  <c r="FP88" i="11"/>
  <c r="FO88" i="11"/>
  <c r="FM88" i="11"/>
  <c r="FK88" i="11"/>
  <c r="FJ88" i="11"/>
  <c r="FI88" i="11"/>
  <c r="FF88" i="11"/>
  <c r="FE88" i="11"/>
  <c r="FD88" i="11"/>
  <c r="FC88" i="11"/>
  <c r="FB88" i="11"/>
  <c r="FA88" i="11"/>
  <c r="EW88" i="11"/>
  <c r="ET88" i="11"/>
  <c r="EQ88" i="11"/>
  <c r="EP88" i="11"/>
  <c r="EO88" i="11"/>
  <c r="EN88" i="11"/>
  <c r="EK88" i="11"/>
  <c r="DU88" i="11"/>
  <c r="DQ88" i="11"/>
  <c r="DH88" i="11"/>
  <c r="DG88" i="11"/>
  <c r="DF88" i="11"/>
  <c r="DE88" i="11"/>
  <c r="AT88" i="11"/>
  <c r="AK88" i="11"/>
  <c r="AJ88" i="11"/>
  <c r="AI88" i="11"/>
  <c r="AG88" i="11"/>
  <c r="AF88" i="11"/>
  <c r="AC88" i="11"/>
  <c r="AB88" i="11"/>
  <c r="X88" i="11"/>
  <c r="W88" i="11"/>
  <c r="T88" i="11"/>
  <c r="S88" i="11"/>
  <c r="Q88" i="11"/>
  <c r="P88" i="11"/>
  <c r="N88" i="11"/>
  <c r="M88" i="11"/>
  <c r="CW88" i="11"/>
  <c r="CX88" i="11"/>
  <c r="CV88" i="11"/>
  <c r="CL88" i="11"/>
  <c r="CK88" i="11"/>
  <c r="CJ88" i="11"/>
  <c r="CI88" i="11"/>
  <c r="CH88" i="11"/>
  <c r="CF88" i="11"/>
  <c r="IP105" i="11"/>
  <c r="JB105" i="11"/>
  <c r="JW105" i="11"/>
  <c r="JH105" i="11"/>
  <c r="IZ105" i="11"/>
  <c r="IX105" i="11"/>
  <c r="IU105" i="11"/>
  <c r="IS105" i="11"/>
  <c r="IQ105" i="11"/>
  <c r="IL105" i="11"/>
  <c r="EJ105" i="11"/>
  <c r="EA105" i="11"/>
  <c r="EB105" i="11"/>
  <c r="DZ105" i="11"/>
  <c r="DY105" i="11"/>
  <c r="MC105" i="11"/>
  <c r="CA105" i="11"/>
  <c r="BZ105" i="11"/>
  <c r="BV105" i="11"/>
  <c r="BU105" i="11"/>
  <c r="BR105" i="11"/>
  <c r="BN105" i="11"/>
  <c r="BM105" i="11"/>
  <c r="BL105" i="11"/>
  <c r="BK105" i="11"/>
  <c r="BI105" i="11"/>
  <c r="BG105" i="11"/>
  <c r="BD105" i="11"/>
  <c r="BA105" i="11"/>
  <c r="AZ105" i="11"/>
  <c r="AX105" i="11"/>
  <c r="AW105" i="11"/>
  <c r="AV105" i="11"/>
  <c r="KE105" i="11"/>
  <c r="KB105" i="11"/>
  <c r="JS105" i="11"/>
  <c r="IM105" i="11"/>
  <c r="KA105" i="11"/>
  <c r="HF105" i="11"/>
  <c r="HE105" i="11"/>
  <c r="HD105" i="11"/>
  <c r="HC105" i="11"/>
  <c r="HB105" i="11"/>
  <c r="GN105" i="11"/>
  <c r="GL105" i="11"/>
  <c r="EM105" i="11"/>
  <c r="EL105" i="11"/>
  <c r="II105" i="11"/>
  <c r="IH105" i="11"/>
  <c r="ID105" i="11"/>
  <c r="HZ105" i="11"/>
  <c r="HY105" i="11"/>
  <c r="HX105" i="11"/>
  <c r="HU105" i="11"/>
  <c r="HS105" i="11"/>
  <c r="HR105" i="11"/>
  <c r="HQ105" i="11"/>
  <c r="HP105" i="11"/>
  <c r="HO105" i="11"/>
  <c r="HN105" i="11"/>
  <c r="HM105" i="11"/>
  <c r="HL105" i="11"/>
  <c r="HJ105" i="11"/>
  <c r="GJ105" i="11"/>
  <c r="GC105" i="11"/>
  <c r="FV105" i="11"/>
  <c r="FU105" i="11"/>
  <c r="FT105" i="11"/>
  <c r="FS105" i="11"/>
  <c r="FR105" i="11"/>
  <c r="FQ105" i="11"/>
  <c r="FP105" i="11"/>
  <c r="FO105" i="11"/>
  <c r="FM105" i="11"/>
  <c r="FK105" i="11"/>
  <c r="FJ105" i="11"/>
  <c r="FI105" i="11"/>
  <c r="FF105" i="11"/>
  <c r="FE105" i="11"/>
  <c r="FD105" i="11"/>
  <c r="FC105" i="11"/>
  <c r="FB105" i="11"/>
  <c r="FA105" i="11"/>
  <c r="EW105" i="11"/>
  <c r="ET105" i="11"/>
  <c r="EQ105" i="11"/>
  <c r="EP105" i="11"/>
  <c r="EO105" i="11"/>
  <c r="EN105" i="11"/>
  <c r="EK105" i="11"/>
  <c r="DU105" i="11"/>
  <c r="DQ105" i="11"/>
  <c r="DH105" i="11"/>
  <c r="DG105" i="11"/>
  <c r="DF105" i="11"/>
  <c r="DE105" i="11"/>
  <c r="AT105" i="11"/>
  <c r="AK105" i="11"/>
  <c r="AJ105" i="11"/>
  <c r="AI105" i="11"/>
  <c r="AG105" i="11"/>
  <c r="AF105" i="11"/>
  <c r="AC105" i="11"/>
  <c r="AB105" i="11"/>
  <c r="X105" i="11"/>
  <c r="W105" i="11"/>
  <c r="T105" i="11"/>
  <c r="S105" i="11"/>
  <c r="Q105" i="11"/>
  <c r="P105" i="11"/>
  <c r="N105" i="11"/>
  <c r="M105" i="11"/>
  <c r="CW105" i="11"/>
  <c r="CX105" i="11"/>
  <c r="CV105" i="11"/>
  <c r="CL105" i="11"/>
  <c r="CK105" i="11"/>
  <c r="CJ105" i="11"/>
  <c r="CI105" i="11"/>
  <c r="CH105" i="11"/>
  <c r="CF105" i="11"/>
  <c r="IP104" i="11"/>
  <c r="JB104" i="11"/>
  <c r="JW104" i="11"/>
  <c r="JH104" i="11"/>
  <c r="IZ104" i="11"/>
  <c r="IX104" i="11"/>
  <c r="IU104" i="11"/>
  <c r="IS104" i="11"/>
  <c r="IQ104" i="11"/>
  <c r="IL104" i="11"/>
  <c r="EJ104" i="11"/>
  <c r="EA104" i="11"/>
  <c r="EB104" i="11"/>
  <c r="DZ104" i="11"/>
  <c r="DY104" i="11"/>
  <c r="MC104" i="11"/>
  <c r="CA104" i="11"/>
  <c r="BZ104" i="11"/>
  <c r="BV104" i="11"/>
  <c r="BU104" i="11"/>
  <c r="BR104" i="11"/>
  <c r="BN104" i="11"/>
  <c r="BM104" i="11"/>
  <c r="BL104" i="11"/>
  <c r="BK104" i="11"/>
  <c r="BI104" i="11"/>
  <c r="BG104" i="11"/>
  <c r="BD104" i="11"/>
  <c r="BA104" i="11"/>
  <c r="AZ104" i="11"/>
  <c r="AX104" i="11"/>
  <c r="AW104" i="11"/>
  <c r="AV104" i="11"/>
  <c r="KE104" i="11"/>
  <c r="KB104" i="11"/>
  <c r="JS104" i="11"/>
  <c r="IM104" i="11"/>
  <c r="KA104" i="11"/>
  <c r="HF104" i="11"/>
  <c r="HE104" i="11"/>
  <c r="HD104" i="11"/>
  <c r="HC104" i="11"/>
  <c r="HB104" i="11"/>
  <c r="GN104" i="11"/>
  <c r="GL104" i="11"/>
  <c r="EM104" i="11"/>
  <c r="EL104" i="11"/>
  <c r="II104" i="11"/>
  <c r="IH104" i="11"/>
  <c r="ID104" i="11"/>
  <c r="HZ104" i="11"/>
  <c r="HY104" i="11"/>
  <c r="HX104" i="11"/>
  <c r="HU104" i="11"/>
  <c r="HS104" i="11"/>
  <c r="HR104" i="11"/>
  <c r="HQ104" i="11"/>
  <c r="HP104" i="11"/>
  <c r="HO104" i="11"/>
  <c r="HN104" i="11"/>
  <c r="HM104" i="11"/>
  <c r="HL104" i="11"/>
  <c r="HJ104" i="11"/>
  <c r="GJ104" i="11"/>
  <c r="GC104" i="11"/>
  <c r="FV104" i="11"/>
  <c r="FU104" i="11"/>
  <c r="FT104" i="11"/>
  <c r="FS104" i="11"/>
  <c r="FR104" i="11"/>
  <c r="FQ104" i="11"/>
  <c r="FP104" i="11"/>
  <c r="FO104" i="11"/>
  <c r="FM104" i="11"/>
  <c r="FK104" i="11"/>
  <c r="FJ104" i="11"/>
  <c r="FI104" i="11"/>
  <c r="FF104" i="11"/>
  <c r="FE104" i="11"/>
  <c r="FD104" i="11"/>
  <c r="FC104" i="11"/>
  <c r="FB104" i="11"/>
  <c r="FA104" i="11"/>
  <c r="EW104" i="11"/>
  <c r="ET104" i="11"/>
  <c r="EQ104" i="11"/>
  <c r="EP104" i="11"/>
  <c r="EO104" i="11"/>
  <c r="EN104" i="11"/>
  <c r="EK104" i="11"/>
  <c r="DU104" i="11"/>
  <c r="DQ104" i="11"/>
  <c r="DH104" i="11"/>
  <c r="DG104" i="11"/>
  <c r="DF104" i="11"/>
  <c r="DE104" i="11"/>
  <c r="AT104" i="11"/>
  <c r="AK104" i="11"/>
  <c r="AJ104" i="11"/>
  <c r="AI104" i="11"/>
  <c r="AG104" i="11"/>
  <c r="AF104" i="11"/>
  <c r="AC104" i="11"/>
  <c r="AB104" i="11"/>
  <c r="X104" i="11"/>
  <c r="W104" i="11"/>
  <c r="T104" i="11"/>
  <c r="S104" i="11"/>
  <c r="Q104" i="11"/>
  <c r="P104" i="11"/>
  <c r="N104" i="11"/>
  <c r="M104" i="11"/>
  <c r="CW104" i="11"/>
  <c r="CX104" i="11"/>
  <c r="CV104" i="11"/>
  <c r="CL104" i="11"/>
  <c r="CK104" i="11"/>
  <c r="CJ104" i="11"/>
  <c r="CI104" i="11"/>
  <c r="CH104" i="11"/>
  <c r="CF104" i="11"/>
  <c r="IP103" i="11"/>
  <c r="JB103" i="11"/>
  <c r="JW103" i="11"/>
  <c r="JH103" i="11"/>
  <c r="IZ103" i="11"/>
  <c r="IX103" i="11"/>
  <c r="IU103" i="11"/>
  <c r="IS103" i="11"/>
  <c r="IQ103" i="11"/>
  <c r="IL103" i="11"/>
  <c r="EJ103" i="11"/>
  <c r="EA103" i="11"/>
  <c r="EB103" i="11"/>
  <c r="DZ103" i="11"/>
  <c r="DY103" i="11"/>
  <c r="MC103" i="11"/>
  <c r="CA103" i="11"/>
  <c r="BZ103" i="11"/>
  <c r="BV103" i="11"/>
  <c r="BU103" i="11"/>
  <c r="BR103" i="11"/>
  <c r="BN103" i="11"/>
  <c r="BM103" i="11"/>
  <c r="BL103" i="11"/>
  <c r="BK103" i="11"/>
  <c r="BI103" i="11"/>
  <c r="BG103" i="11"/>
  <c r="BD103" i="11"/>
  <c r="BA103" i="11"/>
  <c r="AZ103" i="11"/>
  <c r="AX103" i="11"/>
  <c r="AW103" i="11"/>
  <c r="AV103" i="11"/>
  <c r="KE103" i="11"/>
  <c r="KB103" i="11"/>
  <c r="JS103" i="11"/>
  <c r="IM103" i="11"/>
  <c r="KA103" i="11"/>
  <c r="HF103" i="11"/>
  <c r="HE103" i="11"/>
  <c r="HD103" i="11"/>
  <c r="HC103" i="11"/>
  <c r="HB103" i="11"/>
  <c r="GN103" i="11"/>
  <c r="GL103" i="11"/>
  <c r="EM103" i="11"/>
  <c r="EL103" i="11"/>
  <c r="II103" i="11"/>
  <c r="IH103" i="11"/>
  <c r="ID103" i="11"/>
  <c r="HZ103" i="11"/>
  <c r="HY103" i="11"/>
  <c r="HX103" i="11"/>
  <c r="HU103" i="11"/>
  <c r="HS103" i="11"/>
  <c r="HR103" i="11"/>
  <c r="HQ103" i="11"/>
  <c r="HP103" i="11"/>
  <c r="HO103" i="11"/>
  <c r="HN103" i="11"/>
  <c r="HM103" i="11"/>
  <c r="HL103" i="11"/>
  <c r="HJ103" i="11"/>
  <c r="GJ103" i="11"/>
  <c r="GC103" i="11"/>
  <c r="FV103" i="11"/>
  <c r="FU103" i="11"/>
  <c r="FT103" i="11"/>
  <c r="FS103" i="11"/>
  <c r="FR103" i="11"/>
  <c r="FQ103" i="11"/>
  <c r="FP103" i="11"/>
  <c r="FO103" i="11"/>
  <c r="FM103" i="11"/>
  <c r="FK103" i="11"/>
  <c r="FJ103" i="11"/>
  <c r="FI103" i="11"/>
  <c r="FF103" i="11"/>
  <c r="FE103" i="11"/>
  <c r="FD103" i="11"/>
  <c r="FC103" i="11"/>
  <c r="FB103" i="11"/>
  <c r="FA103" i="11"/>
  <c r="EW103" i="11"/>
  <c r="ET103" i="11"/>
  <c r="EQ103" i="11"/>
  <c r="EP103" i="11"/>
  <c r="EO103" i="11"/>
  <c r="EN103" i="11"/>
  <c r="EK103" i="11"/>
  <c r="DU103" i="11"/>
  <c r="DQ103" i="11"/>
  <c r="DH103" i="11"/>
  <c r="DG103" i="11"/>
  <c r="DF103" i="11"/>
  <c r="DE103" i="11"/>
  <c r="AT103" i="11"/>
  <c r="AK103" i="11"/>
  <c r="AJ103" i="11"/>
  <c r="AI103" i="11"/>
  <c r="AG103" i="11"/>
  <c r="AF103" i="11"/>
  <c r="AC103" i="11"/>
  <c r="AB103" i="11"/>
  <c r="X103" i="11"/>
  <c r="W103" i="11"/>
  <c r="T103" i="11"/>
  <c r="S103" i="11"/>
  <c r="Q103" i="11"/>
  <c r="P103" i="11"/>
  <c r="N103" i="11"/>
  <c r="M103" i="11"/>
  <c r="CW103" i="11"/>
  <c r="CX103" i="11"/>
  <c r="CV103" i="11"/>
  <c r="CL103" i="11"/>
  <c r="CK103" i="11"/>
  <c r="CJ103" i="11"/>
  <c r="CI103" i="11"/>
  <c r="CH103" i="11"/>
  <c r="CF103" i="11"/>
  <c r="IP102" i="11"/>
  <c r="JB102" i="11"/>
  <c r="JW102" i="11"/>
  <c r="JH102" i="11"/>
  <c r="IZ102" i="11"/>
  <c r="IX102" i="11"/>
  <c r="IU102" i="11"/>
  <c r="IS102" i="11"/>
  <c r="IQ102" i="11"/>
  <c r="IL102" i="11"/>
  <c r="EJ102" i="11"/>
  <c r="EA102" i="11"/>
  <c r="EB102" i="11"/>
  <c r="DZ102" i="11"/>
  <c r="DY102" i="11"/>
  <c r="MC102" i="11"/>
  <c r="CA102" i="11"/>
  <c r="BZ102" i="11"/>
  <c r="BV102" i="11"/>
  <c r="BU102" i="11"/>
  <c r="BR102" i="11"/>
  <c r="BN102" i="11"/>
  <c r="BM102" i="11"/>
  <c r="BL102" i="11"/>
  <c r="BK102" i="11"/>
  <c r="BI102" i="11"/>
  <c r="BG102" i="11"/>
  <c r="BD102" i="11"/>
  <c r="BA102" i="11"/>
  <c r="AZ102" i="11"/>
  <c r="AX102" i="11"/>
  <c r="AW102" i="11"/>
  <c r="AV102" i="11"/>
  <c r="KE102" i="11"/>
  <c r="KB102" i="11"/>
  <c r="JS102" i="11"/>
  <c r="IM102" i="11"/>
  <c r="KA102" i="11"/>
  <c r="HF102" i="11"/>
  <c r="HE102" i="11"/>
  <c r="HD102" i="11"/>
  <c r="HC102" i="11"/>
  <c r="HB102" i="11"/>
  <c r="GN102" i="11"/>
  <c r="GL102" i="11"/>
  <c r="EM102" i="11"/>
  <c r="EL102" i="11"/>
  <c r="II102" i="11"/>
  <c r="IH102" i="11"/>
  <c r="ID102" i="11"/>
  <c r="HZ102" i="11"/>
  <c r="HY102" i="11"/>
  <c r="HX102" i="11"/>
  <c r="HU102" i="11"/>
  <c r="HS102" i="11"/>
  <c r="HR102" i="11"/>
  <c r="HQ102" i="11"/>
  <c r="HP102" i="11"/>
  <c r="HO102" i="11"/>
  <c r="HN102" i="11"/>
  <c r="HM102" i="11"/>
  <c r="HL102" i="11"/>
  <c r="HJ102" i="11"/>
  <c r="GJ102" i="11"/>
  <c r="GC102" i="11"/>
  <c r="FV102" i="11"/>
  <c r="FU102" i="11"/>
  <c r="FT102" i="11"/>
  <c r="FS102" i="11"/>
  <c r="FR102" i="11"/>
  <c r="FQ102" i="11"/>
  <c r="FP102" i="11"/>
  <c r="FO102" i="11"/>
  <c r="FM102" i="11"/>
  <c r="FK102" i="11"/>
  <c r="FJ102" i="11"/>
  <c r="FI102" i="11"/>
  <c r="FF102" i="11"/>
  <c r="FE102" i="11"/>
  <c r="FD102" i="11"/>
  <c r="FC102" i="11"/>
  <c r="FB102" i="11"/>
  <c r="FA102" i="11"/>
  <c r="EW102" i="11"/>
  <c r="ET102" i="11"/>
  <c r="EQ102" i="11"/>
  <c r="EP102" i="11"/>
  <c r="EO102" i="11"/>
  <c r="EN102" i="11"/>
  <c r="EK102" i="11"/>
  <c r="DU102" i="11"/>
  <c r="DQ102" i="11"/>
  <c r="DH102" i="11"/>
  <c r="DG102" i="11"/>
  <c r="DF102" i="11"/>
  <c r="DE102" i="11"/>
  <c r="AT102" i="11"/>
  <c r="AK102" i="11"/>
  <c r="AJ102" i="11"/>
  <c r="AI102" i="11"/>
  <c r="AG102" i="11"/>
  <c r="AF102" i="11"/>
  <c r="AC102" i="11"/>
  <c r="AB102" i="11"/>
  <c r="X102" i="11"/>
  <c r="W102" i="11"/>
  <c r="T102" i="11"/>
  <c r="S102" i="11"/>
  <c r="Q102" i="11"/>
  <c r="P102" i="11"/>
  <c r="N102" i="11"/>
  <c r="M102" i="11"/>
  <c r="CW102" i="11"/>
  <c r="CX102" i="11"/>
  <c r="CV102" i="11"/>
  <c r="CL102" i="11"/>
  <c r="CK102" i="11"/>
  <c r="CJ102" i="11"/>
  <c r="CI102" i="11"/>
  <c r="CH102" i="11"/>
  <c r="CF102" i="11"/>
  <c r="IP101" i="11"/>
  <c r="JB101" i="11"/>
  <c r="JW101" i="11"/>
  <c r="JH101" i="11"/>
  <c r="IZ101" i="11"/>
  <c r="IX101" i="11"/>
  <c r="IU101" i="11"/>
  <c r="IS101" i="11"/>
  <c r="IQ101" i="11"/>
  <c r="IL101" i="11"/>
  <c r="EJ101" i="11"/>
  <c r="EA101" i="11"/>
  <c r="EB101" i="11"/>
  <c r="DZ101" i="11"/>
  <c r="DY101" i="11"/>
  <c r="MC101" i="11"/>
  <c r="CA101" i="11"/>
  <c r="BZ101" i="11"/>
  <c r="BV101" i="11"/>
  <c r="BU101" i="11"/>
  <c r="BR101" i="11"/>
  <c r="BN101" i="11"/>
  <c r="BM101" i="11"/>
  <c r="BL101" i="11"/>
  <c r="BK101" i="11"/>
  <c r="BI101" i="11"/>
  <c r="BG101" i="11"/>
  <c r="BD101" i="11"/>
  <c r="BA101" i="11"/>
  <c r="AZ101" i="11"/>
  <c r="AX101" i="11"/>
  <c r="AW101" i="11"/>
  <c r="AV101" i="11"/>
  <c r="KE101" i="11"/>
  <c r="KB101" i="11"/>
  <c r="JS101" i="11"/>
  <c r="IM101" i="11"/>
  <c r="KA101" i="11"/>
  <c r="HF101" i="11"/>
  <c r="HE101" i="11"/>
  <c r="HD101" i="11"/>
  <c r="HC101" i="11"/>
  <c r="HB101" i="11"/>
  <c r="GN101" i="11"/>
  <c r="GL101" i="11"/>
  <c r="EM101" i="11"/>
  <c r="EL101" i="11"/>
  <c r="II101" i="11"/>
  <c r="IH101" i="11"/>
  <c r="ID101" i="11"/>
  <c r="HZ101" i="11"/>
  <c r="HY101" i="11"/>
  <c r="HX101" i="11"/>
  <c r="HU101" i="11"/>
  <c r="HS101" i="11"/>
  <c r="HR101" i="11"/>
  <c r="HQ101" i="11"/>
  <c r="HP101" i="11"/>
  <c r="HO101" i="11"/>
  <c r="HN101" i="11"/>
  <c r="HM101" i="11"/>
  <c r="HL101" i="11"/>
  <c r="HJ101" i="11"/>
  <c r="GJ101" i="11"/>
  <c r="GC101" i="11"/>
  <c r="FV101" i="11"/>
  <c r="FU101" i="11"/>
  <c r="FT101" i="11"/>
  <c r="FS101" i="11"/>
  <c r="FR101" i="11"/>
  <c r="FQ101" i="11"/>
  <c r="FP101" i="11"/>
  <c r="FO101" i="11"/>
  <c r="FM101" i="11"/>
  <c r="FK101" i="11"/>
  <c r="FJ101" i="11"/>
  <c r="FI101" i="11"/>
  <c r="FF101" i="11"/>
  <c r="FE101" i="11"/>
  <c r="FD101" i="11"/>
  <c r="FC101" i="11"/>
  <c r="FB101" i="11"/>
  <c r="FA101" i="11"/>
  <c r="EW101" i="11"/>
  <c r="ET101" i="11"/>
  <c r="EQ101" i="11"/>
  <c r="EP101" i="11"/>
  <c r="EO101" i="11"/>
  <c r="EN101" i="11"/>
  <c r="EK101" i="11"/>
  <c r="DU101" i="11"/>
  <c r="DQ101" i="11"/>
  <c r="DH101" i="11"/>
  <c r="DG101" i="11"/>
  <c r="DF101" i="11"/>
  <c r="DE101" i="11"/>
  <c r="AT101" i="11"/>
  <c r="AK101" i="11"/>
  <c r="AJ101" i="11"/>
  <c r="AI101" i="11"/>
  <c r="AG101" i="11"/>
  <c r="AF101" i="11"/>
  <c r="AC101" i="11"/>
  <c r="AB101" i="11"/>
  <c r="X101" i="11"/>
  <c r="W101" i="11"/>
  <c r="T101" i="11"/>
  <c r="S101" i="11"/>
  <c r="Q101" i="11"/>
  <c r="P101" i="11"/>
  <c r="N101" i="11"/>
  <c r="M101" i="11"/>
  <c r="CW101" i="11"/>
  <c r="CX101" i="11"/>
  <c r="CV101" i="11"/>
  <c r="CL101" i="11"/>
  <c r="CK101" i="11"/>
  <c r="CJ101" i="11"/>
  <c r="CI101" i="11"/>
  <c r="CH101" i="11"/>
  <c r="CF101" i="11"/>
  <c r="IP100" i="11"/>
  <c r="JB100" i="11"/>
  <c r="JW100" i="11"/>
  <c r="JH100" i="11"/>
  <c r="IZ100" i="11"/>
  <c r="IX100" i="11"/>
  <c r="IU100" i="11"/>
  <c r="IS100" i="11"/>
  <c r="IQ100" i="11"/>
  <c r="IL100" i="11"/>
  <c r="EJ100" i="11"/>
  <c r="EA100" i="11"/>
  <c r="EB100" i="11"/>
  <c r="DZ100" i="11"/>
  <c r="DY100" i="11"/>
  <c r="MC100" i="11"/>
  <c r="CA100" i="11"/>
  <c r="BZ100" i="11"/>
  <c r="BV100" i="11"/>
  <c r="BU100" i="11"/>
  <c r="BR100" i="11"/>
  <c r="BN100" i="11"/>
  <c r="BM100" i="11"/>
  <c r="BL100" i="11"/>
  <c r="BK100" i="11"/>
  <c r="BI100" i="11"/>
  <c r="BG100" i="11"/>
  <c r="BD100" i="11"/>
  <c r="BA100" i="11"/>
  <c r="AZ100" i="11"/>
  <c r="AX100" i="11"/>
  <c r="AW100" i="11"/>
  <c r="AV100" i="11"/>
  <c r="KE100" i="11"/>
  <c r="KB100" i="11"/>
  <c r="JS100" i="11"/>
  <c r="IM100" i="11"/>
  <c r="KA100" i="11"/>
  <c r="HF100" i="11"/>
  <c r="HE100" i="11"/>
  <c r="HD100" i="11"/>
  <c r="HC100" i="11"/>
  <c r="HB100" i="11"/>
  <c r="GN100" i="11"/>
  <c r="GL100" i="11"/>
  <c r="EM100" i="11"/>
  <c r="EL100" i="11"/>
  <c r="II100" i="11"/>
  <c r="IH100" i="11"/>
  <c r="ID100" i="11"/>
  <c r="HZ100" i="11"/>
  <c r="HY100" i="11"/>
  <c r="HX100" i="11"/>
  <c r="HU100" i="11"/>
  <c r="HS100" i="11"/>
  <c r="HR100" i="11"/>
  <c r="HQ100" i="11"/>
  <c r="HP100" i="11"/>
  <c r="HO100" i="11"/>
  <c r="HN100" i="11"/>
  <c r="HM100" i="11"/>
  <c r="HL100" i="11"/>
  <c r="HJ100" i="11"/>
  <c r="GJ100" i="11"/>
  <c r="GC100" i="11"/>
  <c r="FV100" i="11"/>
  <c r="FU100" i="11"/>
  <c r="FT100" i="11"/>
  <c r="FS100" i="11"/>
  <c r="FR100" i="11"/>
  <c r="FQ100" i="11"/>
  <c r="FP100" i="11"/>
  <c r="FO100" i="11"/>
  <c r="FM100" i="11"/>
  <c r="FK100" i="11"/>
  <c r="FJ100" i="11"/>
  <c r="FI100" i="11"/>
  <c r="FF100" i="11"/>
  <c r="FE100" i="11"/>
  <c r="FD100" i="11"/>
  <c r="FC100" i="11"/>
  <c r="FB100" i="11"/>
  <c r="FA100" i="11"/>
  <c r="EW100" i="11"/>
  <c r="ET100" i="11"/>
  <c r="EQ100" i="11"/>
  <c r="EP100" i="11"/>
  <c r="EO100" i="11"/>
  <c r="EN100" i="11"/>
  <c r="EK100" i="11"/>
  <c r="DU100" i="11"/>
  <c r="DQ100" i="11"/>
  <c r="DH100" i="11"/>
  <c r="DG100" i="11"/>
  <c r="DF100" i="11"/>
  <c r="DE100" i="11"/>
  <c r="AT100" i="11"/>
  <c r="AK100" i="11"/>
  <c r="AJ100" i="11"/>
  <c r="AI100" i="11"/>
  <c r="AG100" i="11"/>
  <c r="AF100" i="11"/>
  <c r="AC100" i="11"/>
  <c r="AB100" i="11"/>
  <c r="X100" i="11"/>
  <c r="W100" i="11"/>
  <c r="T100" i="11"/>
  <c r="S100" i="11"/>
  <c r="Q100" i="11"/>
  <c r="P100" i="11"/>
  <c r="N100" i="11"/>
  <c r="M100" i="11"/>
  <c r="CW100" i="11"/>
  <c r="CX100" i="11"/>
  <c r="CV100" i="11"/>
  <c r="CL100" i="11"/>
  <c r="CK100" i="11"/>
  <c r="CJ100" i="11"/>
  <c r="CI100" i="11"/>
  <c r="CH100" i="11"/>
  <c r="CF100" i="11"/>
  <c r="IP87" i="11"/>
  <c r="JB87" i="11"/>
  <c r="JW87" i="11"/>
  <c r="JH87" i="11"/>
  <c r="IZ87" i="11"/>
  <c r="IX87" i="11"/>
  <c r="IU87" i="11"/>
  <c r="IS87" i="11"/>
  <c r="IQ87" i="11"/>
  <c r="IL87" i="11"/>
  <c r="EJ87" i="11"/>
  <c r="EA87" i="11"/>
  <c r="EB87" i="11"/>
  <c r="DZ87" i="11"/>
  <c r="DY87" i="11"/>
  <c r="MC87" i="11"/>
  <c r="CA87" i="11"/>
  <c r="BZ87" i="11"/>
  <c r="BV87" i="11"/>
  <c r="BU87" i="11"/>
  <c r="BR87" i="11"/>
  <c r="BN87" i="11"/>
  <c r="BM87" i="11"/>
  <c r="BL87" i="11"/>
  <c r="BK87" i="11"/>
  <c r="BI87" i="11"/>
  <c r="BG87" i="11"/>
  <c r="BD87" i="11"/>
  <c r="BA87" i="11"/>
  <c r="AZ87" i="11"/>
  <c r="AX87" i="11"/>
  <c r="AW87" i="11"/>
  <c r="AV87" i="11"/>
  <c r="KE87" i="11"/>
  <c r="KB87" i="11"/>
  <c r="JS87" i="11"/>
  <c r="IM87" i="11"/>
  <c r="KA87" i="11"/>
  <c r="HF87" i="11"/>
  <c r="HE87" i="11"/>
  <c r="HD87" i="11"/>
  <c r="HC87" i="11"/>
  <c r="HB87" i="11"/>
  <c r="GN87" i="11"/>
  <c r="GL87" i="11"/>
  <c r="EM87" i="11"/>
  <c r="EL87" i="11"/>
  <c r="II87" i="11"/>
  <c r="IH87" i="11"/>
  <c r="ID87" i="11"/>
  <c r="HZ87" i="11"/>
  <c r="HY87" i="11"/>
  <c r="HX87" i="11"/>
  <c r="HU87" i="11"/>
  <c r="HS87" i="11"/>
  <c r="HR87" i="11"/>
  <c r="HQ87" i="11"/>
  <c r="HP87" i="11"/>
  <c r="HO87" i="11"/>
  <c r="HN87" i="11"/>
  <c r="HM87" i="11"/>
  <c r="HL87" i="11"/>
  <c r="HJ87" i="11"/>
  <c r="GJ87" i="11"/>
  <c r="GC87" i="11"/>
  <c r="FV87" i="11"/>
  <c r="FU87" i="11"/>
  <c r="FT87" i="11"/>
  <c r="FS87" i="11"/>
  <c r="FR87" i="11"/>
  <c r="FQ87" i="11"/>
  <c r="FP87" i="11"/>
  <c r="FO87" i="11"/>
  <c r="FM87" i="11"/>
  <c r="FK87" i="11"/>
  <c r="FJ87" i="11"/>
  <c r="FI87" i="11"/>
  <c r="FF87" i="11"/>
  <c r="FE87" i="11"/>
  <c r="FD87" i="11"/>
  <c r="FC87" i="11"/>
  <c r="FB87" i="11"/>
  <c r="FA87" i="11"/>
  <c r="EW87" i="11"/>
  <c r="ET87" i="11"/>
  <c r="EQ87" i="11"/>
  <c r="EP87" i="11"/>
  <c r="EO87" i="11"/>
  <c r="EN87" i="11"/>
  <c r="EK87" i="11"/>
  <c r="DU87" i="11"/>
  <c r="DQ87" i="11"/>
  <c r="DH87" i="11"/>
  <c r="DG87" i="11"/>
  <c r="DF87" i="11"/>
  <c r="DE87" i="11"/>
  <c r="AT87" i="11"/>
  <c r="AK87" i="11"/>
  <c r="AJ87" i="11"/>
  <c r="AI87" i="11"/>
  <c r="AG87" i="11"/>
  <c r="AF87" i="11"/>
  <c r="AC87" i="11"/>
  <c r="AB87" i="11"/>
  <c r="X87" i="11"/>
  <c r="W87" i="11"/>
  <c r="T87" i="11"/>
  <c r="S87" i="11"/>
  <c r="Q87" i="11"/>
  <c r="P87" i="11"/>
  <c r="N87" i="11"/>
  <c r="M87" i="11"/>
  <c r="CW87" i="11"/>
  <c r="CX87" i="11"/>
  <c r="CV87" i="11"/>
  <c r="CL87" i="11"/>
  <c r="CK87" i="11"/>
  <c r="CJ87" i="11"/>
  <c r="CI87" i="11"/>
  <c r="CH87" i="11"/>
  <c r="CF87" i="11"/>
  <c r="IP86" i="11"/>
  <c r="JB86" i="11"/>
  <c r="JW86" i="11"/>
  <c r="JH86" i="11"/>
  <c r="IZ86" i="11"/>
  <c r="IX86" i="11"/>
  <c r="IU86" i="11"/>
  <c r="IS86" i="11"/>
  <c r="IQ86" i="11"/>
  <c r="IL86" i="11"/>
  <c r="EJ86" i="11"/>
  <c r="EA86" i="11"/>
  <c r="EB86" i="11"/>
  <c r="DZ86" i="11"/>
  <c r="DY86" i="11"/>
  <c r="MC86" i="11"/>
  <c r="CA86" i="11"/>
  <c r="BZ86" i="11"/>
  <c r="BV86" i="11"/>
  <c r="BU86" i="11"/>
  <c r="BR86" i="11"/>
  <c r="BN86" i="11"/>
  <c r="BM86" i="11"/>
  <c r="BL86" i="11"/>
  <c r="BK86" i="11"/>
  <c r="BI86" i="11"/>
  <c r="BG86" i="11"/>
  <c r="BD86" i="11"/>
  <c r="BA86" i="11"/>
  <c r="AZ86" i="11"/>
  <c r="AX86" i="11"/>
  <c r="AW86" i="11"/>
  <c r="AV86" i="11"/>
  <c r="KE86" i="11"/>
  <c r="KB86" i="11"/>
  <c r="JS86" i="11"/>
  <c r="IM86" i="11"/>
  <c r="KA86" i="11"/>
  <c r="HF86" i="11"/>
  <c r="HE86" i="11"/>
  <c r="HD86" i="11"/>
  <c r="HC86" i="11"/>
  <c r="HB86" i="11"/>
  <c r="GN86" i="11"/>
  <c r="GL86" i="11"/>
  <c r="EM86" i="11"/>
  <c r="EL86" i="11"/>
  <c r="II86" i="11"/>
  <c r="IH86" i="11"/>
  <c r="ID86" i="11"/>
  <c r="HZ86" i="11"/>
  <c r="HY86" i="11"/>
  <c r="HX86" i="11"/>
  <c r="HU86" i="11"/>
  <c r="HS86" i="11"/>
  <c r="HR86" i="11"/>
  <c r="HQ86" i="11"/>
  <c r="HP86" i="11"/>
  <c r="HO86" i="11"/>
  <c r="HN86" i="11"/>
  <c r="HM86" i="11"/>
  <c r="HL86" i="11"/>
  <c r="HJ86" i="11"/>
  <c r="GJ86" i="11"/>
  <c r="GC86" i="11"/>
  <c r="FV86" i="11"/>
  <c r="FU86" i="11"/>
  <c r="FT86" i="11"/>
  <c r="FS86" i="11"/>
  <c r="FR86" i="11"/>
  <c r="FQ86" i="11"/>
  <c r="FP86" i="11"/>
  <c r="FO86" i="11"/>
  <c r="FM86" i="11"/>
  <c r="FK86" i="11"/>
  <c r="FJ86" i="11"/>
  <c r="FI86" i="11"/>
  <c r="FF86" i="11"/>
  <c r="FE86" i="11"/>
  <c r="FD86" i="11"/>
  <c r="FC86" i="11"/>
  <c r="FB86" i="11"/>
  <c r="FA86" i="11"/>
  <c r="EW86" i="11"/>
  <c r="ET86" i="11"/>
  <c r="EQ86" i="11"/>
  <c r="EP86" i="11"/>
  <c r="EO86" i="11"/>
  <c r="EN86" i="11"/>
  <c r="EK86" i="11"/>
  <c r="DU86" i="11"/>
  <c r="DQ86" i="11"/>
  <c r="DH86" i="11"/>
  <c r="DG86" i="11"/>
  <c r="DF86" i="11"/>
  <c r="DE86" i="11"/>
  <c r="AT86" i="11"/>
  <c r="AK86" i="11"/>
  <c r="AJ86" i="11"/>
  <c r="AI86" i="11"/>
  <c r="AG86" i="11"/>
  <c r="AF86" i="11"/>
  <c r="AC86" i="11"/>
  <c r="AB86" i="11"/>
  <c r="X86" i="11"/>
  <c r="W86" i="11"/>
  <c r="T86" i="11"/>
  <c r="S86" i="11"/>
  <c r="Q86" i="11"/>
  <c r="P86" i="11"/>
  <c r="N86" i="11"/>
  <c r="M86" i="11"/>
  <c r="CW86" i="11"/>
  <c r="CX86" i="11"/>
  <c r="CV86" i="11"/>
  <c r="CL86" i="11"/>
  <c r="CK86" i="11"/>
  <c r="CJ86" i="11"/>
  <c r="CI86" i="11"/>
  <c r="CH86" i="11"/>
  <c r="CF86" i="11"/>
  <c r="IP83" i="11"/>
  <c r="JB83" i="11"/>
  <c r="JW83" i="11"/>
  <c r="JH83" i="11"/>
  <c r="IZ83" i="11"/>
  <c r="IX83" i="11"/>
  <c r="IU83" i="11"/>
  <c r="IS83" i="11"/>
  <c r="IQ83" i="11"/>
  <c r="IL83" i="11"/>
  <c r="EJ83" i="11"/>
  <c r="EA83" i="11"/>
  <c r="EB83" i="11"/>
  <c r="DZ83" i="11"/>
  <c r="DY83" i="11"/>
  <c r="MC83" i="11"/>
  <c r="CA83" i="11"/>
  <c r="BZ83" i="11"/>
  <c r="BV83" i="11"/>
  <c r="BU83" i="11"/>
  <c r="BR83" i="11"/>
  <c r="BN83" i="11"/>
  <c r="BM83" i="11"/>
  <c r="BL83" i="11"/>
  <c r="BK83" i="11"/>
  <c r="BI83" i="11"/>
  <c r="BG83" i="11"/>
  <c r="BD83" i="11"/>
  <c r="BA83" i="11"/>
  <c r="AZ83" i="11"/>
  <c r="AX83" i="11"/>
  <c r="AW83" i="11"/>
  <c r="AV83" i="11"/>
  <c r="KE83" i="11"/>
  <c r="KB83" i="11"/>
  <c r="JS83" i="11"/>
  <c r="IM83" i="11"/>
  <c r="KA83" i="11"/>
  <c r="HF83" i="11"/>
  <c r="HE83" i="11"/>
  <c r="HD83" i="11"/>
  <c r="HC83" i="11"/>
  <c r="HB83" i="11"/>
  <c r="GN83" i="11"/>
  <c r="GL83" i="11"/>
  <c r="EM83" i="11"/>
  <c r="EL83" i="11"/>
  <c r="II83" i="11"/>
  <c r="IH83" i="11"/>
  <c r="ID83" i="11"/>
  <c r="HZ83" i="11"/>
  <c r="HY83" i="11"/>
  <c r="HX83" i="11"/>
  <c r="HU83" i="11"/>
  <c r="HS83" i="11"/>
  <c r="HR83" i="11"/>
  <c r="HQ83" i="11"/>
  <c r="HP83" i="11"/>
  <c r="HO83" i="11"/>
  <c r="HN83" i="11"/>
  <c r="HM83" i="11"/>
  <c r="HL83" i="11"/>
  <c r="HJ83" i="11"/>
  <c r="GJ83" i="11"/>
  <c r="GC83" i="11"/>
  <c r="FV83" i="11"/>
  <c r="FU83" i="11"/>
  <c r="FT83" i="11"/>
  <c r="FS83" i="11"/>
  <c r="FR83" i="11"/>
  <c r="FQ83" i="11"/>
  <c r="FP83" i="11"/>
  <c r="FO83" i="11"/>
  <c r="FM83" i="11"/>
  <c r="FK83" i="11"/>
  <c r="FJ83" i="11"/>
  <c r="FI83" i="11"/>
  <c r="FF83" i="11"/>
  <c r="FE83" i="11"/>
  <c r="FD83" i="11"/>
  <c r="FC83" i="11"/>
  <c r="FB83" i="11"/>
  <c r="FA83" i="11"/>
  <c r="EW83" i="11"/>
  <c r="ET83" i="11"/>
  <c r="EQ83" i="11"/>
  <c r="EP83" i="11"/>
  <c r="EO83" i="11"/>
  <c r="EN83" i="11"/>
  <c r="EK83" i="11"/>
  <c r="DU83" i="11"/>
  <c r="DQ83" i="11"/>
  <c r="DH83" i="11"/>
  <c r="DG83" i="11"/>
  <c r="DF83" i="11"/>
  <c r="DE83" i="11"/>
  <c r="AT83" i="11"/>
  <c r="AK83" i="11"/>
  <c r="AJ83" i="11"/>
  <c r="AI83" i="11"/>
  <c r="AG83" i="11"/>
  <c r="AF83" i="11"/>
  <c r="AC83" i="11"/>
  <c r="AB83" i="11"/>
  <c r="X83" i="11"/>
  <c r="W83" i="11"/>
  <c r="T83" i="11"/>
  <c r="S83" i="11"/>
  <c r="Q83" i="11"/>
  <c r="P83" i="11"/>
  <c r="N83" i="11"/>
  <c r="M83" i="11"/>
  <c r="CW83" i="11"/>
  <c r="CX83" i="11"/>
  <c r="CV83" i="11"/>
  <c r="CL83" i="11"/>
  <c r="CK83" i="11"/>
  <c r="CJ83" i="11"/>
  <c r="CI83" i="11"/>
  <c r="CH83" i="11"/>
  <c r="CF83" i="11"/>
  <c r="IP82" i="11"/>
  <c r="JB82" i="11"/>
  <c r="JW82" i="11"/>
  <c r="JH82" i="11"/>
  <c r="IZ82" i="11"/>
  <c r="IX82" i="11"/>
  <c r="IU82" i="11"/>
  <c r="IS82" i="11"/>
  <c r="IQ82" i="11"/>
  <c r="IL82" i="11"/>
  <c r="EJ82" i="11"/>
  <c r="EA82" i="11"/>
  <c r="EB82" i="11"/>
  <c r="DZ82" i="11"/>
  <c r="DY82" i="11"/>
  <c r="MC82" i="11"/>
  <c r="CA82" i="11"/>
  <c r="BZ82" i="11"/>
  <c r="BV82" i="11"/>
  <c r="BU82" i="11"/>
  <c r="BR82" i="11"/>
  <c r="BN82" i="11"/>
  <c r="BM82" i="11"/>
  <c r="BL82" i="11"/>
  <c r="BK82" i="11"/>
  <c r="BI82" i="11"/>
  <c r="BG82" i="11"/>
  <c r="BD82" i="11"/>
  <c r="BA82" i="11"/>
  <c r="AZ82" i="11"/>
  <c r="AX82" i="11"/>
  <c r="AW82" i="11"/>
  <c r="AV82" i="11"/>
  <c r="KE82" i="11"/>
  <c r="KB82" i="11"/>
  <c r="JS82" i="11"/>
  <c r="IM82" i="11"/>
  <c r="KA82" i="11"/>
  <c r="HF82" i="11"/>
  <c r="HE82" i="11"/>
  <c r="HD82" i="11"/>
  <c r="HC82" i="11"/>
  <c r="HB82" i="11"/>
  <c r="GN82" i="11"/>
  <c r="GL82" i="11"/>
  <c r="EM82" i="11"/>
  <c r="EL82" i="11"/>
  <c r="II82" i="11"/>
  <c r="IH82" i="11"/>
  <c r="ID82" i="11"/>
  <c r="HZ82" i="11"/>
  <c r="HY82" i="11"/>
  <c r="HX82" i="11"/>
  <c r="HU82" i="11"/>
  <c r="HS82" i="11"/>
  <c r="HR82" i="11"/>
  <c r="HQ82" i="11"/>
  <c r="HP82" i="11"/>
  <c r="HO82" i="11"/>
  <c r="HN82" i="11"/>
  <c r="HM82" i="11"/>
  <c r="HL82" i="11"/>
  <c r="HJ82" i="11"/>
  <c r="GJ82" i="11"/>
  <c r="GC82" i="11"/>
  <c r="FV82" i="11"/>
  <c r="FU82" i="11"/>
  <c r="FT82" i="11"/>
  <c r="FS82" i="11"/>
  <c r="FR82" i="11"/>
  <c r="FQ82" i="11"/>
  <c r="FP82" i="11"/>
  <c r="FO82" i="11"/>
  <c r="FM82" i="11"/>
  <c r="FK82" i="11"/>
  <c r="FJ82" i="11"/>
  <c r="FI82" i="11"/>
  <c r="FF82" i="11"/>
  <c r="FE82" i="11"/>
  <c r="FD82" i="11"/>
  <c r="FC82" i="11"/>
  <c r="FB82" i="11"/>
  <c r="FA82" i="11"/>
  <c r="EW82" i="11"/>
  <c r="ET82" i="11"/>
  <c r="EQ82" i="11"/>
  <c r="EP82" i="11"/>
  <c r="EO82" i="11"/>
  <c r="EN82" i="11"/>
  <c r="EK82" i="11"/>
  <c r="DU82" i="11"/>
  <c r="DQ82" i="11"/>
  <c r="DH82" i="11"/>
  <c r="DG82" i="11"/>
  <c r="DF82" i="11"/>
  <c r="DE82" i="11"/>
  <c r="AT82" i="11"/>
  <c r="AK82" i="11"/>
  <c r="AJ82" i="11"/>
  <c r="AI82" i="11"/>
  <c r="AG82" i="11"/>
  <c r="AF82" i="11"/>
  <c r="AC82" i="11"/>
  <c r="AB82" i="11"/>
  <c r="X82" i="11"/>
  <c r="W82" i="11"/>
  <c r="T82" i="11"/>
  <c r="S82" i="11"/>
  <c r="Q82" i="11"/>
  <c r="P82" i="11"/>
  <c r="N82" i="11"/>
  <c r="M82" i="11"/>
  <c r="CW82" i="11"/>
  <c r="CX82" i="11"/>
  <c r="CV82" i="11"/>
  <c r="CL82" i="11"/>
  <c r="CK82" i="11"/>
  <c r="CJ82" i="11"/>
  <c r="CI82" i="11"/>
  <c r="CH82" i="11"/>
  <c r="CF82" i="11"/>
  <c r="IP81" i="11"/>
  <c r="JB81" i="11"/>
  <c r="JW81" i="11"/>
  <c r="JH81" i="11"/>
  <c r="IZ81" i="11"/>
  <c r="IX81" i="11"/>
  <c r="IU81" i="11"/>
  <c r="IS81" i="11"/>
  <c r="IQ81" i="11"/>
  <c r="IL81" i="11"/>
  <c r="EJ81" i="11"/>
  <c r="EA81" i="11"/>
  <c r="EB81" i="11"/>
  <c r="DZ81" i="11"/>
  <c r="DY81" i="11"/>
  <c r="MC81" i="11"/>
  <c r="CA81" i="11"/>
  <c r="BZ81" i="11"/>
  <c r="BV81" i="11"/>
  <c r="BU81" i="11"/>
  <c r="BR81" i="11"/>
  <c r="BN81" i="11"/>
  <c r="BM81" i="11"/>
  <c r="BL81" i="11"/>
  <c r="BK81" i="11"/>
  <c r="BI81" i="11"/>
  <c r="BG81" i="11"/>
  <c r="BD81" i="11"/>
  <c r="BA81" i="11"/>
  <c r="AZ81" i="11"/>
  <c r="AX81" i="11"/>
  <c r="AW81" i="11"/>
  <c r="AV81" i="11"/>
  <c r="KE81" i="11"/>
  <c r="KB81" i="11"/>
  <c r="JS81" i="11"/>
  <c r="IM81" i="11"/>
  <c r="KA81" i="11"/>
  <c r="HF81" i="11"/>
  <c r="HE81" i="11"/>
  <c r="HD81" i="11"/>
  <c r="HC81" i="11"/>
  <c r="HB81" i="11"/>
  <c r="GN81" i="11"/>
  <c r="GL81" i="11"/>
  <c r="EM81" i="11"/>
  <c r="EL81" i="11"/>
  <c r="II81" i="11"/>
  <c r="IH81" i="11"/>
  <c r="ID81" i="11"/>
  <c r="HZ81" i="11"/>
  <c r="HY81" i="11"/>
  <c r="HX81" i="11"/>
  <c r="HU81" i="11"/>
  <c r="HS81" i="11"/>
  <c r="HR81" i="11"/>
  <c r="HQ81" i="11"/>
  <c r="HP81" i="11"/>
  <c r="HO81" i="11"/>
  <c r="HN81" i="11"/>
  <c r="HM81" i="11"/>
  <c r="HL81" i="11"/>
  <c r="HJ81" i="11"/>
  <c r="GJ81" i="11"/>
  <c r="GC81" i="11"/>
  <c r="FV81" i="11"/>
  <c r="FU81" i="11"/>
  <c r="FT81" i="11"/>
  <c r="FS81" i="11"/>
  <c r="FR81" i="11"/>
  <c r="FQ81" i="11"/>
  <c r="FP81" i="11"/>
  <c r="FO81" i="11"/>
  <c r="FM81" i="11"/>
  <c r="FK81" i="11"/>
  <c r="FJ81" i="11"/>
  <c r="FI81" i="11"/>
  <c r="FF81" i="11"/>
  <c r="FE81" i="11"/>
  <c r="FD81" i="11"/>
  <c r="FC81" i="11"/>
  <c r="FB81" i="11"/>
  <c r="FA81" i="11"/>
  <c r="EW81" i="11"/>
  <c r="ET81" i="11"/>
  <c r="EQ81" i="11"/>
  <c r="EP81" i="11"/>
  <c r="EO81" i="11"/>
  <c r="EN81" i="11"/>
  <c r="EK81" i="11"/>
  <c r="DU81" i="11"/>
  <c r="DQ81" i="11"/>
  <c r="DH81" i="11"/>
  <c r="DG81" i="11"/>
  <c r="DF81" i="11"/>
  <c r="DE81" i="11"/>
  <c r="AT81" i="11"/>
  <c r="AK81" i="11"/>
  <c r="AJ81" i="11"/>
  <c r="AI81" i="11"/>
  <c r="AG81" i="11"/>
  <c r="AF81" i="11"/>
  <c r="AC81" i="11"/>
  <c r="AB81" i="11"/>
  <c r="X81" i="11"/>
  <c r="W81" i="11"/>
  <c r="T81" i="11"/>
  <c r="S81" i="11"/>
  <c r="Q81" i="11"/>
  <c r="P81" i="11"/>
  <c r="N81" i="11"/>
  <c r="M81" i="11"/>
  <c r="CW81" i="11"/>
  <c r="CX81" i="11"/>
  <c r="CV81" i="11"/>
  <c r="CL81" i="11"/>
  <c r="CK81" i="11"/>
  <c r="CJ81" i="11"/>
  <c r="CI81" i="11"/>
  <c r="CH81" i="11"/>
  <c r="CF81" i="11"/>
  <c r="IP80" i="11"/>
  <c r="JB80" i="11"/>
  <c r="JW80" i="11"/>
  <c r="JH80" i="11"/>
  <c r="IZ80" i="11"/>
  <c r="IX80" i="11"/>
  <c r="IU80" i="11"/>
  <c r="IS80" i="11"/>
  <c r="IQ80" i="11"/>
  <c r="IL80" i="11"/>
  <c r="EJ80" i="11"/>
  <c r="EA80" i="11"/>
  <c r="EB80" i="11"/>
  <c r="DZ80" i="11"/>
  <c r="DY80" i="11"/>
  <c r="MC80" i="11"/>
  <c r="CA80" i="11"/>
  <c r="BZ80" i="11"/>
  <c r="BV80" i="11"/>
  <c r="BU80" i="11"/>
  <c r="BR80" i="11"/>
  <c r="BN80" i="11"/>
  <c r="BM80" i="11"/>
  <c r="BL80" i="11"/>
  <c r="BK80" i="11"/>
  <c r="BI80" i="11"/>
  <c r="BG80" i="11"/>
  <c r="BD80" i="11"/>
  <c r="BA80" i="11"/>
  <c r="AZ80" i="11"/>
  <c r="AX80" i="11"/>
  <c r="AW80" i="11"/>
  <c r="AV80" i="11"/>
  <c r="KE80" i="11"/>
  <c r="KB80" i="11"/>
  <c r="JS80" i="11"/>
  <c r="IM80" i="11"/>
  <c r="KA80" i="11"/>
  <c r="HF80" i="11"/>
  <c r="HE80" i="11"/>
  <c r="HD80" i="11"/>
  <c r="HC80" i="11"/>
  <c r="HB80" i="11"/>
  <c r="GN80" i="11"/>
  <c r="GL80" i="11"/>
  <c r="EM80" i="11"/>
  <c r="EL80" i="11"/>
  <c r="II80" i="11"/>
  <c r="IH80" i="11"/>
  <c r="ID80" i="11"/>
  <c r="HZ80" i="11"/>
  <c r="HY80" i="11"/>
  <c r="HX80" i="11"/>
  <c r="HU80" i="11"/>
  <c r="HS80" i="11"/>
  <c r="HR80" i="11"/>
  <c r="HQ80" i="11"/>
  <c r="HP80" i="11"/>
  <c r="HO80" i="11"/>
  <c r="HN80" i="11"/>
  <c r="HM80" i="11"/>
  <c r="HL80" i="11"/>
  <c r="HJ80" i="11"/>
  <c r="GJ80" i="11"/>
  <c r="GC80" i="11"/>
  <c r="FV80" i="11"/>
  <c r="FU80" i="11"/>
  <c r="FT80" i="11"/>
  <c r="FS80" i="11"/>
  <c r="FR80" i="11"/>
  <c r="FQ80" i="11"/>
  <c r="FP80" i="11"/>
  <c r="FO80" i="11"/>
  <c r="FM80" i="11"/>
  <c r="FK80" i="11"/>
  <c r="FJ80" i="11"/>
  <c r="FI80" i="11"/>
  <c r="FF80" i="11"/>
  <c r="FE80" i="11"/>
  <c r="FD80" i="11"/>
  <c r="FC80" i="11"/>
  <c r="FB80" i="11"/>
  <c r="FA80" i="11"/>
  <c r="EW80" i="11"/>
  <c r="ET80" i="11"/>
  <c r="EQ80" i="11"/>
  <c r="EP80" i="11"/>
  <c r="EO80" i="11"/>
  <c r="EN80" i="11"/>
  <c r="EK80" i="11"/>
  <c r="DU80" i="11"/>
  <c r="DQ80" i="11"/>
  <c r="DH80" i="11"/>
  <c r="DG80" i="11"/>
  <c r="DF80" i="11"/>
  <c r="DE80" i="11"/>
  <c r="AT80" i="11"/>
  <c r="AK80" i="11"/>
  <c r="AJ80" i="11"/>
  <c r="AI80" i="11"/>
  <c r="AG80" i="11"/>
  <c r="AF80" i="11"/>
  <c r="AC80" i="11"/>
  <c r="AB80" i="11"/>
  <c r="X80" i="11"/>
  <c r="W80" i="11"/>
  <c r="T80" i="11"/>
  <c r="S80" i="11"/>
  <c r="Q80" i="11"/>
  <c r="P80" i="11"/>
  <c r="N80" i="11"/>
  <c r="M80" i="11"/>
  <c r="CW80" i="11"/>
  <c r="CX80" i="11"/>
  <c r="CV80" i="11"/>
  <c r="CL80" i="11"/>
  <c r="CK80" i="11"/>
  <c r="CJ80" i="11"/>
  <c r="CI80" i="11"/>
  <c r="CH80" i="11"/>
  <c r="CF80" i="11"/>
  <c r="IP85" i="11"/>
  <c r="JB85" i="11"/>
  <c r="JW85" i="11"/>
  <c r="JH85" i="11"/>
  <c r="IZ85" i="11"/>
  <c r="IX85" i="11"/>
  <c r="IU85" i="11"/>
  <c r="IS85" i="11"/>
  <c r="IQ85" i="11"/>
  <c r="IL85" i="11"/>
  <c r="EJ85" i="11"/>
  <c r="EA85" i="11"/>
  <c r="EB85" i="11"/>
  <c r="DZ85" i="11"/>
  <c r="DY85" i="11"/>
  <c r="MC85" i="11"/>
  <c r="CA85" i="11"/>
  <c r="BZ85" i="11"/>
  <c r="BV85" i="11"/>
  <c r="BU85" i="11"/>
  <c r="BR85" i="11"/>
  <c r="BN85" i="11"/>
  <c r="BM85" i="11"/>
  <c r="BL85" i="11"/>
  <c r="BK85" i="11"/>
  <c r="BI85" i="11"/>
  <c r="BG85" i="11"/>
  <c r="BD85" i="11"/>
  <c r="BA85" i="11"/>
  <c r="AZ85" i="11"/>
  <c r="AX85" i="11"/>
  <c r="AW85" i="11"/>
  <c r="AV85" i="11"/>
  <c r="KE85" i="11"/>
  <c r="KB85" i="11"/>
  <c r="JS85" i="11"/>
  <c r="IM85" i="11"/>
  <c r="KA85" i="11"/>
  <c r="HF85" i="11"/>
  <c r="HE85" i="11"/>
  <c r="HD85" i="11"/>
  <c r="HC85" i="11"/>
  <c r="HB85" i="11"/>
  <c r="GN85" i="11"/>
  <c r="GL85" i="11"/>
  <c r="EM85" i="11"/>
  <c r="EL85" i="11"/>
  <c r="II85" i="11"/>
  <c r="IH85" i="11"/>
  <c r="ID85" i="11"/>
  <c r="HZ85" i="11"/>
  <c r="HY85" i="11"/>
  <c r="HX85" i="11"/>
  <c r="HU85" i="11"/>
  <c r="HS85" i="11"/>
  <c r="HR85" i="11"/>
  <c r="HQ85" i="11"/>
  <c r="HP85" i="11"/>
  <c r="HO85" i="11"/>
  <c r="HN85" i="11"/>
  <c r="HM85" i="11"/>
  <c r="HL85" i="11"/>
  <c r="HJ85" i="11"/>
  <c r="GJ85" i="11"/>
  <c r="GC85" i="11"/>
  <c r="FV85" i="11"/>
  <c r="FU85" i="11"/>
  <c r="FT85" i="11"/>
  <c r="FS85" i="11"/>
  <c r="FR85" i="11"/>
  <c r="FQ85" i="11"/>
  <c r="FP85" i="11"/>
  <c r="FO85" i="11"/>
  <c r="FM85" i="11"/>
  <c r="FK85" i="11"/>
  <c r="FJ85" i="11"/>
  <c r="FI85" i="11"/>
  <c r="FF85" i="11"/>
  <c r="FE85" i="11"/>
  <c r="FD85" i="11"/>
  <c r="FC85" i="11"/>
  <c r="FB85" i="11"/>
  <c r="FA85" i="11"/>
  <c r="EW85" i="11"/>
  <c r="ET85" i="11"/>
  <c r="EQ85" i="11"/>
  <c r="EP85" i="11"/>
  <c r="EO85" i="11"/>
  <c r="EN85" i="11"/>
  <c r="EK85" i="11"/>
  <c r="DU85" i="11"/>
  <c r="DQ85" i="11"/>
  <c r="DH85" i="11"/>
  <c r="DG85" i="11"/>
  <c r="DF85" i="11"/>
  <c r="DE85" i="11"/>
  <c r="AT85" i="11"/>
  <c r="AK85" i="11"/>
  <c r="AJ85" i="11"/>
  <c r="AI85" i="11"/>
  <c r="AG85" i="11"/>
  <c r="AF85" i="11"/>
  <c r="AC85" i="11"/>
  <c r="AB85" i="11"/>
  <c r="X85" i="11"/>
  <c r="W85" i="11"/>
  <c r="T85" i="11"/>
  <c r="S85" i="11"/>
  <c r="Q85" i="11"/>
  <c r="P85" i="11"/>
  <c r="N85" i="11"/>
  <c r="M85" i="11"/>
  <c r="CW85" i="11"/>
  <c r="CX85" i="11"/>
  <c r="CV85" i="11"/>
  <c r="CL85" i="11"/>
  <c r="CK85" i="11"/>
  <c r="CJ85" i="11"/>
  <c r="CI85" i="11"/>
  <c r="CH85" i="11"/>
  <c r="CF85" i="11"/>
  <c r="IP84" i="11"/>
  <c r="JB84" i="11"/>
  <c r="JW84" i="11"/>
  <c r="JH84" i="11"/>
  <c r="IZ84" i="11"/>
  <c r="IX84" i="11"/>
  <c r="IU84" i="11"/>
  <c r="IS84" i="11"/>
  <c r="IQ84" i="11"/>
  <c r="IL84" i="11"/>
  <c r="EJ84" i="11"/>
  <c r="EA84" i="11"/>
  <c r="EB84" i="11"/>
  <c r="DZ84" i="11"/>
  <c r="DY84" i="11"/>
  <c r="MC84" i="11"/>
  <c r="CA84" i="11"/>
  <c r="BZ84" i="11"/>
  <c r="BV84" i="11"/>
  <c r="BU84" i="11"/>
  <c r="BR84" i="11"/>
  <c r="BN84" i="11"/>
  <c r="BM84" i="11"/>
  <c r="BL84" i="11"/>
  <c r="BK84" i="11"/>
  <c r="BI84" i="11"/>
  <c r="BG84" i="11"/>
  <c r="BD84" i="11"/>
  <c r="BA84" i="11"/>
  <c r="AZ84" i="11"/>
  <c r="AX84" i="11"/>
  <c r="AW84" i="11"/>
  <c r="AV84" i="11"/>
  <c r="KE84" i="11"/>
  <c r="KB84" i="11"/>
  <c r="JS84" i="11"/>
  <c r="IM84" i="11"/>
  <c r="KA84" i="11"/>
  <c r="HF84" i="11"/>
  <c r="HE84" i="11"/>
  <c r="HD84" i="11"/>
  <c r="HC84" i="11"/>
  <c r="HB84" i="11"/>
  <c r="GN84" i="11"/>
  <c r="GL84" i="11"/>
  <c r="EM84" i="11"/>
  <c r="EL84" i="11"/>
  <c r="II84" i="11"/>
  <c r="IH84" i="11"/>
  <c r="ID84" i="11"/>
  <c r="HZ84" i="11"/>
  <c r="HY84" i="11"/>
  <c r="HX84" i="11"/>
  <c r="HU84" i="11"/>
  <c r="HS84" i="11"/>
  <c r="HR84" i="11"/>
  <c r="HQ84" i="11"/>
  <c r="HP84" i="11"/>
  <c r="HO84" i="11"/>
  <c r="HN84" i="11"/>
  <c r="HM84" i="11"/>
  <c r="HL84" i="11"/>
  <c r="HJ84" i="11"/>
  <c r="GJ84" i="11"/>
  <c r="GC84" i="11"/>
  <c r="FV84" i="11"/>
  <c r="FU84" i="11"/>
  <c r="FT84" i="11"/>
  <c r="FS84" i="11"/>
  <c r="FR84" i="11"/>
  <c r="FQ84" i="11"/>
  <c r="FP84" i="11"/>
  <c r="FO84" i="11"/>
  <c r="FM84" i="11"/>
  <c r="FK84" i="11"/>
  <c r="FJ84" i="11"/>
  <c r="FI84" i="11"/>
  <c r="FF84" i="11"/>
  <c r="FE84" i="11"/>
  <c r="FD84" i="11"/>
  <c r="FC84" i="11"/>
  <c r="FB84" i="11"/>
  <c r="FA84" i="11"/>
  <c r="EW84" i="11"/>
  <c r="ET84" i="11"/>
  <c r="EQ84" i="11"/>
  <c r="EP84" i="11"/>
  <c r="EO84" i="11"/>
  <c r="EN84" i="11"/>
  <c r="EK84" i="11"/>
  <c r="DU84" i="11"/>
  <c r="DQ84" i="11"/>
  <c r="DH84" i="11"/>
  <c r="DG84" i="11"/>
  <c r="DF84" i="11"/>
  <c r="DE84" i="11"/>
  <c r="AT84" i="11"/>
  <c r="AK84" i="11"/>
  <c r="AJ84" i="11"/>
  <c r="AI84" i="11"/>
  <c r="AG84" i="11"/>
  <c r="AF84" i="11"/>
  <c r="AC84" i="11"/>
  <c r="AB84" i="11"/>
  <c r="X84" i="11"/>
  <c r="W84" i="11"/>
  <c r="T84" i="11"/>
  <c r="S84" i="11"/>
  <c r="Q84" i="11"/>
  <c r="P84" i="11"/>
  <c r="N84" i="11"/>
  <c r="M84" i="11"/>
  <c r="CW84" i="11"/>
  <c r="CX84" i="11"/>
  <c r="CV84" i="11"/>
  <c r="CL84" i="11"/>
  <c r="CK84" i="11"/>
  <c r="CJ84" i="11"/>
  <c r="CI84" i="11"/>
  <c r="CH84" i="11"/>
  <c r="CF84" i="11"/>
  <c r="IU53" i="11"/>
  <c r="CA53" i="11"/>
  <c r="BZ53" i="11"/>
  <c r="BV53" i="11"/>
  <c r="BU53" i="11"/>
  <c r="BR53" i="11"/>
  <c r="BK53" i="11"/>
  <c r="BG53" i="11"/>
  <c r="BA53" i="11"/>
  <c r="AZ53" i="11"/>
  <c r="AW53" i="11"/>
  <c r="AV53" i="11"/>
  <c r="HB53" i="11"/>
  <c r="EL53" i="11"/>
  <c r="HY53" i="11"/>
  <c r="HX53" i="11"/>
  <c r="FD53" i="11"/>
  <c r="FC53" i="11"/>
  <c r="EQ53" i="11"/>
  <c r="DU53" i="11"/>
  <c r="DH53" i="11"/>
  <c r="DG53" i="11"/>
  <c r="DF53" i="11"/>
  <c r="DE53" i="11"/>
  <c r="M53" i="11"/>
  <c r="CJ53" i="11"/>
  <c r="CF53" i="11"/>
  <c r="IP33" i="11"/>
  <c r="IZ33" i="11"/>
  <c r="IX33" i="11"/>
  <c r="IV33" i="11"/>
  <c r="IU33" i="11"/>
  <c r="IQ33" i="11"/>
  <c r="EJ33" i="11"/>
  <c r="EA33" i="11"/>
  <c r="EB33" i="11"/>
  <c r="DZ33" i="11"/>
  <c r="DY33" i="11"/>
  <c r="MC33" i="11"/>
  <c r="CA33" i="11"/>
  <c r="BZ33" i="11"/>
  <c r="BV33" i="11"/>
  <c r="BU33" i="11"/>
  <c r="BS33" i="11"/>
  <c r="BR33" i="11"/>
  <c r="BP33" i="11"/>
  <c r="BM33" i="11"/>
  <c r="BL33" i="11"/>
  <c r="BK33" i="11"/>
  <c r="BJ33" i="11"/>
  <c r="BI33" i="11"/>
  <c r="BG33" i="11"/>
  <c r="BE33" i="11"/>
  <c r="BD33" i="11"/>
  <c r="BC33" i="11"/>
  <c r="BA33" i="11"/>
  <c r="AZ33" i="11"/>
  <c r="AX33" i="11"/>
  <c r="AW33" i="11"/>
  <c r="AV33" i="11"/>
  <c r="AU33" i="11"/>
  <c r="KE33" i="11"/>
  <c r="KB33" i="11"/>
  <c r="JS33" i="11"/>
  <c r="IM33" i="11"/>
  <c r="KA33" i="11"/>
  <c r="HF33" i="11"/>
  <c r="HE33" i="11"/>
  <c r="HD33" i="11"/>
  <c r="HC33" i="11"/>
  <c r="HB33" i="11"/>
  <c r="GA33" i="11"/>
  <c r="GN33" i="11"/>
  <c r="GL33" i="11"/>
  <c r="EM33" i="11"/>
  <c r="EL33" i="11"/>
  <c r="HY33" i="11"/>
  <c r="HX33" i="11"/>
  <c r="HK33" i="11"/>
  <c r="GW33" i="11"/>
  <c r="GT33" i="11"/>
  <c r="GQ33" i="11"/>
  <c r="GO33" i="11"/>
  <c r="GI33" i="11"/>
  <c r="GH33" i="11"/>
  <c r="GC33" i="11"/>
  <c r="FY33" i="11"/>
  <c r="FX33" i="11"/>
  <c r="FW33" i="11"/>
  <c r="FV33" i="11"/>
  <c r="FU33" i="11"/>
  <c r="FT33" i="11"/>
  <c r="FS33" i="11"/>
  <c r="FR33" i="11"/>
  <c r="FQ33" i="11"/>
  <c r="FP33" i="11"/>
  <c r="FO33" i="11"/>
  <c r="FM33" i="11"/>
  <c r="FK33" i="11"/>
  <c r="FJ33" i="11"/>
  <c r="GR33" i="11"/>
  <c r="FI33" i="11"/>
  <c r="FF33" i="11"/>
  <c r="FE33" i="11"/>
  <c r="FD33" i="11"/>
  <c r="FC33" i="11"/>
  <c r="FA33" i="11"/>
  <c r="EW33" i="11"/>
  <c r="ET33" i="11"/>
  <c r="EQ33" i="11"/>
  <c r="EP33" i="11"/>
  <c r="EO33" i="11"/>
  <c r="EN33" i="11"/>
  <c r="EK33" i="11"/>
  <c r="DU33" i="11"/>
  <c r="DQ33" i="11"/>
  <c r="DP33" i="11"/>
  <c r="DH33" i="11"/>
  <c r="DG33" i="11"/>
  <c r="DF33" i="11"/>
  <c r="DE33" i="11"/>
  <c r="AS33" i="11"/>
  <c r="AK33" i="11"/>
  <c r="AJ33" i="11"/>
  <c r="AI33" i="11"/>
  <c r="AF33" i="11"/>
  <c r="AC33" i="11"/>
  <c r="X33" i="11"/>
  <c r="W33" i="11"/>
  <c r="T33" i="11"/>
  <c r="S33" i="11"/>
  <c r="Q33" i="11"/>
  <c r="P33" i="11"/>
  <c r="N33" i="11"/>
  <c r="M33" i="11"/>
  <c r="K33" i="11"/>
  <c r="CX33" i="11"/>
  <c r="CK33" i="11"/>
  <c r="CJ33" i="11"/>
  <c r="CI33" i="11"/>
  <c r="CF33" i="11"/>
  <c r="CE33" i="11"/>
  <c r="IA78" i="11"/>
  <c r="IH260" i="11" l="1"/>
  <c r="IH259" i="11"/>
  <c r="IH258" i="11"/>
  <c r="IH257" i="11"/>
  <c r="IH256" i="11"/>
  <c r="IH255" i="11"/>
  <c r="IH254" i="11"/>
  <c r="IH240" i="11"/>
  <c r="IH215" i="11"/>
  <c r="IH214" i="11"/>
  <c r="IH212" i="11"/>
  <c r="IH210" i="11"/>
  <c r="IH209" i="11"/>
  <c r="IH205" i="11"/>
  <c r="IH204" i="11"/>
  <c r="IH184" i="11"/>
  <c r="IH155" i="11"/>
  <c r="IH154" i="11"/>
  <c r="IH153" i="11"/>
  <c r="IH152" i="11"/>
  <c r="IH110" i="11"/>
  <c r="IH78" i="11"/>
  <c r="II260" i="11"/>
  <c r="II259" i="11"/>
  <c r="II258" i="11"/>
  <c r="II257" i="11"/>
  <c r="II256" i="11"/>
  <c r="II255" i="11"/>
  <c r="II254" i="11"/>
  <c r="II215" i="11"/>
  <c r="II214" i="11"/>
  <c r="II212" i="11"/>
  <c r="II210" i="11"/>
  <c r="II209" i="11"/>
  <c r="II205" i="11"/>
  <c r="II204" i="11"/>
  <c r="II78" i="11"/>
  <c r="CL78" i="11"/>
  <c r="CK260" i="11" l="1"/>
  <c r="CK259" i="11"/>
  <c r="CK258" i="11"/>
  <c r="CK257" i="11"/>
  <c r="CK256" i="11"/>
  <c r="CK255" i="11"/>
  <c r="CK254" i="11"/>
  <c r="CK240" i="11"/>
  <c r="CK215" i="11"/>
  <c r="CK214" i="11"/>
  <c r="CK212" i="11"/>
  <c r="CK210" i="11"/>
  <c r="CK209" i="11"/>
  <c r="CK205" i="11"/>
  <c r="CK204" i="11"/>
  <c r="CK201" i="11"/>
  <c r="CK200" i="11"/>
  <c r="CK78" i="11"/>
  <c r="CK48" i="11"/>
  <c r="CK47" i="11"/>
  <c r="CK46" i="11"/>
  <c r="CK45" i="11"/>
  <c r="CK44" i="11"/>
  <c r="CK43" i="11"/>
  <c r="CK42" i="11"/>
  <c r="CK41" i="11"/>
  <c r="CK40" i="11"/>
  <c r="CK39" i="11"/>
  <c r="CK38" i="11"/>
  <c r="CK37" i="11"/>
  <c r="CK36" i="11"/>
  <c r="CK35" i="11"/>
  <c r="CK34" i="11"/>
  <c r="CK32" i="11"/>
  <c r="CK31" i="11"/>
  <c r="CK30" i="11"/>
  <c r="CK29" i="11"/>
  <c r="CK28" i="11"/>
  <c r="LQ78" i="11"/>
  <c r="LW78" i="11"/>
  <c r="JR78" i="11"/>
  <c r="BS78" i="11"/>
  <c r="BS48" i="11"/>
  <c r="BS47" i="11"/>
  <c r="BS46" i="11"/>
  <c r="BS45" i="11"/>
  <c r="BS44" i="11"/>
  <c r="BS43" i="11"/>
  <c r="BS42" i="11"/>
  <c r="BS41" i="11"/>
  <c r="BS40" i="11"/>
  <c r="BS39" i="11"/>
  <c r="BS38" i="11"/>
  <c r="BS37" i="11"/>
  <c r="BS36" i="11"/>
  <c r="BS35" i="11"/>
  <c r="BS34" i="11"/>
  <c r="BS32" i="11"/>
  <c r="BS31" i="11"/>
  <c r="BS30" i="11"/>
  <c r="BS29" i="11"/>
  <c r="BS28" i="11"/>
  <c r="BR286" i="11"/>
  <c r="BR280" i="11"/>
  <c r="BR284" i="11"/>
  <c r="BR281" i="11"/>
  <c r="BR282" i="11"/>
  <c r="BR283" i="11"/>
  <c r="BR279" i="11"/>
  <c r="BR278" i="11"/>
  <c r="BR271" i="11"/>
  <c r="BR270" i="11"/>
  <c r="BR266" i="11"/>
  <c r="BR265" i="11"/>
  <c r="BR260" i="11"/>
  <c r="BR259" i="11"/>
  <c r="BR258" i="11"/>
  <c r="BR257" i="11"/>
  <c r="BR256" i="11"/>
  <c r="BR255" i="11"/>
  <c r="BR254" i="11"/>
  <c r="BR249" i="11"/>
  <c r="BR248" i="11"/>
  <c r="BR240" i="11"/>
  <c r="BR238" i="11"/>
  <c r="BR237" i="11"/>
  <c r="BR236" i="11"/>
  <c r="BR235" i="11"/>
  <c r="BR228" i="11"/>
  <c r="BR226" i="11"/>
  <c r="BR225" i="11"/>
  <c r="BR223" i="11"/>
  <c r="BR221" i="11"/>
  <c r="BR220" i="11"/>
  <c r="BR218" i="11"/>
  <c r="BR217" i="11"/>
  <c r="BR215" i="11"/>
  <c r="BR214" i="11"/>
  <c r="BR212" i="11"/>
  <c r="BR210" i="11"/>
  <c r="BR209" i="11"/>
  <c r="BR205" i="11"/>
  <c r="BR204" i="11"/>
  <c r="BR201" i="11"/>
  <c r="BR200" i="11"/>
  <c r="BR197" i="11"/>
  <c r="BR198" i="11"/>
  <c r="BR195" i="11"/>
  <c r="BR196" i="11"/>
  <c r="BR186" i="11"/>
  <c r="BR189" i="11"/>
  <c r="BR188" i="11"/>
  <c r="BR187" i="11"/>
  <c r="BR184" i="11"/>
  <c r="BR182" i="11"/>
  <c r="BR180" i="11"/>
  <c r="BR179" i="11"/>
  <c r="BR172" i="11"/>
  <c r="BR175" i="11"/>
  <c r="BR174" i="11"/>
  <c r="BR173" i="11"/>
  <c r="BR176" i="11"/>
  <c r="BR177" i="11"/>
  <c r="BR171" i="11"/>
  <c r="BR167" i="11"/>
  <c r="BR162" i="11"/>
  <c r="BR161" i="11"/>
  <c r="BR159" i="11"/>
  <c r="BR157" i="11"/>
  <c r="BR155" i="11"/>
  <c r="BR154" i="11"/>
  <c r="BR153" i="11"/>
  <c r="BR152" i="11"/>
  <c r="BR150" i="11"/>
  <c r="BR143" i="11"/>
  <c r="BR130" i="11"/>
  <c r="BR110" i="11"/>
  <c r="BR107" i="11"/>
  <c r="BR78" i="11"/>
  <c r="BR76" i="11"/>
  <c r="BR75" i="11"/>
  <c r="BR69" i="11"/>
  <c r="BR73" i="11"/>
  <c r="BR72" i="11"/>
  <c r="BR68" i="11"/>
  <c r="BR67" i="11"/>
  <c r="BR70" i="11"/>
  <c r="BR71" i="11"/>
  <c r="BR66" i="11"/>
  <c r="BR61" i="11"/>
  <c r="BR60" i="11"/>
  <c r="BR59" i="11"/>
  <c r="BR58" i="11"/>
  <c r="BR57" i="11"/>
  <c r="BR56" i="11"/>
  <c r="BR54" i="11"/>
  <c r="BR52" i="11"/>
  <c r="BR50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2" i="11"/>
  <c r="BR31" i="11"/>
  <c r="BR30" i="11"/>
  <c r="BR29" i="11"/>
  <c r="BR28" i="11"/>
  <c r="BR26" i="11"/>
  <c r="BR25" i="11"/>
  <c r="BR24" i="11"/>
  <c r="BR23" i="11"/>
  <c r="BR21" i="11"/>
  <c r="BR20" i="11"/>
  <c r="BR19" i="11"/>
  <c r="BR18" i="11"/>
  <c r="BR17" i="11"/>
  <c r="BR16" i="11"/>
  <c r="BR15" i="11"/>
  <c r="BX249" i="11"/>
  <c r="BX248" i="11"/>
  <c r="BX78" i="11"/>
  <c r="JE78" i="11"/>
  <c r="JO78" i="11"/>
  <c r="JN78" i="11"/>
  <c r="JM78" i="11"/>
  <c r="IV78" i="11"/>
  <c r="IV48" i="11"/>
  <c r="IV47" i="11"/>
  <c r="IV46" i="11"/>
  <c r="IV45" i="11"/>
  <c r="IV44" i="11"/>
  <c r="IV43" i="11"/>
  <c r="IV42" i="11"/>
  <c r="IV41" i="11"/>
  <c r="IV40" i="11"/>
  <c r="IV39" i="11"/>
  <c r="IV38" i="11"/>
  <c r="IV37" i="11"/>
  <c r="IV36" i="11"/>
  <c r="IV35" i="11"/>
  <c r="IV34" i="11"/>
  <c r="IV32" i="11"/>
  <c r="IV31" i="11"/>
  <c r="IV30" i="11"/>
  <c r="IV29" i="11"/>
  <c r="IV28" i="11"/>
  <c r="LC78" i="11"/>
  <c r="IT78" i="11"/>
  <c r="JU78" i="11"/>
  <c r="IZ238" i="11"/>
  <c r="IZ237" i="11"/>
  <c r="IZ236" i="11"/>
  <c r="IZ235" i="11"/>
  <c r="IZ215" i="11"/>
  <c r="IZ214" i="11"/>
  <c r="IZ212" i="11"/>
  <c r="IZ210" i="11"/>
  <c r="IZ209" i="11"/>
  <c r="IZ205" i="11"/>
  <c r="IZ204" i="11"/>
  <c r="IZ110" i="11"/>
  <c r="IZ107" i="11"/>
  <c r="IZ48" i="11"/>
  <c r="IZ47" i="11"/>
  <c r="IZ46" i="11"/>
  <c r="IZ45" i="11"/>
  <c r="IZ44" i="11"/>
  <c r="IZ43" i="11"/>
  <c r="IZ42" i="11"/>
  <c r="IZ41" i="11"/>
  <c r="IZ40" i="11"/>
  <c r="IZ39" i="11"/>
  <c r="IZ38" i="11"/>
  <c r="IZ37" i="11"/>
  <c r="IZ36" i="11"/>
  <c r="IZ35" i="11"/>
  <c r="IZ34" i="11"/>
  <c r="IZ32" i="11"/>
  <c r="IZ31" i="11"/>
  <c r="IZ30" i="11"/>
  <c r="IZ29" i="11"/>
  <c r="IZ28" i="11"/>
  <c r="JC78" i="11" l="1"/>
  <c r="JA78" i="11"/>
  <c r="EJ223" i="11"/>
  <c r="EJ221" i="11"/>
  <c r="EJ220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2" i="11"/>
  <c r="EJ31" i="11"/>
  <c r="EJ30" i="11"/>
  <c r="EJ29" i="11"/>
  <c r="EJ28" i="11"/>
  <c r="EJ110" i="11"/>
  <c r="EJ78" i="11"/>
  <c r="EI78" i="11"/>
  <c r="LO78" i="11"/>
  <c r="LN78" i="11"/>
  <c r="MD78" i="11"/>
  <c r="FC286" i="11"/>
  <c r="FC280" i="11"/>
  <c r="FC284" i="11"/>
  <c r="FC281" i="11"/>
  <c r="FC282" i="11"/>
  <c r="FC283" i="11"/>
  <c r="FC279" i="11"/>
  <c r="FC278" i="11"/>
  <c r="FC271" i="11"/>
  <c r="FC270" i="11"/>
  <c r="FC266" i="11"/>
  <c r="FC265" i="11"/>
  <c r="FC260" i="11"/>
  <c r="FC259" i="11"/>
  <c r="FC258" i="11"/>
  <c r="FC257" i="11"/>
  <c r="FC256" i="11"/>
  <c r="FC255" i="11"/>
  <c r="FC254" i="11"/>
  <c r="FC249" i="11"/>
  <c r="FC248" i="11"/>
  <c r="FC240" i="11"/>
  <c r="FC238" i="11"/>
  <c r="FC237" i="11"/>
  <c r="FC236" i="11"/>
  <c r="FC235" i="11"/>
  <c r="FC228" i="11"/>
  <c r="FC226" i="11"/>
  <c r="FC225" i="11"/>
  <c r="FC223" i="11"/>
  <c r="FC221" i="11"/>
  <c r="FC220" i="11"/>
  <c r="FC218" i="11"/>
  <c r="FC217" i="11"/>
  <c r="FC215" i="11"/>
  <c r="FC214" i="11"/>
  <c r="FC212" i="11"/>
  <c r="FC210" i="11"/>
  <c r="FC209" i="11"/>
  <c r="FC205" i="11"/>
  <c r="FC204" i="11"/>
  <c r="FC201" i="11"/>
  <c r="FC200" i="11"/>
  <c r="FC197" i="11"/>
  <c r="FC198" i="11"/>
  <c r="FC195" i="11"/>
  <c r="FC196" i="11"/>
  <c r="FC186" i="11"/>
  <c r="FC189" i="11"/>
  <c r="FC188" i="11"/>
  <c r="FC187" i="11"/>
  <c r="FC184" i="11"/>
  <c r="FC182" i="11"/>
  <c r="FC180" i="11"/>
  <c r="FC179" i="11"/>
  <c r="FC172" i="11"/>
  <c r="FC175" i="11"/>
  <c r="FC174" i="11"/>
  <c r="FC173" i="11"/>
  <c r="FC176" i="11"/>
  <c r="FC177" i="11"/>
  <c r="FC171" i="11"/>
  <c r="FC167" i="11"/>
  <c r="FC162" i="11"/>
  <c r="FC161" i="11"/>
  <c r="FC159" i="11"/>
  <c r="FC157" i="11"/>
  <c r="FC155" i="11"/>
  <c r="FC154" i="11"/>
  <c r="FC153" i="11"/>
  <c r="FC152" i="11"/>
  <c r="FC150" i="11"/>
  <c r="FC143" i="11"/>
  <c r="FC130" i="11"/>
  <c r="FC110" i="11"/>
  <c r="FC107" i="11"/>
  <c r="FC78" i="11"/>
  <c r="FC76" i="11"/>
  <c r="FC75" i="11"/>
  <c r="FC69" i="11"/>
  <c r="FC73" i="11"/>
  <c r="FC72" i="11"/>
  <c r="FC68" i="11"/>
  <c r="FC67" i="11"/>
  <c r="FC70" i="11"/>
  <c r="FC71" i="11"/>
  <c r="FC66" i="11"/>
  <c r="FC61" i="11"/>
  <c r="FC60" i="11"/>
  <c r="FC59" i="11"/>
  <c r="FC58" i="11"/>
  <c r="FC57" i="11"/>
  <c r="FC56" i="11"/>
  <c r="FC54" i="11"/>
  <c r="FC52" i="11"/>
  <c r="FC50" i="11"/>
  <c r="FC48" i="11"/>
  <c r="FC47" i="11"/>
  <c r="FC46" i="11"/>
  <c r="FC45" i="11"/>
  <c r="FC44" i="11"/>
  <c r="FC43" i="11"/>
  <c r="FC42" i="11"/>
  <c r="FC41" i="11"/>
  <c r="FC40" i="11"/>
  <c r="FC39" i="11"/>
  <c r="FC38" i="11"/>
  <c r="FC37" i="11"/>
  <c r="FC36" i="11"/>
  <c r="FC35" i="11"/>
  <c r="FC34" i="11"/>
  <c r="FC32" i="11"/>
  <c r="FC31" i="11"/>
  <c r="FC30" i="11"/>
  <c r="FC29" i="11"/>
  <c r="FC28" i="11"/>
  <c r="FC26" i="11"/>
  <c r="FC25" i="11"/>
  <c r="FC24" i="11"/>
  <c r="FC23" i="11"/>
  <c r="FC21" i="11"/>
  <c r="FC20" i="11"/>
  <c r="FC19" i="11"/>
  <c r="FC18" i="11"/>
  <c r="FC17" i="11"/>
  <c r="FC16" i="11"/>
  <c r="FC15" i="11"/>
  <c r="AR78" i="11"/>
  <c r="IF78" i="11" l="1"/>
  <c r="IE78" i="11"/>
  <c r="ID260" i="11"/>
  <c r="ID259" i="11"/>
  <c r="ID258" i="11"/>
  <c r="ID257" i="11"/>
  <c r="ID256" i="11"/>
  <c r="ID255" i="11"/>
  <c r="ID254" i="11"/>
  <c r="ID78" i="11"/>
  <c r="GY260" i="11"/>
  <c r="GY259" i="11"/>
  <c r="GY258" i="11"/>
  <c r="GY257" i="11"/>
  <c r="GY256" i="11"/>
  <c r="GY255" i="11"/>
  <c r="GY254" i="11"/>
  <c r="GY215" i="11"/>
  <c r="GY214" i="11"/>
  <c r="GY212" i="11"/>
  <c r="GY210" i="11"/>
  <c r="GY209" i="11"/>
  <c r="GY205" i="11"/>
  <c r="GY204" i="11"/>
  <c r="GY78" i="11"/>
  <c r="GX260" i="11"/>
  <c r="GX259" i="11"/>
  <c r="GX258" i="11"/>
  <c r="GX257" i="11"/>
  <c r="GX256" i="11"/>
  <c r="GX255" i="11"/>
  <c r="GX254" i="11"/>
  <c r="GX215" i="11"/>
  <c r="GX214" i="11"/>
  <c r="GX212" i="11"/>
  <c r="GX210" i="11"/>
  <c r="GX209" i="11"/>
  <c r="GX205" i="11"/>
  <c r="GX204" i="11"/>
  <c r="GX78" i="11"/>
  <c r="FW260" i="11"/>
  <c r="FW259" i="11"/>
  <c r="FW258" i="11"/>
  <c r="FW257" i="11"/>
  <c r="FW256" i="11"/>
  <c r="FW255" i="11"/>
  <c r="FW254" i="11"/>
  <c r="FW215" i="11"/>
  <c r="FW214" i="11"/>
  <c r="FW212" i="11"/>
  <c r="FW210" i="11"/>
  <c r="FW209" i="11"/>
  <c r="FW205" i="11"/>
  <c r="FW204" i="11"/>
  <c r="FW78" i="11"/>
  <c r="FW48" i="11"/>
  <c r="FW47" i="11"/>
  <c r="FW46" i="11"/>
  <c r="FW45" i="11"/>
  <c r="FW44" i="11"/>
  <c r="FW43" i="11"/>
  <c r="FW42" i="11"/>
  <c r="FW41" i="11"/>
  <c r="FW40" i="11"/>
  <c r="FW39" i="11"/>
  <c r="FW38" i="11"/>
  <c r="FW37" i="11"/>
  <c r="FW36" i="11"/>
  <c r="FW35" i="11"/>
  <c r="FW34" i="11"/>
  <c r="FW32" i="11"/>
  <c r="FW31" i="11"/>
  <c r="FW30" i="11"/>
  <c r="FW29" i="11"/>
  <c r="FW28" i="11"/>
  <c r="GS260" i="11"/>
  <c r="GS259" i="11"/>
  <c r="GS258" i="11"/>
  <c r="GS257" i="11"/>
  <c r="GS256" i="11"/>
  <c r="GS255" i="11"/>
  <c r="GS254" i="11"/>
  <c r="GS215" i="11"/>
  <c r="GS214" i="11"/>
  <c r="GS212" i="11"/>
  <c r="GS210" i="11"/>
  <c r="GS209" i="11"/>
  <c r="GS205" i="11"/>
  <c r="GS204" i="11"/>
  <c r="GS78" i="11"/>
  <c r="GW260" i="11"/>
  <c r="GW259" i="11"/>
  <c r="GW258" i="11"/>
  <c r="GW257" i="11"/>
  <c r="GW256" i="11"/>
  <c r="GW255" i="11"/>
  <c r="GW254" i="11"/>
  <c r="GW215" i="11"/>
  <c r="GW214" i="11"/>
  <c r="GW212" i="11"/>
  <c r="GW210" i="11"/>
  <c r="GW209" i="11"/>
  <c r="GW205" i="11"/>
  <c r="GW204" i="11"/>
  <c r="GW78" i="11"/>
  <c r="GW48" i="11"/>
  <c r="GW47" i="11"/>
  <c r="GW46" i="11"/>
  <c r="GW45" i="11"/>
  <c r="GW44" i="11"/>
  <c r="GW43" i="11"/>
  <c r="GW42" i="11"/>
  <c r="GW41" i="11"/>
  <c r="GW40" i="11"/>
  <c r="GW39" i="11"/>
  <c r="GW38" i="11"/>
  <c r="GW37" i="11"/>
  <c r="GW36" i="11"/>
  <c r="GW35" i="11"/>
  <c r="GW34" i="11"/>
  <c r="GW32" i="11"/>
  <c r="GW31" i="11"/>
  <c r="GW30" i="11"/>
  <c r="GW29" i="11"/>
  <c r="GW28" i="11"/>
  <c r="GV260" i="11"/>
  <c r="GV259" i="11"/>
  <c r="GV258" i="11"/>
  <c r="GV257" i="11"/>
  <c r="GV256" i="11"/>
  <c r="GV255" i="11"/>
  <c r="GV254" i="11"/>
  <c r="GV215" i="11"/>
  <c r="GV214" i="11"/>
  <c r="GV212" i="11"/>
  <c r="GV210" i="11"/>
  <c r="GV209" i="11"/>
  <c r="GV205" i="11"/>
  <c r="GV204" i="11"/>
  <c r="GV78" i="11"/>
  <c r="GU215" i="11"/>
  <c r="GU214" i="11"/>
  <c r="GU212" i="11"/>
  <c r="GU210" i="11"/>
  <c r="GU209" i="11"/>
  <c r="GU205" i="11"/>
  <c r="GU204" i="11"/>
  <c r="GU78" i="11"/>
  <c r="GT260" i="11"/>
  <c r="GT259" i="11"/>
  <c r="GT258" i="11"/>
  <c r="GT257" i="11"/>
  <c r="GT256" i="11"/>
  <c r="GT255" i="11"/>
  <c r="GT254" i="11"/>
  <c r="GT215" i="11"/>
  <c r="GT214" i="11"/>
  <c r="GT212" i="11"/>
  <c r="GT210" i="11"/>
  <c r="GT209" i="11"/>
  <c r="GT205" i="11"/>
  <c r="GT204" i="11"/>
  <c r="GT78" i="11"/>
  <c r="GT48" i="11"/>
  <c r="GT47" i="11"/>
  <c r="GT46" i="11"/>
  <c r="GT45" i="11"/>
  <c r="GT44" i="11"/>
  <c r="GT43" i="11"/>
  <c r="GT42" i="11"/>
  <c r="GT41" i="11"/>
  <c r="GT40" i="11"/>
  <c r="GT39" i="11"/>
  <c r="GT38" i="11"/>
  <c r="GT37" i="11"/>
  <c r="GT36" i="11"/>
  <c r="GT35" i="11"/>
  <c r="GT34" i="11"/>
  <c r="GT32" i="11"/>
  <c r="GT31" i="11"/>
  <c r="GT30" i="11"/>
  <c r="GT29" i="11"/>
  <c r="GT28" i="11"/>
  <c r="EN78" i="11"/>
  <c r="EN48" i="11"/>
  <c r="EN47" i="11"/>
  <c r="EN46" i="11"/>
  <c r="EN45" i="11"/>
  <c r="EN44" i="11"/>
  <c r="EN43" i="11"/>
  <c r="EN42" i="11"/>
  <c r="EN41" i="11"/>
  <c r="EN40" i="11"/>
  <c r="EN39" i="11"/>
  <c r="EN38" i="11"/>
  <c r="EN37" i="11"/>
  <c r="EN36" i="11"/>
  <c r="EN35" i="11"/>
  <c r="EN34" i="11"/>
  <c r="EN32" i="11"/>
  <c r="EN31" i="11"/>
  <c r="EN30" i="11"/>
  <c r="EN29" i="11"/>
  <c r="EN28" i="11"/>
  <c r="EO286" i="11"/>
  <c r="EO271" i="11"/>
  <c r="EO270" i="11"/>
  <c r="EO260" i="11"/>
  <c r="EO259" i="11"/>
  <c r="EO258" i="11"/>
  <c r="EO257" i="11"/>
  <c r="EO256" i="11"/>
  <c r="EO255" i="11"/>
  <c r="EO254" i="11"/>
  <c r="EO249" i="11"/>
  <c r="EO248" i="11"/>
  <c r="EO240" i="11"/>
  <c r="EO223" i="11"/>
  <c r="EO221" i="11"/>
  <c r="EO220" i="11"/>
  <c r="EO215" i="11"/>
  <c r="EO214" i="11"/>
  <c r="EO212" i="11"/>
  <c r="EO210" i="11"/>
  <c r="EO209" i="11"/>
  <c r="EO205" i="11"/>
  <c r="EO204" i="11"/>
  <c r="EO201" i="11"/>
  <c r="EO200" i="11"/>
  <c r="EO186" i="11"/>
  <c r="EO189" i="11"/>
  <c r="EO188" i="11"/>
  <c r="EO187" i="11"/>
  <c r="EO184" i="11"/>
  <c r="EO162" i="11"/>
  <c r="EO161" i="11"/>
  <c r="EO159" i="11"/>
  <c r="EO157" i="11"/>
  <c r="EO150" i="11"/>
  <c r="EO143" i="11"/>
  <c r="EO130" i="11"/>
  <c r="EO110" i="11"/>
  <c r="EO107" i="11"/>
  <c r="EO69" i="11"/>
  <c r="EO73" i="11"/>
  <c r="EO72" i="11"/>
  <c r="EO68" i="11"/>
  <c r="EO67" i="11"/>
  <c r="EO70" i="11"/>
  <c r="EO71" i="11"/>
  <c r="EO66" i="11"/>
  <c r="EO61" i="11"/>
  <c r="EO60" i="11"/>
  <c r="EO59" i="11"/>
  <c r="EO58" i="11"/>
  <c r="EO57" i="11"/>
  <c r="EO56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2" i="11"/>
  <c r="EO31" i="11"/>
  <c r="EO30" i="11"/>
  <c r="EO29" i="11"/>
  <c r="EO28" i="11"/>
  <c r="EO26" i="11"/>
  <c r="EO25" i="11"/>
  <c r="EO24" i="11"/>
  <c r="EO23" i="11"/>
  <c r="EO21" i="11"/>
  <c r="EO20" i="11"/>
  <c r="EO19" i="11"/>
  <c r="EO18" i="11"/>
  <c r="EO17" i="11"/>
  <c r="EO16" i="11"/>
  <c r="EO15" i="11"/>
  <c r="AT78" i="11" l="1"/>
  <c r="AS78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2" i="11"/>
  <c r="AS31" i="11"/>
  <c r="AS30" i="11"/>
  <c r="AS29" i="11"/>
  <c r="AS28" i="11"/>
  <c r="HZ218" i="11"/>
  <c r="HZ217" i="11"/>
  <c r="HZ110" i="11"/>
  <c r="HY286" i="11"/>
  <c r="HY280" i="11"/>
  <c r="HY284" i="11"/>
  <c r="HY281" i="11"/>
  <c r="HY282" i="11"/>
  <c r="HY283" i="11"/>
  <c r="HY279" i="11"/>
  <c r="HY278" i="11"/>
  <c r="HY271" i="11"/>
  <c r="HY270" i="11"/>
  <c r="HY266" i="11"/>
  <c r="HY265" i="11"/>
  <c r="HY260" i="11"/>
  <c r="HY259" i="11"/>
  <c r="HY258" i="11"/>
  <c r="HY257" i="11"/>
  <c r="HY256" i="11"/>
  <c r="HY255" i="11"/>
  <c r="HY254" i="11"/>
  <c r="HY249" i="11"/>
  <c r="HY248" i="11"/>
  <c r="HY240" i="11"/>
  <c r="HY238" i="11"/>
  <c r="HY237" i="11"/>
  <c r="HY236" i="11"/>
  <c r="HY235" i="11"/>
  <c r="HY228" i="11"/>
  <c r="HY226" i="11"/>
  <c r="HY225" i="11"/>
  <c r="HY223" i="11"/>
  <c r="HY221" i="11"/>
  <c r="HY220" i="11"/>
  <c r="HY218" i="11"/>
  <c r="HY217" i="11"/>
  <c r="HY215" i="11"/>
  <c r="HY214" i="11"/>
  <c r="HY212" i="11"/>
  <c r="HY210" i="11"/>
  <c r="HY209" i="11"/>
  <c r="HY205" i="11"/>
  <c r="HY204" i="11"/>
  <c r="HY201" i="11"/>
  <c r="HY200" i="11"/>
  <c r="HY197" i="11"/>
  <c r="HY198" i="11"/>
  <c r="HY195" i="11"/>
  <c r="HY196" i="11"/>
  <c r="HY186" i="11"/>
  <c r="HY189" i="11"/>
  <c r="HY188" i="11"/>
  <c r="HY187" i="11"/>
  <c r="HY184" i="11"/>
  <c r="HY182" i="11"/>
  <c r="HY180" i="11"/>
  <c r="HY179" i="11"/>
  <c r="HY172" i="11"/>
  <c r="HY175" i="11"/>
  <c r="HY174" i="11"/>
  <c r="HY173" i="11"/>
  <c r="HY176" i="11"/>
  <c r="HY177" i="11"/>
  <c r="HY171" i="11"/>
  <c r="HY167" i="11"/>
  <c r="HY162" i="11"/>
  <c r="HY161" i="11"/>
  <c r="HY159" i="11"/>
  <c r="HY157" i="11"/>
  <c r="HY155" i="11"/>
  <c r="HY154" i="11"/>
  <c r="HY153" i="11"/>
  <c r="HY152" i="11"/>
  <c r="HY150" i="11"/>
  <c r="HY143" i="11"/>
  <c r="HY130" i="11"/>
  <c r="HY110" i="11"/>
  <c r="HY107" i="11"/>
  <c r="HY78" i="11"/>
  <c r="HY76" i="11"/>
  <c r="HY75" i="11"/>
  <c r="HY69" i="11"/>
  <c r="HY73" i="11"/>
  <c r="HY72" i="11"/>
  <c r="HY68" i="11"/>
  <c r="HY67" i="11"/>
  <c r="HY70" i="11"/>
  <c r="HY71" i="11"/>
  <c r="HY66" i="11"/>
  <c r="HY61" i="11"/>
  <c r="HY60" i="11"/>
  <c r="HY59" i="11"/>
  <c r="HY58" i="11"/>
  <c r="HY57" i="11"/>
  <c r="HY56" i="11"/>
  <c r="HY54" i="11"/>
  <c r="HY52" i="11"/>
  <c r="HY50" i="11"/>
  <c r="HY48" i="11"/>
  <c r="HY47" i="11"/>
  <c r="HY46" i="11"/>
  <c r="HY45" i="11"/>
  <c r="HY44" i="11"/>
  <c r="HY43" i="11"/>
  <c r="HY42" i="11"/>
  <c r="HY41" i="11"/>
  <c r="HY40" i="11"/>
  <c r="HY39" i="11"/>
  <c r="HY38" i="11"/>
  <c r="HY37" i="11"/>
  <c r="HY36" i="11"/>
  <c r="HY35" i="11"/>
  <c r="HY34" i="11"/>
  <c r="HY32" i="11"/>
  <c r="HY31" i="11"/>
  <c r="HY30" i="11"/>
  <c r="HY29" i="11"/>
  <c r="HY28" i="11"/>
  <c r="HY26" i="11"/>
  <c r="HY25" i="11"/>
  <c r="HY24" i="11"/>
  <c r="HY23" i="11"/>
  <c r="HY21" i="11"/>
  <c r="HY20" i="11"/>
  <c r="HY19" i="11"/>
  <c r="HY18" i="11"/>
  <c r="HY17" i="11"/>
  <c r="HY16" i="11"/>
  <c r="HY15" i="11"/>
  <c r="HX286" i="11"/>
  <c r="HX280" i="11"/>
  <c r="HX284" i="11"/>
  <c r="HX281" i="11"/>
  <c r="HX282" i="11"/>
  <c r="HX283" i="11"/>
  <c r="HX279" i="11"/>
  <c r="HX278" i="11"/>
  <c r="HX271" i="11"/>
  <c r="HX270" i="11"/>
  <c r="HX266" i="11"/>
  <c r="HX265" i="11"/>
  <c r="HX260" i="11"/>
  <c r="HX259" i="11"/>
  <c r="HX258" i="11"/>
  <c r="HX257" i="11"/>
  <c r="HX256" i="11"/>
  <c r="HX255" i="11"/>
  <c r="HX254" i="11"/>
  <c r="HX249" i="11"/>
  <c r="HX248" i="11"/>
  <c r="HX240" i="11"/>
  <c r="HX238" i="11"/>
  <c r="HX237" i="11"/>
  <c r="HX236" i="11"/>
  <c r="HX235" i="11"/>
  <c r="HX228" i="11"/>
  <c r="HX226" i="11"/>
  <c r="HX225" i="11"/>
  <c r="HX223" i="11"/>
  <c r="HX221" i="11"/>
  <c r="HX220" i="11"/>
  <c r="HX218" i="11"/>
  <c r="HX217" i="11"/>
  <c r="HX215" i="11"/>
  <c r="HX214" i="11"/>
  <c r="HX212" i="11"/>
  <c r="HX210" i="11"/>
  <c r="HX209" i="11"/>
  <c r="HX205" i="11"/>
  <c r="HX204" i="11"/>
  <c r="HX201" i="11"/>
  <c r="HX200" i="11"/>
  <c r="HX197" i="11"/>
  <c r="HX198" i="11"/>
  <c r="HX195" i="11"/>
  <c r="HX196" i="11"/>
  <c r="HX186" i="11"/>
  <c r="HX189" i="11"/>
  <c r="HX188" i="11"/>
  <c r="HX187" i="11"/>
  <c r="HX182" i="11"/>
  <c r="HX184" i="11"/>
  <c r="HX180" i="11"/>
  <c r="HX179" i="11"/>
  <c r="HX172" i="11"/>
  <c r="HX175" i="11"/>
  <c r="HX174" i="11"/>
  <c r="HX173" i="11"/>
  <c r="HX176" i="11"/>
  <c r="HX177" i="11"/>
  <c r="HX171" i="11"/>
  <c r="HX167" i="11"/>
  <c r="HX162" i="11"/>
  <c r="HX161" i="11"/>
  <c r="HX159" i="11"/>
  <c r="HX157" i="11"/>
  <c r="HX155" i="11"/>
  <c r="HX154" i="11"/>
  <c r="HX153" i="11"/>
  <c r="HX152" i="11"/>
  <c r="HX150" i="11"/>
  <c r="HX143" i="11"/>
  <c r="HX110" i="11"/>
  <c r="HX130" i="11"/>
  <c r="HX107" i="11"/>
  <c r="HX78" i="11"/>
  <c r="HX76" i="11"/>
  <c r="HX75" i="11"/>
  <c r="HX69" i="11"/>
  <c r="HX73" i="11"/>
  <c r="HX72" i="11"/>
  <c r="HX68" i="11"/>
  <c r="HX67" i="11"/>
  <c r="HX70" i="11"/>
  <c r="HX71" i="11"/>
  <c r="HX66" i="11"/>
  <c r="HX61" i="11"/>
  <c r="HX60" i="11"/>
  <c r="HX59" i="11"/>
  <c r="HX58" i="11"/>
  <c r="HX57" i="11"/>
  <c r="HX56" i="11"/>
  <c r="HX54" i="11"/>
  <c r="HX52" i="11"/>
  <c r="HX50" i="11"/>
  <c r="HX48" i="11"/>
  <c r="HX47" i="11"/>
  <c r="HX46" i="11"/>
  <c r="HX45" i="11"/>
  <c r="HX44" i="11"/>
  <c r="HX43" i="11"/>
  <c r="HX42" i="11"/>
  <c r="HX41" i="11"/>
  <c r="HX40" i="11"/>
  <c r="HX39" i="11"/>
  <c r="HX38" i="11"/>
  <c r="HX37" i="11"/>
  <c r="HX36" i="11"/>
  <c r="HX35" i="11"/>
  <c r="HX34" i="11"/>
  <c r="HX32" i="11"/>
  <c r="HX31" i="11"/>
  <c r="HX30" i="11"/>
  <c r="HX29" i="11"/>
  <c r="HX28" i="11"/>
  <c r="HX26" i="11"/>
  <c r="HX25" i="11"/>
  <c r="HX24" i="11"/>
  <c r="HX23" i="11"/>
  <c r="HX21" i="11"/>
  <c r="HX20" i="11"/>
  <c r="HX19" i="11"/>
  <c r="HX18" i="11"/>
  <c r="HX17" i="11"/>
  <c r="HX16" i="11"/>
  <c r="HX15" i="11"/>
  <c r="CA286" i="11"/>
  <c r="CA280" i="11"/>
  <c r="CA284" i="11"/>
  <c r="CA281" i="11"/>
  <c r="CA282" i="11"/>
  <c r="CA283" i="11"/>
  <c r="CA279" i="11"/>
  <c r="CA278" i="11"/>
  <c r="CA271" i="11"/>
  <c r="CA270" i="11"/>
  <c r="CA266" i="11"/>
  <c r="CA265" i="11"/>
  <c r="CA260" i="11"/>
  <c r="CA259" i="11"/>
  <c r="CA258" i="11"/>
  <c r="CA257" i="11"/>
  <c r="CA256" i="11"/>
  <c r="CA255" i="11"/>
  <c r="CA254" i="11"/>
  <c r="CA249" i="11"/>
  <c r="CA248" i="11"/>
  <c r="CA240" i="11"/>
  <c r="CA238" i="11"/>
  <c r="CA237" i="11"/>
  <c r="CA236" i="11"/>
  <c r="CA235" i="11"/>
  <c r="CA228" i="11"/>
  <c r="CA226" i="11"/>
  <c r="CA225" i="11"/>
  <c r="CA223" i="11"/>
  <c r="CA221" i="11"/>
  <c r="CA220" i="11"/>
  <c r="CA218" i="11"/>
  <c r="CA217" i="11"/>
  <c r="CA215" i="11"/>
  <c r="CA214" i="11"/>
  <c r="CA212" i="11"/>
  <c r="CA210" i="11"/>
  <c r="CA209" i="11"/>
  <c r="CA205" i="11"/>
  <c r="CA204" i="11"/>
  <c r="CA201" i="11"/>
  <c r="CA200" i="11"/>
  <c r="CA197" i="11"/>
  <c r="CA198" i="11"/>
  <c r="CA195" i="11"/>
  <c r="CA196" i="11"/>
  <c r="CA186" i="11"/>
  <c r="CA189" i="11"/>
  <c r="CA188" i="11"/>
  <c r="CA187" i="11"/>
  <c r="CA184" i="11"/>
  <c r="CA182" i="11"/>
  <c r="CA180" i="11"/>
  <c r="CA179" i="11"/>
  <c r="CA172" i="11"/>
  <c r="CA175" i="11"/>
  <c r="CA174" i="11"/>
  <c r="CA173" i="11"/>
  <c r="CA176" i="11"/>
  <c r="CA177" i="11"/>
  <c r="CA171" i="11"/>
  <c r="CA167" i="11"/>
  <c r="CA162" i="11"/>
  <c r="CA161" i="11"/>
  <c r="CA159" i="11"/>
  <c r="CA157" i="11"/>
  <c r="CA155" i="11"/>
  <c r="CA154" i="11"/>
  <c r="CA153" i="11"/>
  <c r="CA152" i="11"/>
  <c r="CA150" i="11"/>
  <c r="CA143" i="11"/>
  <c r="CA130" i="11"/>
  <c r="CA110" i="11"/>
  <c r="CA107" i="11"/>
  <c r="CA78" i="11"/>
  <c r="CA76" i="11"/>
  <c r="CA75" i="11"/>
  <c r="CA69" i="11"/>
  <c r="CA73" i="11"/>
  <c r="CA72" i="11"/>
  <c r="CA68" i="11"/>
  <c r="CA67" i="11"/>
  <c r="CA70" i="11"/>
  <c r="CA71" i="11"/>
  <c r="CA66" i="11"/>
  <c r="CA61" i="11"/>
  <c r="CA60" i="11"/>
  <c r="CA59" i="11"/>
  <c r="CA58" i="11"/>
  <c r="CA57" i="11"/>
  <c r="CA56" i="11"/>
  <c r="CA54" i="11"/>
  <c r="CA52" i="11"/>
  <c r="CA50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2" i="11"/>
  <c r="CA31" i="11"/>
  <c r="CA30" i="11"/>
  <c r="CA29" i="11"/>
  <c r="CA28" i="11"/>
  <c r="CA26" i="11"/>
  <c r="CA25" i="11"/>
  <c r="CA24" i="11"/>
  <c r="CA23" i="11"/>
  <c r="CA21" i="11"/>
  <c r="CA20" i="11"/>
  <c r="CA19" i="11"/>
  <c r="CA18" i="11"/>
  <c r="CA17" i="11"/>
  <c r="CA16" i="11"/>
  <c r="CA15" i="11"/>
  <c r="BZ286" i="11"/>
  <c r="BZ280" i="11"/>
  <c r="BZ284" i="11"/>
  <c r="BZ281" i="11"/>
  <c r="BZ282" i="11"/>
  <c r="BZ283" i="11"/>
  <c r="BZ279" i="11"/>
  <c r="BZ278" i="11"/>
  <c r="BZ271" i="11"/>
  <c r="BZ270" i="11"/>
  <c r="BZ266" i="11"/>
  <c r="BZ265" i="11"/>
  <c r="BZ260" i="11"/>
  <c r="BZ259" i="11"/>
  <c r="BZ258" i="11"/>
  <c r="BZ257" i="11"/>
  <c r="BZ256" i="11"/>
  <c r="BZ255" i="11"/>
  <c r="BZ254" i="11"/>
  <c r="BZ249" i="11"/>
  <c r="BZ248" i="11"/>
  <c r="BZ240" i="11"/>
  <c r="BZ238" i="11"/>
  <c r="BZ237" i="11"/>
  <c r="BZ236" i="11"/>
  <c r="BZ235" i="11"/>
  <c r="BZ228" i="11"/>
  <c r="BZ226" i="11"/>
  <c r="BZ225" i="11"/>
  <c r="BZ223" i="11"/>
  <c r="BZ221" i="11"/>
  <c r="BZ220" i="11"/>
  <c r="BZ218" i="11"/>
  <c r="BZ217" i="11"/>
  <c r="BZ215" i="11"/>
  <c r="BZ214" i="11"/>
  <c r="BZ212" i="11"/>
  <c r="BZ210" i="11"/>
  <c r="BZ209" i="11"/>
  <c r="BZ205" i="11"/>
  <c r="BZ204" i="11"/>
  <c r="BZ201" i="11"/>
  <c r="BZ200" i="11"/>
  <c r="BZ197" i="11"/>
  <c r="BZ198" i="11"/>
  <c r="BZ195" i="11"/>
  <c r="BZ196" i="11"/>
  <c r="BZ186" i="11"/>
  <c r="BZ189" i="11"/>
  <c r="BZ188" i="11"/>
  <c r="BZ187" i="11"/>
  <c r="BZ184" i="11"/>
  <c r="BZ182" i="11"/>
  <c r="BZ180" i="11"/>
  <c r="BZ179" i="11"/>
  <c r="BZ172" i="11"/>
  <c r="BZ175" i="11"/>
  <c r="BZ174" i="11"/>
  <c r="BZ173" i="11"/>
  <c r="BZ176" i="11"/>
  <c r="BZ177" i="11"/>
  <c r="BZ171" i="11"/>
  <c r="BZ167" i="11"/>
  <c r="BZ162" i="11"/>
  <c r="BZ161" i="11"/>
  <c r="BZ159" i="11"/>
  <c r="BZ157" i="11"/>
  <c r="BZ155" i="11"/>
  <c r="BZ154" i="11"/>
  <c r="BZ153" i="11"/>
  <c r="BZ152" i="11"/>
  <c r="BZ150" i="11"/>
  <c r="BZ143" i="11"/>
  <c r="BZ130" i="11"/>
  <c r="BZ110" i="11"/>
  <c r="BZ107" i="11"/>
  <c r="BZ78" i="11"/>
  <c r="BZ76" i="11"/>
  <c r="BZ75" i="11"/>
  <c r="BZ69" i="11"/>
  <c r="BZ73" i="11"/>
  <c r="BZ72" i="11"/>
  <c r="BZ68" i="11"/>
  <c r="BZ67" i="11"/>
  <c r="BZ70" i="11"/>
  <c r="BZ71" i="11"/>
  <c r="BZ66" i="11"/>
  <c r="BZ61" i="11"/>
  <c r="BZ60" i="11"/>
  <c r="BZ59" i="11"/>
  <c r="BZ58" i="11"/>
  <c r="BZ57" i="11"/>
  <c r="BZ56" i="11"/>
  <c r="BZ54" i="11"/>
  <c r="BZ52" i="11"/>
  <c r="BZ50" i="11"/>
  <c r="BZ48" i="11"/>
  <c r="BZ47" i="11"/>
  <c r="BZ46" i="11"/>
  <c r="BZ45" i="11"/>
  <c r="BZ44" i="11"/>
  <c r="BZ43" i="11"/>
  <c r="BZ42" i="11"/>
  <c r="BZ41" i="11"/>
  <c r="BZ40" i="11"/>
  <c r="BZ39" i="11"/>
  <c r="BZ38" i="11"/>
  <c r="BZ37" i="11"/>
  <c r="BZ36" i="11"/>
  <c r="BZ35" i="11"/>
  <c r="BZ34" i="11"/>
  <c r="BZ32" i="11"/>
  <c r="BZ31" i="11"/>
  <c r="BZ30" i="11"/>
  <c r="BZ29" i="11"/>
  <c r="BZ28" i="11"/>
  <c r="BZ26" i="11"/>
  <c r="BZ25" i="11"/>
  <c r="BZ24" i="11"/>
  <c r="BZ23" i="11"/>
  <c r="BZ21" i="11"/>
  <c r="BZ20" i="11"/>
  <c r="BZ19" i="11"/>
  <c r="BZ18" i="11"/>
  <c r="BZ17" i="11"/>
  <c r="BZ16" i="11"/>
  <c r="BZ15" i="11"/>
  <c r="HU260" i="11"/>
  <c r="HU259" i="11"/>
  <c r="HU258" i="11"/>
  <c r="HU257" i="11"/>
  <c r="HU256" i="11"/>
  <c r="HU255" i="11"/>
  <c r="HU254" i="11"/>
  <c r="HU78" i="11"/>
  <c r="HT260" i="11"/>
  <c r="HT259" i="11"/>
  <c r="HT258" i="11"/>
  <c r="HT257" i="11"/>
  <c r="HT256" i="11"/>
  <c r="HT255" i="11"/>
  <c r="HT254" i="11"/>
  <c r="HT78" i="11"/>
  <c r="HS78" i="11"/>
  <c r="HR260" i="11"/>
  <c r="HR259" i="11"/>
  <c r="HR258" i="11"/>
  <c r="HR257" i="11"/>
  <c r="HR256" i="11"/>
  <c r="HR255" i="11"/>
  <c r="HR254" i="11"/>
  <c r="HR78" i="11"/>
  <c r="HQ260" i="11"/>
  <c r="HQ259" i="11"/>
  <c r="HQ258" i="11"/>
  <c r="HQ257" i="11"/>
  <c r="HQ256" i="11"/>
  <c r="HQ255" i="11"/>
  <c r="HQ254" i="11"/>
  <c r="HQ78" i="11"/>
  <c r="HP260" i="11"/>
  <c r="HP259" i="11"/>
  <c r="HP258" i="11"/>
  <c r="HP257" i="11"/>
  <c r="HP256" i="11"/>
  <c r="HP255" i="11"/>
  <c r="HP254" i="11"/>
  <c r="HP78" i="11"/>
  <c r="HO260" i="11"/>
  <c r="HO259" i="11"/>
  <c r="HO258" i="11"/>
  <c r="HO257" i="11"/>
  <c r="HO256" i="11"/>
  <c r="HO255" i="11"/>
  <c r="HO254" i="11"/>
  <c r="HO78" i="11"/>
  <c r="HN260" i="11"/>
  <c r="HN259" i="11"/>
  <c r="HN258" i="11"/>
  <c r="HN257" i="11"/>
  <c r="HN256" i="11"/>
  <c r="HN255" i="11"/>
  <c r="HN254" i="11"/>
  <c r="HN78" i="11"/>
  <c r="HM260" i="11" l="1"/>
  <c r="HM259" i="11"/>
  <c r="HM258" i="11"/>
  <c r="HM257" i="11"/>
  <c r="HM256" i="11"/>
  <c r="HM255" i="11"/>
  <c r="HM254" i="11"/>
  <c r="HM78" i="11"/>
  <c r="HL260" i="11"/>
  <c r="HL259" i="11"/>
  <c r="HL258" i="11"/>
  <c r="HL257" i="11"/>
  <c r="HL256" i="11"/>
  <c r="HL255" i="11"/>
  <c r="HL254" i="11"/>
  <c r="HL78" i="11"/>
  <c r="HJ260" i="11"/>
  <c r="HJ259" i="11"/>
  <c r="HJ258" i="11"/>
  <c r="HJ257" i="11"/>
  <c r="HJ256" i="11"/>
  <c r="HJ255" i="11"/>
  <c r="HJ254" i="11"/>
  <c r="HJ78" i="11"/>
  <c r="BW107" i="11"/>
  <c r="GN78" i="11"/>
  <c r="GN48" i="11"/>
  <c r="GN47" i="11"/>
  <c r="GN46" i="11"/>
  <c r="GN45" i="11"/>
  <c r="GN44" i="11"/>
  <c r="GN43" i="11"/>
  <c r="GN42" i="11"/>
  <c r="GN41" i="11"/>
  <c r="GN40" i="11"/>
  <c r="GN39" i="11"/>
  <c r="GN38" i="11"/>
  <c r="GN37" i="11"/>
  <c r="GN36" i="11"/>
  <c r="GN35" i="11"/>
  <c r="GN34" i="11"/>
  <c r="GN32" i="11"/>
  <c r="GN31" i="11"/>
  <c r="GN30" i="11"/>
  <c r="GN29" i="11"/>
  <c r="GN28" i="11"/>
  <c r="KF78" i="11"/>
  <c r="L78" i="11"/>
  <c r="K78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2" i="11"/>
  <c r="K31" i="11"/>
  <c r="K30" i="11"/>
  <c r="K29" i="11"/>
  <c r="K28" i="11"/>
  <c r="M260" i="11"/>
  <c r="M259" i="11"/>
  <c r="M258" i="11"/>
  <c r="M257" i="11"/>
  <c r="M256" i="11"/>
  <c r="M255" i="11"/>
  <c r="M254" i="11"/>
  <c r="M223" i="11"/>
  <c r="M221" i="11"/>
  <c r="M220" i="11"/>
  <c r="M215" i="11"/>
  <c r="M214" i="11"/>
  <c r="M212" i="11"/>
  <c r="M210" i="11"/>
  <c r="M209" i="11"/>
  <c r="M205" i="11"/>
  <c r="M204" i="11"/>
  <c r="M184" i="11"/>
  <c r="M155" i="11"/>
  <c r="M154" i="11"/>
  <c r="M153" i="11"/>
  <c r="M152" i="11"/>
  <c r="M107" i="11"/>
  <c r="M78" i="11"/>
  <c r="M69" i="11"/>
  <c r="M73" i="11"/>
  <c r="M72" i="11"/>
  <c r="M68" i="11"/>
  <c r="M67" i="11"/>
  <c r="M70" i="11"/>
  <c r="M71" i="11"/>
  <c r="M66" i="11"/>
  <c r="M54" i="11"/>
  <c r="M52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2" i="11"/>
  <c r="M31" i="11"/>
  <c r="M30" i="11"/>
  <c r="M29" i="11"/>
  <c r="M28" i="11"/>
  <c r="BV271" i="11" l="1"/>
  <c r="BV270" i="11"/>
  <c r="BV260" i="11"/>
  <c r="BV259" i="11"/>
  <c r="BV258" i="11"/>
  <c r="BV257" i="11"/>
  <c r="BV256" i="11"/>
  <c r="BV255" i="11"/>
  <c r="BV254" i="11"/>
  <c r="BV249" i="11"/>
  <c r="BV248" i="11"/>
  <c r="BV240" i="11"/>
  <c r="BV238" i="11"/>
  <c r="BV237" i="11"/>
  <c r="BV236" i="11"/>
  <c r="BV235" i="11"/>
  <c r="BV228" i="11"/>
  <c r="BV226" i="11"/>
  <c r="BV225" i="11"/>
  <c r="BV223" i="11"/>
  <c r="BV221" i="11"/>
  <c r="BV220" i="11"/>
  <c r="BV215" i="11"/>
  <c r="BV214" i="11"/>
  <c r="BV212" i="11"/>
  <c r="BV210" i="11"/>
  <c r="BV209" i="11"/>
  <c r="BV205" i="11"/>
  <c r="BV204" i="11"/>
  <c r="BV201" i="11"/>
  <c r="BV200" i="11"/>
  <c r="BV186" i="11"/>
  <c r="BV189" i="11"/>
  <c r="BV188" i="11"/>
  <c r="BV187" i="11"/>
  <c r="BV180" i="11"/>
  <c r="BV179" i="11"/>
  <c r="BV130" i="11"/>
  <c r="BV110" i="11"/>
  <c r="BV107" i="11"/>
  <c r="BV78" i="11"/>
  <c r="BV61" i="11"/>
  <c r="BV60" i="11"/>
  <c r="BV59" i="11"/>
  <c r="BV58" i="11"/>
  <c r="BV57" i="11"/>
  <c r="BV56" i="11"/>
  <c r="BV54" i="11"/>
  <c r="BV52" i="11"/>
  <c r="BV50" i="11"/>
  <c r="BV48" i="11"/>
  <c r="BV47" i="11"/>
  <c r="BV46" i="11"/>
  <c r="BV45" i="11"/>
  <c r="BV44" i="11"/>
  <c r="BV43" i="11"/>
  <c r="BV42" i="11"/>
  <c r="BV41" i="11"/>
  <c r="BV40" i="11"/>
  <c r="BV39" i="11"/>
  <c r="BV38" i="11"/>
  <c r="BV37" i="11"/>
  <c r="BV36" i="11"/>
  <c r="BV35" i="11"/>
  <c r="BV34" i="11"/>
  <c r="BV32" i="11"/>
  <c r="BV31" i="11"/>
  <c r="BV30" i="11"/>
  <c r="BV29" i="11"/>
  <c r="BV28" i="11"/>
  <c r="BV21" i="11"/>
  <c r="BV20" i="11"/>
  <c r="BV19" i="11"/>
  <c r="BV18" i="11"/>
  <c r="BV17" i="11"/>
  <c r="BV16" i="11"/>
  <c r="BV15" i="11"/>
  <c r="BU286" i="11"/>
  <c r="BU280" i="11"/>
  <c r="BU284" i="11"/>
  <c r="BU281" i="11"/>
  <c r="BU282" i="11"/>
  <c r="BU283" i="11"/>
  <c r="BU279" i="11"/>
  <c r="BU278" i="11"/>
  <c r="BU271" i="11"/>
  <c r="BU270" i="11"/>
  <c r="BU266" i="11"/>
  <c r="BU265" i="11"/>
  <c r="BU260" i="11"/>
  <c r="BU259" i="11"/>
  <c r="BU258" i="11"/>
  <c r="BU257" i="11"/>
  <c r="BU256" i="11"/>
  <c r="BU255" i="11"/>
  <c r="BU254" i="11"/>
  <c r="BU249" i="11"/>
  <c r="BU248" i="11"/>
  <c r="BU240" i="11"/>
  <c r="BU238" i="11"/>
  <c r="BU237" i="11"/>
  <c r="BU236" i="11"/>
  <c r="BU235" i="11"/>
  <c r="BU228" i="11"/>
  <c r="BU226" i="11"/>
  <c r="BU225" i="11"/>
  <c r="BU223" i="11"/>
  <c r="BU221" i="11"/>
  <c r="BU220" i="11"/>
  <c r="BU218" i="11"/>
  <c r="BU217" i="11"/>
  <c r="BU215" i="11"/>
  <c r="BU214" i="11"/>
  <c r="BU212" i="11"/>
  <c r="BU210" i="11"/>
  <c r="BU209" i="11"/>
  <c r="BU205" i="11"/>
  <c r="BU204" i="11"/>
  <c r="BU201" i="11"/>
  <c r="BU200" i="11"/>
  <c r="BU197" i="11"/>
  <c r="BU198" i="11"/>
  <c r="BU195" i="11"/>
  <c r="BU196" i="11"/>
  <c r="BU186" i="11"/>
  <c r="BU189" i="11"/>
  <c r="BU188" i="11"/>
  <c r="BU187" i="11"/>
  <c r="BU184" i="11"/>
  <c r="BU182" i="11"/>
  <c r="BU180" i="11"/>
  <c r="BU179" i="11"/>
  <c r="BU172" i="11"/>
  <c r="BU175" i="11"/>
  <c r="BU174" i="11"/>
  <c r="BU173" i="11"/>
  <c r="BU176" i="11"/>
  <c r="BU177" i="11"/>
  <c r="BU171" i="11"/>
  <c r="BU167" i="11"/>
  <c r="BU162" i="11"/>
  <c r="BU161" i="11"/>
  <c r="BU159" i="11"/>
  <c r="BU157" i="11"/>
  <c r="BU155" i="11"/>
  <c r="BU154" i="11"/>
  <c r="BU153" i="11"/>
  <c r="BU152" i="11"/>
  <c r="BU150" i="11"/>
  <c r="BU143" i="11"/>
  <c r="BU130" i="11"/>
  <c r="BU110" i="11"/>
  <c r="BU107" i="11"/>
  <c r="BU78" i="11"/>
  <c r="BU76" i="11"/>
  <c r="BU75" i="11"/>
  <c r="BU69" i="11"/>
  <c r="BU73" i="11"/>
  <c r="BU72" i="11"/>
  <c r="BU68" i="11"/>
  <c r="BU67" i="11"/>
  <c r="BU70" i="11"/>
  <c r="BU71" i="11"/>
  <c r="BU66" i="11"/>
  <c r="BU61" i="11"/>
  <c r="BU60" i="11"/>
  <c r="BU59" i="11"/>
  <c r="BU58" i="11"/>
  <c r="BU57" i="11"/>
  <c r="BU56" i="11"/>
  <c r="BU54" i="11"/>
  <c r="BU52" i="11"/>
  <c r="BU50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2" i="11"/>
  <c r="BU31" i="11"/>
  <c r="BU30" i="11"/>
  <c r="BU29" i="11"/>
  <c r="BU28" i="11"/>
  <c r="BU26" i="11"/>
  <c r="BU25" i="11"/>
  <c r="BU24" i="11"/>
  <c r="BU23" i="11"/>
  <c r="BU21" i="11"/>
  <c r="BU20" i="11"/>
  <c r="BU19" i="11"/>
  <c r="BU18" i="11"/>
  <c r="BU17" i="11"/>
  <c r="BU16" i="11"/>
  <c r="BU15" i="11"/>
  <c r="AC260" i="11"/>
  <c r="AC259" i="11"/>
  <c r="AC258" i="11"/>
  <c r="AC257" i="11"/>
  <c r="AC256" i="11"/>
  <c r="AC255" i="11"/>
  <c r="AC254" i="11"/>
  <c r="AC240" i="11"/>
  <c r="AC215" i="11"/>
  <c r="AC214" i="11"/>
  <c r="AC212" i="11"/>
  <c r="AC210" i="11"/>
  <c r="AC209" i="11"/>
  <c r="AC205" i="11"/>
  <c r="AC204" i="11"/>
  <c r="AK162" i="11"/>
  <c r="AK161" i="11"/>
  <c r="AK159" i="11"/>
  <c r="AK157" i="11"/>
  <c r="AK110" i="11"/>
  <c r="AK78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2" i="11"/>
  <c r="AK31" i="11"/>
  <c r="AK30" i="11"/>
  <c r="AK29" i="11"/>
  <c r="AK28" i="11"/>
  <c r="KR78" i="11"/>
  <c r="KO78" i="11"/>
  <c r="KX78" i="11"/>
  <c r="KS78" i="11"/>
  <c r="KW78" i="11"/>
  <c r="KG78" i="11"/>
  <c r="KT78" i="11"/>
  <c r="KV78" i="11"/>
  <c r="KY78" i="11"/>
  <c r="KN78" i="11"/>
  <c r="KP78" i="11"/>
  <c r="KQ78" i="11"/>
  <c r="KZ78" i="11"/>
  <c r="KU78" i="11"/>
  <c r="KH78" i="11"/>
  <c r="IQ78" i="11"/>
  <c r="IQ48" i="11"/>
  <c r="IQ47" i="11"/>
  <c r="IQ46" i="11"/>
  <c r="IQ45" i="11"/>
  <c r="IQ44" i="11"/>
  <c r="IQ43" i="11"/>
  <c r="IQ42" i="11"/>
  <c r="IQ41" i="11"/>
  <c r="IQ40" i="11"/>
  <c r="IQ39" i="11"/>
  <c r="IQ38" i="11"/>
  <c r="IQ37" i="11"/>
  <c r="IQ36" i="11"/>
  <c r="IQ35" i="11"/>
  <c r="IQ34" i="11"/>
  <c r="IQ32" i="11"/>
  <c r="IQ31" i="11"/>
  <c r="IQ30" i="11"/>
  <c r="IQ29" i="11"/>
  <c r="IQ28" i="11"/>
  <c r="JS78" i="11" l="1"/>
  <c r="FT286" i="11" l="1"/>
  <c r="FT271" i="11"/>
  <c r="FT270" i="11"/>
  <c r="FT260" i="11"/>
  <c r="FT259" i="11"/>
  <c r="FT258" i="11"/>
  <c r="FT257" i="11"/>
  <c r="FT256" i="11"/>
  <c r="FT255" i="11"/>
  <c r="FT254" i="11"/>
  <c r="FT249" i="11"/>
  <c r="FT248" i="11"/>
  <c r="FT240" i="11"/>
  <c r="FT223" i="11"/>
  <c r="FT221" i="11"/>
  <c r="FT220" i="11"/>
  <c r="FT215" i="11"/>
  <c r="FT214" i="11"/>
  <c r="FT212" i="11"/>
  <c r="FT210" i="11"/>
  <c r="FT209" i="11"/>
  <c r="FT205" i="11"/>
  <c r="FT204" i="11"/>
  <c r="FT201" i="11"/>
  <c r="FT200" i="11"/>
  <c r="FT184" i="11"/>
  <c r="FT182" i="11"/>
  <c r="FT180" i="11"/>
  <c r="FT179" i="11"/>
  <c r="FT162" i="11"/>
  <c r="FT161" i="11"/>
  <c r="FT159" i="11"/>
  <c r="FT157" i="11"/>
  <c r="FT155" i="11"/>
  <c r="FT154" i="11"/>
  <c r="FT153" i="11"/>
  <c r="FT152" i="11"/>
  <c r="FT110" i="11"/>
  <c r="FT76" i="11"/>
  <c r="FT75" i="11"/>
  <c r="FT61" i="11"/>
  <c r="FT60" i="11"/>
  <c r="FT59" i="11"/>
  <c r="FT58" i="11"/>
  <c r="FT57" i="11"/>
  <c r="FT56" i="11"/>
  <c r="FT48" i="11"/>
  <c r="FT47" i="11"/>
  <c r="FT46" i="11"/>
  <c r="FT45" i="11"/>
  <c r="FT44" i="11"/>
  <c r="FT43" i="11"/>
  <c r="FT42" i="11"/>
  <c r="FT41" i="11"/>
  <c r="FT40" i="11"/>
  <c r="FT39" i="11"/>
  <c r="FT38" i="11"/>
  <c r="FT37" i="11"/>
  <c r="FT36" i="11"/>
  <c r="FT35" i="11"/>
  <c r="FT34" i="11"/>
  <c r="FT32" i="11"/>
  <c r="FT31" i="11"/>
  <c r="FT30" i="11"/>
  <c r="FT29" i="11"/>
  <c r="FT28" i="11"/>
  <c r="FT21" i="11"/>
  <c r="FT20" i="11"/>
  <c r="FT19" i="11"/>
  <c r="FT18" i="11"/>
  <c r="FT17" i="11"/>
  <c r="FT16" i="11"/>
  <c r="FT15" i="11"/>
  <c r="FT78" i="11"/>
  <c r="V78" i="11" l="1"/>
  <c r="BA286" i="11" l="1"/>
  <c r="BA280" i="11"/>
  <c r="BA284" i="11"/>
  <c r="BA281" i="11"/>
  <c r="BA282" i="11"/>
  <c r="BA283" i="11"/>
  <c r="BA279" i="11"/>
  <c r="BA278" i="11"/>
  <c r="BA271" i="11"/>
  <c r="BA270" i="11"/>
  <c r="BA266" i="11"/>
  <c r="BA265" i="11"/>
  <c r="BA260" i="11"/>
  <c r="BA259" i="11"/>
  <c r="BA258" i="11"/>
  <c r="BA257" i="11"/>
  <c r="BA256" i="11"/>
  <c r="BA255" i="11"/>
  <c r="BA254" i="11"/>
  <c r="BA249" i="11"/>
  <c r="BA248" i="11"/>
  <c r="BA240" i="11"/>
  <c r="BA238" i="11"/>
  <c r="BA237" i="11"/>
  <c r="BA236" i="11"/>
  <c r="BA235" i="11"/>
  <c r="BA228" i="11"/>
  <c r="BA226" i="11"/>
  <c r="BA225" i="11"/>
  <c r="BA223" i="11"/>
  <c r="BA221" i="11"/>
  <c r="BA220" i="11"/>
  <c r="BA218" i="11"/>
  <c r="BA217" i="11"/>
  <c r="BA215" i="11"/>
  <c r="BA214" i="11"/>
  <c r="BA212" i="11"/>
  <c r="BA210" i="11"/>
  <c r="BA209" i="11"/>
  <c r="BA205" i="11"/>
  <c r="BA204" i="11"/>
  <c r="BA201" i="11"/>
  <c r="BA200" i="11"/>
  <c r="BA197" i="11"/>
  <c r="BA198" i="11"/>
  <c r="BA195" i="11"/>
  <c r="BA196" i="11"/>
  <c r="BA186" i="11"/>
  <c r="BA189" i="11"/>
  <c r="BA188" i="11"/>
  <c r="BA187" i="11"/>
  <c r="BA184" i="11"/>
  <c r="BA182" i="11"/>
  <c r="BA180" i="11"/>
  <c r="BA179" i="11"/>
  <c r="BA172" i="11"/>
  <c r="BA175" i="11"/>
  <c r="BA174" i="11"/>
  <c r="BA173" i="11"/>
  <c r="BA176" i="11"/>
  <c r="BA177" i="11"/>
  <c r="BA171" i="11"/>
  <c r="BA167" i="11"/>
  <c r="BA162" i="11"/>
  <c r="BA161" i="11"/>
  <c r="BA159" i="11"/>
  <c r="BA157" i="11"/>
  <c r="BA155" i="11"/>
  <c r="BA154" i="11"/>
  <c r="BA153" i="11"/>
  <c r="BA152" i="11"/>
  <c r="BA150" i="11"/>
  <c r="BA143" i="11"/>
  <c r="BA130" i="11"/>
  <c r="BA110" i="11"/>
  <c r="BA107" i="11"/>
  <c r="BA78" i="11"/>
  <c r="BA76" i="11"/>
  <c r="BA75" i="11"/>
  <c r="BA69" i="11"/>
  <c r="BA73" i="11"/>
  <c r="BA72" i="11"/>
  <c r="BA68" i="11"/>
  <c r="BA67" i="11"/>
  <c r="BA70" i="11"/>
  <c r="BA71" i="11"/>
  <c r="BA66" i="11"/>
  <c r="BA61" i="11"/>
  <c r="BA60" i="11"/>
  <c r="BA59" i="11"/>
  <c r="BA58" i="11"/>
  <c r="BA57" i="11"/>
  <c r="BA56" i="11"/>
  <c r="BA54" i="11"/>
  <c r="BA52" i="11"/>
  <c r="BA50" i="11"/>
  <c r="BA48" i="11"/>
  <c r="BA47" i="11"/>
  <c r="BA4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2" i="11"/>
  <c r="BA31" i="11"/>
  <c r="BA30" i="11"/>
  <c r="BA29" i="11"/>
  <c r="BA28" i="11"/>
  <c r="BA26" i="11"/>
  <c r="BA25" i="11"/>
  <c r="BA24" i="11"/>
  <c r="BA23" i="11"/>
  <c r="BA21" i="11"/>
  <c r="BA20" i="11"/>
  <c r="BA19" i="11"/>
  <c r="BA18" i="11"/>
  <c r="BA17" i="11"/>
  <c r="BA16" i="11"/>
  <c r="BA15" i="11"/>
  <c r="DF286" i="11"/>
  <c r="DF280" i="11"/>
  <c r="DF284" i="11"/>
  <c r="DF281" i="11"/>
  <c r="DF282" i="11"/>
  <c r="DF283" i="11"/>
  <c r="DF279" i="11"/>
  <c r="DF278" i="11"/>
  <c r="DF271" i="11"/>
  <c r="DF270" i="11"/>
  <c r="DF266" i="11"/>
  <c r="DF265" i="11"/>
  <c r="DF260" i="11"/>
  <c r="DF259" i="11"/>
  <c r="DF258" i="11"/>
  <c r="DF257" i="11"/>
  <c r="DF256" i="11"/>
  <c r="DF255" i="11"/>
  <c r="DF254" i="11"/>
  <c r="DF249" i="11"/>
  <c r="DF248" i="11"/>
  <c r="DF240" i="11"/>
  <c r="DF238" i="11"/>
  <c r="DF237" i="11"/>
  <c r="DF236" i="11"/>
  <c r="DF235" i="11"/>
  <c r="DF226" i="11"/>
  <c r="DF225" i="11"/>
  <c r="DF223" i="11"/>
  <c r="DF221" i="11"/>
  <c r="DF220" i="11"/>
  <c r="DF218" i="11"/>
  <c r="DF217" i="11"/>
  <c r="DF215" i="11"/>
  <c r="DF214" i="11"/>
  <c r="DF212" i="11"/>
  <c r="DF210" i="11"/>
  <c r="DF209" i="11"/>
  <c r="DF205" i="11"/>
  <c r="DF204" i="11"/>
  <c r="DF201" i="11"/>
  <c r="DF200" i="11"/>
  <c r="DF197" i="11"/>
  <c r="DF198" i="11"/>
  <c r="DF195" i="11"/>
  <c r="DF196" i="11"/>
  <c r="DF186" i="11"/>
  <c r="DF189" i="11"/>
  <c r="DF188" i="11"/>
  <c r="DF187" i="11"/>
  <c r="DF184" i="11"/>
  <c r="DF182" i="11"/>
  <c r="DF180" i="11"/>
  <c r="DF179" i="11"/>
  <c r="DF172" i="11"/>
  <c r="DF175" i="11"/>
  <c r="DF174" i="11"/>
  <c r="DF173" i="11"/>
  <c r="DF176" i="11"/>
  <c r="DF177" i="11"/>
  <c r="DF171" i="11"/>
  <c r="DF167" i="11"/>
  <c r="DF162" i="11"/>
  <c r="DF161" i="11"/>
  <c r="DF159" i="11"/>
  <c r="DF157" i="11"/>
  <c r="DF155" i="11"/>
  <c r="DF154" i="11"/>
  <c r="DF153" i="11"/>
  <c r="DF152" i="11"/>
  <c r="DF150" i="11"/>
  <c r="DF143" i="11"/>
  <c r="DF130" i="11"/>
  <c r="DF110" i="11"/>
  <c r="DF107" i="11"/>
  <c r="DF78" i="11"/>
  <c r="DF76" i="11"/>
  <c r="DF75" i="11"/>
  <c r="DF69" i="11"/>
  <c r="DF73" i="11"/>
  <c r="DF72" i="11"/>
  <c r="DF68" i="11"/>
  <c r="DF67" i="11"/>
  <c r="DF70" i="11"/>
  <c r="DF71" i="11"/>
  <c r="DF66" i="11"/>
  <c r="DF61" i="11"/>
  <c r="DF60" i="11"/>
  <c r="DF59" i="11"/>
  <c r="DF58" i="11"/>
  <c r="DF57" i="11"/>
  <c r="DF56" i="11"/>
  <c r="DF54" i="11"/>
  <c r="DF52" i="11"/>
  <c r="DF50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2" i="11"/>
  <c r="DF31" i="11"/>
  <c r="DF30" i="11"/>
  <c r="DF29" i="11"/>
  <c r="DF28" i="11"/>
  <c r="DF26" i="11"/>
  <c r="DF25" i="11"/>
  <c r="DF24" i="11"/>
  <c r="DF23" i="11"/>
  <c r="DF21" i="11"/>
  <c r="DF20" i="11"/>
  <c r="DF19" i="11"/>
  <c r="DF18" i="11"/>
  <c r="DF17" i="11"/>
  <c r="DF16" i="11"/>
  <c r="DF15" i="11"/>
  <c r="AC110" i="11"/>
  <c r="AC78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2" i="11"/>
  <c r="AC31" i="11"/>
  <c r="AC30" i="11"/>
  <c r="AC29" i="11"/>
  <c r="AC28" i="11"/>
  <c r="EK182" i="11"/>
  <c r="EK48" i="11"/>
  <c r="EK47" i="11"/>
  <c r="EK46" i="11"/>
  <c r="EK45" i="11"/>
  <c r="EK44" i="11"/>
  <c r="EK43" i="11"/>
  <c r="EK42" i="11"/>
  <c r="EK41" i="11"/>
  <c r="EK40" i="11"/>
  <c r="EK39" i="11"/>
  <c r="EK38" i="11"/>
  <c r="EK37" i="11"/>
  <c r="EK36" i="11"/>
  <c r="EK35" i="11"/>
  <c r="EK34" i="11"/>
  <c r="EK32" i="11"/>
  <c r="EK31" i="11"/>
  <c r="EK30" i="11"/>
  <c r="EK29" i="11"/>
  <c r="EK28" i="11"/>
  <c r="EK78" i="11"/>
  <c r="BB107" i="11"/>
  <c r="BB78" i="11"/>
  <c r="AA78" i="11"/>
  <c r="Z78" i="11"/>
  <c r="AB78" i="11"/>
  <c r="Y78" i="11"/>
  <c r="R78" i="11" l="1"/>
  <c r="X78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2" i="11"/>
  <c r="X31" i="11"/>
  <c r="X30" i="11"/>
  <c r="X29" i="11"/>
  <c r="X28" i="11"/>
  <c r="CJ286" i="11"/>
  <c r="CJ280" i="11"/>
  <c r="CJ284" i="11"/>
  <c r="CJ281" i="11"/>
  <c r="CJ282" i="11"/>
  <c r="CJ283" i="11"/>
  <c r="CJ279" i="11"/>
  <c r="CJ278" i="11"/>
  <c r="CJ271" i="11"/>
  <c r="CJ270" i="11"/>
  <c r="CJ266" i="11"/>
  <c r="CJ265" i="11"/>
  <c r="CJ260" i="11"/>
  <c r="CJ259" i="11"/>
  <c r="CJ258" i="11"/>
  <c r="CJ257" i="11"/>
  <c r="CJ256" i="11"/>
  <c r="CJ255" i="11"/>
  <c r="CJ254" i="11"/>
  <c r="CJ249" i="11"/>
  <c r="CJ248" i="11"/>
  <c r="CJ240" i="11"/>
  <c r="CJ238" i="11"/>
  <c r="CJ237" i="11"/>
  <c r="CJ236" i="11"/>
  <c r="CJ235" i="11"/>
  <c r="CJ228" i="11"/>
  <c r="CJ226" i="11"/>
  <c r="CJ225" i="11"/>
  <c r="CJ223" i="11"/>
  <c r="CJ221" i="11"/>
  <c r="CJ220" i="11"/>
  <c r="CJ218" i="11"/>
  <c r="CJ217" i="11"/>
  <c r="CJ215" i="11"/>
  <c r="CJ214" i="11"/>
  <c r="CJ212" i="11"/>
  <c r="CJ210" i="11"/>
  <c r="CJ209" i="11"/>
  <c r="CJ205" i="11"/>
  <c r="CJ204" i="11"/>
  <c r="CJ201" i="11"/>
  <c r="CJ200" i="11"/>
  <c r="CJ197" i="11"/>
  <c r="CJ198" i="11"/>
  <c r="CJ195" i="11"/>
  <c r="CJ196" i="11"/>
  <c r="CJ186" i="11"/>
  <c r="CJ189" i="11"/>
  <c r="CJ188" i="11"/>
  <c r="CJ187" i="11"/>
  <c r="CJ184" i="11"/>
  <c r="CJ182" i="11"/>
  <c r="CJ180" i="11"/>
  <c r="CJ179" i="11"/>
  <c r="CJ172" i="11"/>
  <c r="CJ175" i="11"/>
  <c r="CJ174" i="11"/>
  <c r="CJ173" i="11"/>
  <c r="CJ176" i="11"/>
  <c r="CJ177" i="11"/>
  <c r="CJ171" i="11"/>
  <c r="CJ167" i="11"/>
  <c r="CJ162" i="11"/>
  <c r="CJ161" i="11"/>
  <c r="CJ159" i="11"/>
  <c r="CJ157" i="11"/>
  <c r="CJ155" i="11"/>
  <c r="CJ154" i="11"/>
  <c r="CJ153" i="11"/>
  <c r="CJ152" i="11"/>
  <c r="CJ150" i="11"/>
  <c r="CJ143" i="11"/>
  <c r="CJ130" i="11"/>
  <c r="CJ110" i="11"/>
  <c r="CJ107" i="11"/>
  <c r="CJ78" i="11"/>
  <c r="CJ76" i="11"/>
  <c r="CJ75" i="11"/>
  <c r="CJ69" i="11"/>
  <c r="CJ73" i="11"/>
  <c r="CJ72" i="11"/>
  <c r="CJ68" i="11"/>
  <c r="CJ67" i="11"/>
  <c r="CJ70" i="11"/>
  <c r="CJ71" i="11"/>
  <c r="CJ66" i="11"/>
  <c r="CJ61" i="11"/>
  <c r="CJ60" i="11"/>
  <c r="CJ59" i="11"/>
  <c r="CJ58" i="11"/>
  <c r="CJ57" i="11"/>
  <c r="CJ56" i="11"/>
  <c r="CJ54" i="11"/>
  <c r="CJ52" i="11"/>
  <c r="CJ50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2" i="11"/>
  <c r="CJ31" i="11"/>
  <c r="CJ30" i="11"/>
  <c r="CJ29" i="11"/>
  <c r="CJ28" i="11"/>
  <c r="CJ26" i="11"/>
  <c r="CJ25" i="11"/>
  <c r="CJ24" i="11"/>
  <c r="CJ23" i="11"/>
  <c r="CJ21" i="11"/>
  <c r="CJ20" i="11"/>
  <c r="CJ19" i="11"/>
  <c r="CJ18" i="11"/>
  <c r="CJ17" i="11"/>
  <c r="CJ16" i="11"/>
  <c r="CJ15" i="11"/>
  <c r="IP286" i="11"/>
  <c r="IP260" i="11"/>
  <c r="IP259" i="11"/>
  <c r="IP258" i="11"/>
  <c r="IP257" i="11"/>
  <c r="IP256" i="11"/>
  <c r="IP255" i="11"/>
  <c r="IP254" i="11"/>
  <c r="IP240" i="11"/>
  <c r="IP215" i="11"/>
  <c r="IP214" i="11"/>
  <c r="IP212" i="11"/>
  <c r="IP210" i="11"/>
  <c r="IP209" i="11"/>
  <c r="IP205" i="11"/>
  <c r="IP204" i="11"/>
  <c r="IP201" i="11"/>
  <c r="IP200" i="11"/>
  <c r="IP184" i="11"/>
  <c r="IP182" i="11"/>
  <c r="IP162" i="11"/>
  <c r="IP161" i="11"/>
  <c r="IP159" i="11"/>
  <c r="IP157" i="11"/>
  <c r="IP130" i="11"/>
  <c r="IP110" i="11"/>
  <c r="IP78" i="11"/>
  <c r="IP61" i="11"/>
  <c r="IP60" i="11"/>
  <c r="IP59" i="11"/>
  <c r="IP58" i="11"/>
  <c r="IP57" i="11"/>
  <c r="IP56" i="11"/>
  <c r="IP48" i="11"/>
  <c r="IP47" i="11"/>
  <c r="IP46" i="11"/>
  <c r="IP45" i="11"/>
  <c r="IP44" i="11"/>
  <c r="IP43" i="11"/>
  <c r="IP42" i="11"/>
  <c r="IP41" i="11"/>
  <c r="IP40" i="11"/>
  <c r="IP39" i="11"/>
  <c r="IP38" i="11"/>
  <c r="IP37" i="11"/>
  <c r="IP36" i="11"/>
  <c r="IP35" i="11"/>
  <c r="IP34" i="11"/>
  <c r="IP32" i="11"/>
  <c r="IP31" i="11"/>
  <c r="IP30" i="11"/>
  <c r="IP29" i="11"/>
  <c r="IP28" i="11"/>
  <c r="LP78" i="11"/>
  <c r="EA260" i="11"/>
  <c r="EA259" i="11"/>
  <c r="EA258" i="11"/>
  <c r="EA257" i="11"/>
  <c r="EA256" i="11"/>
  <c r="EA255" i="11"/>
  <c r="EA254" i="11"/>
  <c r="EA215" i="11"/>
  <c r="EA214" i="11"/>
  <c r="EA212" i="11"/>
  <c r="EA210" i="11"/>
  <c r="EA209" i="11"/>
  <c r="EA205" i="11"/>
  <c r="EA204" i="11"/>
  <c r="EA184" i="11"/>
  <c r="EA110" i="11"/>
  <c r="EA78" i="11"/>
  <c r="EA48" i="11"/>
  <c r="EA47" i="11"/>
  <c r="EA46" i="11"/>
  <c r="EA45" i="11"/>
  <c r="EA44" i="11"/>
  <c r="EA43" i="11"/>
  <c r="EA42" i="11"/>
  <c r="EA41" i="11"/>
  <c r="EA40" i="11"/>
  <c r="EA39" i="11"/>
  <c r="EA38" i="11"/>
  <c r="EA37" i="11"/>
  <c r="EA36" i="11"/>
  <c r="EA35" i="11"/>
  <c r="EA34" i="11"/>
  <c r="EA32" i="11"/>
  <c r="EA31" i="11"/>
  <c r="EA30" i="11"/>
  <c r="EA29" i="11"/>
  <c r="EA28" i="11"/>
  <c r="T110" i="11"/>
  <c r="T78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2" i="11"/>
  <c r="T31" i="11"/>
  <c r="T30" i="11"/>
  <c r="T29" i="11"/>
  <c r="T28" i="11"/>
  <c r="JB223" i="11"/>
  <c r="JB221" i="11"/>
  <c r="JB220" i="11"/>
  <c r="JB110" i="11"/>
  <c r="JB78" i="11"/>
  <c r="JB21" i="11"/>
  <c r="JB20" i="11"/>
  <c r="JB19" i="11"/>
  <c r="JB18" i="11"/>
  <c r="JB17" i="11"/>
  <c r="JB16" i="11"/>
  <c r="JB15" i="11"/>
  <c r="JW78" i="11"/>
  <c r="FU286" i="11"/>
  <c r="FU271" i="11"/>
  <c r="FU270" i="11"/>
  <c r="FU260" i="11"/>
  <c r="FU259" i="11"/>
  <c r="FU258" i="11"/>
  <c r="FU257" i="11"/>
  <c r="FU256" i="11"/>
  <c r="FU255" i="11"/>
  <c r="FU254" i="11"/>
  <c r="FU249" i="11"/>
  <c r="FU248" i="11"/>
  <c r="FU240" i="11"/>
  <c r="FU223" i="11"/>
  <c r="FU221" i="11"/>
  <c r="FU220" i="11"/>
  <c r="FU215" i="11"/>
  <c r="FU214" i="11"/>
  <c r="FU212" i="11"/>
  <c r="FU210" i="11"/>
  <c r="FU209" i="11"/>
  <c r="FU205" i="11"/>
  <c r="FU204" i="11"/>
  <c r="FU201" i="11"/>
  <c r="FU200" i="11"/>
  <c r="FU184" i="11"/>
  <c r="FU182" i="11"/>
  <c r="FU180" i="11"/>
  <c r="FU179" i="11"/>
  <c r="FU162" i="11"/>
  <c r="FU161" i="11"/>
  <c r="FU159" i="11"/>
  <c r="FU157" i="11"/>
  <c r="FU155" i="11"/>
  <c r="FU154" i="11"/>
  <c r="FU153" i="11"/>
  <c r="FU152" i="11"/>
  <c r="FU110" i="11"/>
  <c r="FU78" i="11"/>
  <c r="FU76" i="11"/>
  <c r="FU75" i="11"/>
  <c r="FU61" i="11"/>
  <c r="FU60" i="11"/>
  <c r="FU59" i="11"/>
  <c r="FU58" i="11"/>
  <c r="FU57" i="11"/>
  <c r="FU56" i="11"/>
  <c r="FU48" i="11"/>
  <c r="FU47" i="11"/>
  <c r="FU46" i="11"/>
  <c r="FU45" i="11"/>
  <c r="FU44" i="11"/>
  <c r="FU43" i="11"/>
  <c r="FU42" i="11"/>
  <c r="FU41" i="11"/>
  <c r="FU40" i="11"/>
  <c r="FU39" i="11"/>
  <c r="FU38" i="11"/>
  <c r="FU37" i="11"/>
  <c r="FU36" i="11"/>
  <c r="FU35" i="11"/>
  <c r="FU34" i="11"/>
  <c r="FU32" i="11"/>
  <c r="FU31" i="11"/>
  <c r="FU30" i="11"/>
  <c r="FU29" i="11"/>
  <c r="FU28" i="11"/>
  <c r="FU21" i="11"/>
  <c r="FU20" i="11"/>
  <c r="FU19" i="11"/>
  <c r="FU18" i="11"/>
  <c r="FU17" i="11"/>
  <c r="FU16" i="11"/>
  <c r="FU15" i="11"/>
  <c r="FO286" i="11" l="1"/>
  <c r="FO271" i="11"/>
  <c r="FO270" i="11"/>
  <c r="FO260" i="11"/>
  <c r="FO259" i="11"/>
  <c r="FO258" i="11"/>
  <c r="FO257" i="11"/>
  <c r="FO256" i="11"/>
  <c r="FO255" i="11"/>
  <c r="FO254" i="11"/>
  <c r="FO249" i="11"/>
  <c r="FO248" i="11"/>
  <c r="FO240" i="11"/>
  <c r="FO223" i="11"/>
  <c r="FO221" i="11"/>
  <c r="FO220" i="11"/>
  <c r="FO215" i="11"/>
  <c r="FO214" i="11"/>
  <c r="FO212" i="11"/>
  <c r="FO210" i="11"/>
  <c r="FO209" i="11"/>
  <c r="FO205" i="11"/>
  <c r="FO204" i="11"/>
  <c r="FO201" i="11"/>
  <c r="FO200" i="11"/>
  <c r="FO184" i="11"/>
  <c r="FO182" i="11"/>
  <c r="FO180" i="11"/>
  <c r="FO179" i="11"/>
  <c r="FO162" i="11"/>
  <c r="FO161" i="11"/>
  <c r="FO159" i="11"/>
  <c r="FO157" i="11"/>
  <c r="FO155" i="11"/>
  <c r="FO154" i="11"/>
  <c r="FO153" i="11"/>
  <c r="FO152" i="11"/>
  <c r="FO110" i="11"/>
  <c r="FO78" i="11"/>
  <c r="FO76" i="11"/>
  <c r="FO75" i="11"/>
  <c r="FO61" i="11"/>
  <c r="FO60" i="11"/>
  <c r="FO59" i="11"/>
  <c r="FO58" i="11"/>
  <c r="FO57" i="11"/>
  <c r="FO56" i="11"/>
  <c r="FO48" i="11"/>
  <c r="FO47" i="11"/>
  <c r="FO46" i="11"/>
  <c r="FO45" i="11"/>
  <c r="FO44" i="11"/>
  <c r="FO43" i="11"/>
  <c r="FO42" i="11"/>
  <c r="FO41" i="11"/>
  <c r="FO40" i="11"/>
  <c r="FO39" i="11"/>
  <c r="FO38" i="11"/>
  <c r="FO37" i="11"/>
  <c r="FO36" i="11"/>
  <c r="FO35" i="11"/>
  <c r="FO34" i="11"/>
  <c r="FO32" i="11"/>
  <c r="FO31" i="11"/>
  <c r="FO30" i="11"/>
  <c r="FO29" i="11"/>
  <c r="FO28" i="11"/>
  <c r="FO21" i="11"/>
  <c r="FO20" i="11"/>
  <c r="FO19" i="11"/>
  <c r="FO18" i="11"/>
  <c r="FO17" i="11"/>
  <c r="FO16" i="11"/>
  <c r="FO15" i="11"/>
  <c r="FP110" i="11"/>
  <c r="FP78" i="11"/>
  <c r="FP48" i="11"/>
  <c r="FP47" i="11"/>
  <c r="FP46" i="11"/>
  <c r="FP45" i="11"/>
  <c r="FP44" i="11"/>
  <c r="FP43" i="11"/>
  <c r="FP42" i="11"/>
  <c r="FP41" i="11"/>
  <c r="FP40" i="11"/>
  <c r="FP39" i="11"/>
  <c r="FP38" i="11"/>
  <c r="FP37" i="11"/>
  <c r="FP36" i="11"/>
  <c r="FP35" i="11"/>
  <c r="FP34" i="11"/>
  <c r="FP32" i="11"/>
  <c r="FP31" i="11"/>
  <c r="FP30" i="11"/>
  <c r="FP29" i="11"/>
  <c r="FP28" i="11"/>
  <c r="DU260" i="11"/>
  <c r="DU259" i="11"/>
  <c r="DU258" i="11"/>
  <c r="DU257" i="11"/>
  <c r="DU256" i="11"/>
  <c r="DU255" i="11"/>
  <c r="DU254" i="11"/>
  <c r="DU240" i="11"/>
  <c r="DU215" i="11"/>
  <c r="DU214" i="11"/>
  <c r="DU212" i="11"/>
  <c r="DU210" i="11"/>
  <c r="DU209" i="11"/>
  <c r="DU205" i="11"/>
  <c r="DU204" i="11"/>
  <c r="DU201" i="11"/>
  <c r="DU200" i="11"/>
  <c r="DU186" i="11"/>
  <c r="DU189" i="11"/>
  <c r="DU188" i="11"/>
  <c r="DU187" i="11"/>
  <c r="DU184" i="11"/>
  <c r="DU182" i="11"/>
  <c r="DU130" i="11"/>
  <c r="DU110" i="11"/>
  <c r="DU76" i="11"/>
  <c r="DU75" i="11"/>
  <c r="DU69" i="11"/>
  <c r="DU73" i="11"/>
  <c r="DU72" i="11"/>
  <c r="DU68" i="11"/>
  <c r="DU67" i="11"/>
  <c r="DU70" i="11"/>
  <c r="DU71" i="11"/>
  <c r="DU66" i="11"/>
  <c r="DU61" i="11"/>
  <c r="DU60" i="11"/>
  <c r="DU59" i="11"/>
  <c r="DU58" i="11"/>
  <c r="DU57" i="11"/>
  <c r="DU56" i="11"/>
  <c r="DU223" i="11"/>
  <c r="DU221" i="11"/>
  <c r="DU220" i="11"/>
  <c r="DU155" i="11"/>
  <c r="DU154" i="11"/>
  <c r="DU153" i="11"/>
  <c r="DU152" i="11"/>
  <c r="DU54" i="11"/>
  <c r="DU52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2" i="11"/>
  <c r="DU31" i="11"/>
  <c r="DU30" i="11"/>
  <c r="DU29" i="11"/>
  <c r="DU28" i="11"/>
  <c r="S78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2" i="11"/>
  <c r="S31" i="11"/>
  <c r="S30" i="11"/>
  <c r="S29" i="11"/>
  <c r="S28" i="11"/>
  <c r="Q78" i="11" l="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2" i="11"/>
  <c r="Q31" i="11"/>
  <c r="Q30" i="11"/>
  <c r="Q29" i="11"/>
  <c r="Q28" i="11"/>
  <c r="W78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2" i="11"/>
  <c r="W31" i="11"/>
  <c r="W30" i="11"/>
  <c r="W29" i="11"/>
  <c r="W28" i="11"/>
  <c r="GG215" i="11" l="1"/>
  <c r="GG214" i="11"/>
  <c r="GG212" i="11"/>
  <c r="GG210" i="11"/>
  <c r="GG209" i="11"/>
  <c r="GG205" i="11"/>
  <c r="GG204" i="11"/>
  <c r="GG78" i="11"/>
  <c r="FM286" i="11"/>
  <c r="FM271" i="11"/>
  <c r="FM270" i="11"/>
  <c r="FM260" i="11"/>
  <c r="FM259" i="11"/>
  <c r="FM258" i="11"/>
  <c r="FM257" i="11"/>
  <c r="FM256" i="11"/>
  <c r="FM255" i="11"/>
  <c r="FM254" i="11"/>
  <c r="FM240" i="11"/>
  <c r="FM223" i="11"/>
  <c r="FM221" i="11"/>
  <c r="FM220" i="11"/>
  <c r="FM215" i="11"/>
  <c r="FM214" i="11"/>
  <c r="FM212" i="11"/>
  <c r="FM210" i="11"/>
  <c r="FM209" i="11"/>
  <c r="FM205" i="11"/>
  <c r="FM204" i="11"/>
  <c r="FM201" i="11"/>
  <c r="FM200" i="11"/>
  <c r="FM184" i="11"/>
  <c r="FM162" i="11"/>
  <c r="FM161" i="11"/>
  <c r="FM159" i="11"/>
  <c r="FM157" i="11"/>
  <c r="FM155" i="11"/>
  <c r="FM154" i="11"/>
  <c r="FM153" i="11"/>
  <c r="FM152" i="11"/>
  <c r="FM110" i="11"/>
  <c r="FM182" i="11"/>
  <c r="FM78" i="11"/>
  <c r="FM48" i="11"/>
  <c r="FM47" i="11"/>
  <c r="FM46" i="11"/>
  <c r="FM45" i="11"/>
  <c r="FM44" i="11"/>
  <c r="FM43" i="11"/>
  <c r="FM42" i="11"/>
  <c r="FM41" i="11"/>
  <c r="FM40" i="11"/>
  <c r="FM39" i="11"/>
  <c r="FM38" i="11"/>
  <c r="FM37" i="11"/>
  <c r="FM36" i="11"/>
  <c r="FM35" i="11"/>
  <c r="FM34" i="11"/>
  <c r="FM32" i="11"/>
  <c r="FM31" i="11"/>
  <c r="FM30" i="11"/>
  <c r="FM29" i="11"/>
  <c r="FM28" i="11"/>
  <c r="FM21" i="11"/>
  <c r="FM20" i="11"/>
  <c r="FM19" i="11"/>
  <c r="FM18" i="11"/>
  <c r="FM17" i="11"/>
  <c r="FM16" i="11"/>
  <c r="FM15" i="11"/>
  <c r="FV286" i="11"/>
  <c r="FV271" i="11"/>
  <c r="FV270" i="11"/>
  <c r="FV260" i="11"/>
  <c r="FV259" i="11"/>
  <c r="FV258" i="11"/>
  <c r="FV257" i="11"/>
  <c r="FV256" i="11"/>
  <c r="FV255" i="11"/>
  <c r="FV254" i="11"/>
  <c r="FV249" i="11"/>
  <c r="FV248" i="11"/>
  <c r="FV240" i="11"/>
  <c r="FV223" i="11"/>
  <c r="FV221" i="11"/>
  <c r="FV220" i="11"/>
  <c r="FV215" i="11"/>
  <c r="FV214" i="11"/>
  <c r="FV212" i="11"/>
  <c r="FV210" i="11"/>
  <c r="FV209" i="11"/>
  <c r="FV205" i="11"/>
  <c r="FV204" i="11"/>
  <c r="FV201" i="11"/>
  <c r="FV200" i="11"/>
  <c r="FV184" i="11"/>
  <c r="FV182" i="11"/>
  <c r="FV180" i="11"/>
  <c r="FV179" i="11"/>
  <c r="FV162" i="11"/>
  <c r="FV161" i="11"/>
  <c r="FV159" i="11"/>
  <c r="FV157" i="11"/>
  <c r="FV155" i="11"/>
  <c r="FV154" i="11"/>
  <c r="FV153" i="11"/>
  <c r="FV152" i="11"/>
  <c r="FV110" i="11"/>
  <c r="FV76" i="11"/>
  <c r="FV75" i="11"/>
  <c r="FV61" i="11"/>
  <c r="FV60" i="11"/>
  <c r="FV59" i="11"/>
  <c r="FV58" i="11"/>
  <c r="FV57" i="11"/>
  <c r="FV56" i="11"/>
  <c r="FV48" i="11"/>
  <c r="FV47" i="11"/>
  <c r="FV46" i="11"/>
  <c r="FV45" i="11"/>
  <c r="FV44" i="11"/>
  <c r="FV43" i="11"/>
  <c r="FV42" i="11"/>
  <c r="FV41" i="11"/>
  <c r="FV40" i="11"/>
  <c r="FV39" i="11"/>
  <c r="FV38" i="11"/>
  <c r="FV37" i="11"/>
  <c r="FV36" i="11"/>
  <c r="FV35" i="11"/>
  <c r="FV34" i="11"/>
  <c r="FV32" i="11"/>
  <c r="FV31" i="11"/>
  <c r="FV30" i="11"/>
  <c r="FV29" i="11"/>
  <c r="FV28" i="11"/>
  <c r="FV21" i="11"/>
  <c r="FV20" i="11"/>
  <c r="FV19" i="11"/>
  <c r="FV18" i="11"/>
  <c r="FV17" i="11"/>
  <c r="FV16" i="11"/>
  <c r="FV15" i="11"/>
  <c r="FV78" i="11"/>
  <c r="GF260" i="11"/>
  <c r="GF259" i="11"/>
  <c r="GF258" i="11"/>
  <c r="GF257" i="11"/>
  <c r="GF256" i="11"/>
  <c r="GF255" i="11"/>
  <c r="GF254" i="11"/>
  <c r="GF215" i="11"/>
  <c r="GF214" i="11"/>
  <c r="GF212" i="11"/>
  <c r="GF210" i="11"/>
  <c r="GF209" i="11"/>
  <c r="GF205" i="11"/>
  <c r="GF204" i="11"/>
  <c r="GF78" i="11"/>
  <c r="GM260" i="11"/>
  <c r="GM259" i="11"/>
  <c r="GM258" i="11"/>
  <c r="GM257" i="11"/>
  <c r="GM256" i="11"/>
  <c r="GM255" i="11"/>
  <c r="GM254" i="11"/>
  <c r="GM215" i="11"/>
  <c r="GM214" i="11"/>
  <c r="GM212" i="11"/>
  <c r="GM210" i="11"/>
  <c r="GM209" i="11"/>
  <c r="GM205" i="11"/>
  <c r="GM204" i="11"/>
  <c r="GM78" i="11"/>
  <c r="GD260" i="11"/>
  <c r="GD259" i="11"/>
  <c r="GD258" i="11"/>
  <c r="GD257" i="11"/>
  <c r="GD256" i="11"/>
  <c r="GD255" i="11"/>
  <c r="GD254" i="11"/>
  <c r="GD215" i="11"/>
  <c r="GD214" i="11"/>
  <c r="GD212" i="11"/>
  <c r="GD210" i="11"/>
  <c r="GD209" i="11"/>
  <c r="GD205" i="11"/>
  <c r="GD204" i="11"/>
  <c r="GD78" i="11"/>
  <c r="GB260" i="11"/>
  <c r="GB259" i="11"/>
  <c r="GB258" i="11"/>
  <c r="GB257" i="11"/>
  <c r="GB256" i="11"/>
  <c r="GB255" i="11"/>
  <c r="GB254" i="11"/>
  <c r="GB215" i="11"/>
  <c r="GB214" i="11"/>
  <c r="GB212" i="11"/>
  <c r="GB210" i="11"/>
  <c r="GB209" i="11"/>
  <c r="GB205" i="11"/>
  <c r="GB204" i="11"/>
  <c r="GB78" i="11"/>
  <c r="GA215" i="11"/>
  <c r="GA214" i="11"/>
  <c r="GA212" i="11"/>
  <c r="GA210" i="11"/>
  <c r="GA209" i="11"/>
  <c r="GA205" i="11"/>
  <c r="GA204" i="11"/>
  <c r="GA78" i="11"/>
  <c r="GA48" i="11"/>
  <c r="GA47" i="11"/>
  <c r="GA46" i="11"/>
  <c r="GA45" i="11"/>
  <c r="GA44" i="11"/>
  <c r="GA43" i="11"/>
  <c r="GA42" i="11"/>
  <c r="GA41" i="11"/>
  <c r="GA40" i="11"/>
  <c r="GA39" i="11"/>
  <c r="GA38" i="11"/>
  <c r="GA37" i="11"/>
  <c r="GA36" i="11"/>
  <c r="GA35" i="11"/>
  <c r="GA34" i="11"/>
  <c r="GA32" i="11"/>
  <c r="GA31" i="11"/>
  <c r="GA30" i="11"/>
  <c r="GA29" i="11"/>
  <c r="GA28" i="11"/>
  <c r="FZ215" i="11"/>
  <c r="FZ214" i="11"/>
  <c r="FZ212" i="11"/>
  <c r="FZ210" i="11"/>
  <c r="FZ209" i="11"/>
  <c r="FZ205" i="11"/>
  <c r="FZ204" i="11"/>
  <c r="FZ78" i="11"/>
  <c r="DH286" i="11" l="1"/>
  <c r="DH280" i="11"/>
  <c r="DH284" i="11"/>
  <c r="DH281" i="11"/>
  <c r="DH282" i="11"/>
  <c r="DH283" i="11"/>
  <c r="DH279" i="11"/>
  <c r="DH278" i="11"/>
  <c r="DH266" i="11"/>
  <c r="DH265" i="11"/>
  <c r="DH271" i="11"/>
  <c r="DH270" i="11"/>
  <c r="DH260" i="11"/>
  <c r="DH259" i="11"/>
  <c r="DH258" i="11"/>
  <c r="DH257" i="11"/>
  <c r="DH256" i="11"/>
  <c r="DH255" i="11"/>
  <c r="DH254" i="11"/>
  <c r="DH240" i="11"/>
  <c r="DH249" i="11"/>
  <c r="DH248" i="11"/>
  <c r="DH238" i="11"/>
  <c r="DH237" i="11"/>
  <c r="DH236" i="11"/>
  <c r="DH235" i="11"/>
  <c r="DH223" i="11"/>
  <c r="DH221" i="11"/>
  <c r="DH220" i="11"/>
  <c r="DH226" i="11"/>
  <c r="DH225" i="11"/>
  <c r="DH218" i="11"/>
  <c r="DH217" i="11"/>
  <c r="DH201" i="11"/>
  <c r="DH200" i="11"/>
  <c r="DH215" i="11"/>
  <c r="DH214" i="11"/>
  <c r="DH212" i="11"/>
  <c r="DH210" i="11"/>
  <c r="DH209" i="11"/>
  <c r="DH205" i="11"/>
  <c r="DH204" i="11"/>
  <c r="DH197" i="11"/>
  <c r="DH198" i="11"/>
  <c r="DH195" i="11"/>
  <c r="DH196" i="11"/>
  <c r="DH186" i="11"/>
  <c r="DH189" i="11"/>
  <c r="DH188" i="11"/>
  <c r="DH187" i="11"/>
  <c r="DH182" i="11"/>
  <c r="DH184" i="11"/>
  <c r="DH180" i="11"/>
  <c r="DH179" i="11"/>
  <c r="DH167" i="11"/>
  <c r="DH172" i="11"/>
  <c r="DH175" i="11"/>
  <c r="DH174" i="11"/>
  <c r="DH173" i="11"/>
  <c r="DH176" i="11"/>
  <c r="DH177" i="11"/>
  <c r="DH171" i="11"/>
  <c r="DH162" i="11"/>
  <c r="DH161" i="11"/>
  <c r="DH159" i="11"/>
  <c r="DH157" i="11"/>
  <c r="DH155" i="11"/>
  <c r="DH154" i="11"/>
  <c r="DH153" i="11"/>
  <c r="DH152" i="11"/>
  <c r="DH150" i="11"/>
  <c r="DH143" i="11"/>
  <c r="DH130" i="11"/>
  <c r="DH107" i="11"/>
  <c r="DH110" i="11"/>
  <c r="DH76" i="11"/>
  <c r="DH75" i="11"/>
  <c r="DH78" i="11"/>
  <c r="DH69" i="11"/>
  <c r="DH73" i="11"/>
  <c r="DH72" i="11"/>
  <c r="DH68" i="11"/>
  <c r="DH67" i="11"/>
  <c r="DH70" i="11"/>
  <c r="DH71" i="11"/>
  <c r="DH66" i="11"/>
  <c r="DH54" i="11"/>
  <c r="DH52" i="11"/>
  <c r="DH61" i="11"/>
  <c r="DH60" i="11"/>
  <c r="DH59" i="11"/>
  <c r="DH58" i="11"/>
  <c r="DH57" i="11"/>
  <c r="DH56" i="11"/>
  <c r="DH50" i="11"/>
  <c r="DH48" i="11"/>
  <c r="DH47" i="11"/>
  <c r="DH46" i="11"/>
  <c r="DH45" i="11"/>
  <c r="DH44" i="11"/>
  <c r="DH43" i="11"/>
  <c r="DH42" i="11"/>
  <c r="DH41" i="11"/>
  <c r="DH40" i="11"/>
  <c r="DH39" i="11"/>
  <c r="DH38" i="11"/>
  <c r="DH37" i="11"/>
  <c r="DH36" i="11"/>
  <c r="DH35" i="11"/>
  <c r="DH34" i="11"/>
  <c r="DH32" i="11"/>
  <c r="DH31" i="11"/>
  <c r="DH30" i="11"/>
  <c r="DH29" i="11"/>
  <c r="DH28" i="11"/>
  <c r="DH26" i="11"/>
  <c r="DH25" i="11"/>
  <c r="DH24" i="11"/>
  <c r="DH23" i="11"/>
  <c r="DH21" i="11"/>
  <c r="DH20" i="11"/>
  <c r="DH19" i="11"/>
  <c r="DH18" i="11"/>
  <c r="DH17" i="11"/>
  <c r="DH16" i="11"/>
  <c r="DH15" i="11"/>
  <c r="DG31" i="11"/>
  <c r="DG286" i="11"/>
  <c r="DG280" i="11"/>
  <c r="DG284" i="11"/>
  <c r="DG281" i="11"/>
  <c r="DG282" i="11"/>
  <c r="DG283" i="11"/>
  <c r="DG279" i="11"/>
  <c r="DG278" i="11"/>
  <c r="DG271" i="11"/>
  <c r="DG270" i="11"/>
  <c r="DG266" i="11"/>
  <c r="DG265" i="11"/>
  <c r="DG260" i="11"/>
  <c r="DG259" i="11"/>
  <c r="DG258" i="11"/>
  <c r="DG257" i="11"/>
  <c r="DG256" i="11"/>
  <c r="DG255" i="11"/>
  <c r="DG254" i="11"/>
  <c r="DG249" i="11"/>
  <c r="DG248" i="11"/>
  <c r="DG240" i="11"/>
  <c r="DG238" i="11"/>
  <c r="DG237" i="11"/>
  <c r="DG236" i="11"/>
  <c r="DG235" i="11"/>
  <c r="DG226" i="11"/>
  <c r="DG225" i="11"/>
  <c r="DG223" i="11"/>
  <c r="DG221" i="11"/>
  <c r="DG220" i="11"/>
  <c r="DG218" i="11"/>
  <c r="DG217" i="11"/>
  <c r="DG215" i="11"/>
  <c r="DG214" i="11"/>
  <c r="DG212" i="11"/>
  <c r="DG210" i="11"/>
  <c r="DG209" i="11"/>
  <c r="DG205" i="11"/>
  <c r="DG204" i="11"/>
  <c r="DG201" i="11"/>
  <c r="DG200" i="11"/>
  <c r="DG197" i="11"/>
  <c r="DG198" i="11"/>
  <c r="DG195" i="11"/>
  <c r="DG196" i="11"/>
  <c r="DG186" i="11"/>
  <c r="DG189" i="11"/>
  <c r="DG188" i="11"/>
  <c r="DG187" i="11"/>
  <c r="DG184" i="11"/>
  <c r="DG182" i="11"/>
  <c r="DG180" i="11"/>
  <c r="DG179" i="11"/>
  <c r="DG172" i="11"/>
  <c r="DG175" i="11"/>
  <c r="DG174" i="11"/>
  <c r="DG173" i="11"/>
  <c r="DG176" i="11"/>
  <c r="DG177" i="11"/>
  <c r="DG171" i="11"/>
  <c r="DG167" i="11"/>
  <c r="DG162" i="11"/>
  <c r="DG161" i="11"/>
  <c r="DG159" i="11"/>
  <c r="DG157" i="11"/>
  <c r="DG155" i="11"/>
  <c r="DG154" i="11"/>
  <c r="DG153" i="11"/>
  <c r="DG152" i="11"/>
  <c r="DG150" i="11"/>
  <c r="DG143" i="11"/>
  <c r="DG130" i="11"/>
  <c r="DG110" i="11"/>
  <c r="DG107" i="11"/>
  <c r="DG78" i="11"/>
  <c r="DG76" i="11"/>
  <c r="DG75" i="11"/>
  <c r="DG69" i="11"/>
  <c r="DG73" i="11"/>
  <c r="DG72" i="11"/>
  <c r="DG68" i="11"/>
  <c r="DG67" i="11"/>
  <c r="DG70" i="11"/>
  <c r="DG71" i="11"/>
  <c r="DG66" i="11"/>
  <c r="DG61" i="11"/>
  <c r="DG60" i="11"/>
  <c r="DG59" i="11"/>
  <c r="DG58" i="11"/>
  <c r="DG57" i="11"/>
  <c r="DG56" i="11"/>
  <c r="DG54" i="11"/>
  <c r="DG52" i="11"/>
  <c r="DG50" i="11"/>
  <c r="DG48" i="11"/>
  <c r="DG47" i="11"/>
  <c r="DG46" i="11"/>
  <c r="DG45" i="11"/>
  <c r="DG44" i="11"/>
  <c r="DG43" i="11"/>
  <c r="DG42" i="11"/>
  <c r="DG41" i="11"/>
  <c r="DG40" i="11"/>
  <c r="DG39" i="11"/>
  <c r="DG38" i="11"/>
  <c r="DG37" i="11"/>
  <c r="DG36" i="11"/>
  <c r="DG35" i="11"/>
  <c r="DG34" i="11"/>
  <c r="DG32" i="11"/>
  <c r="DG30" i="11"/>
  <c r="DG29" i="11"/>
  <c r="DG28" i="11"/>
  <c r="DG26" i="11"/>
  <c r="DG25" i="11"/>
  <c r="DG24" i="11"/>
  <c r="DG23" i="11"/>
  <c r="DG21" i="11"/>
  <c r="DG20" i="11"/>
  <c r="DG19" i="11"/>
  <c r="DG18" i="11"/>
  <c r="DG17" i="11"/>
  <c r="DG16" i="11"/>
  <c r="DG15" i="11"/>
  <c r="JD78" i="11"/>
  <c r="IX286" i="11"/>
  <c r="IX260" i="11"/>
  <c r="IX259" i="11"/>
  <c r="IX258" i="11"/>
  <c r="IX257" i="11"/>
  <c r="IX256" i="11"/>
  <c r="IX255" i="11"/>
  <c r="IX254" i="11"/>
  <c r="IX249" i="11"/>
  <c r="IX248" i="11"/>
  <c r="IX240" i="11"/>
  <c r="IX223" i="11"/>
  <c r="IX221" i="11"/>
  <c r="IX220" i="11"/>
  <c r="IX215" i="11"/>
  <c r="IX214" i="11"/>
  <c r="IX212" i="11"/>
  <c r="IX210" i="11"/>
  <c r="IX209" i="11"/>
  <c r="IX205" i="11"/>
  <c r="IX204" i="11"/>
  <c r="IX186" i="11"/>
  <c r="IX189" i="11"/>
  <c r="IX188" i="11"/>
  <c r="IX187" i="11"/>
  <c r="IX182" i="11"/>
  <c r="IX150" i="11"/>
  <c r="IX143" i="11"/>
  <c r="IX110" i="11"/>
  <c r="IX78" i="11"/>
  <c r="IX69" i="11"/>
  <c r="IX73" i="11"/>
  <c r="IX72" i="11"/>
  <c r="IX68" i="11"/>
  <c r="IX67" i="11"/>
  <c r="IX70" i="11"/>
  <c r="IX71" i="11"/>
  <c r="IX66" i="11"/>
  <c r="IX48" i="11"/>
  <c r="IX47" i="11"/>
  <c r="IX46" i="11"/>
  <c r="IX45" i="11"/>
  <c r="IX44" i="11"/>
  <c r="IX43" i="11"/>
  <c r="IX42" i="11"/>
  <c r="IX41" i="11"/>
  <c r="IX40" i="11"/>
  <c r="IX39" i="11"/>
  <c r="IX38" i="11"/>
  <c r="IX37" i="11"/>
  <c r="IX36" i="11"/>
  <c r="IX35" i="11"/>
  <c r="IX34" i="11"/>
  <c r="IX32" i="11"/>
  <c r="IX31" i="11"/>
  <c r="IX30" i="11"/>
  <c r="IX29" i="11"/>
  <c r="IX28" i="11"/>
  <c r="IX26" i="11"/>
  <c r="IX25" i="11"/>
  <c r="IX24" i="11"/>
  <c r="IX23" i="11"/>
  <c r="IX21" i="11"/>
  <c r="IX20" i="11"/>
  <c r="IX19" i="11"/>
  <c r="IX18" i="11"/>
  <c r="IX17" i="11"/>
  <c r="IX16" i="11"/>
  <c r="IX15" i="11"/>
  <c r="LD78" i="11"/>
  <c r="N78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2" i="11"/>
  <c r="N31" i="11"/>
  <c r="N30" i="11"/>
  <c r="N29" i="11"/>
  <c r="N28" i="11"/>
  <c r="P78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2" i="11"/>
  <c r="P31" i="11"/>
  <c r="P30" i="11"/>
  <c r="P29" i="11"/>
  <c r="P28" i="11"/>
  <c r="LR78" i="11"/>
  <c r="MA78" i="11"/>
  <c r="LI78" i="11"/>
  <c r="CV260" i="11"/>
  <c r="CV259" i="11"/>
  <c r="CV258" i="11"/>
  <c r="CV257" i="11"/>
  <c r="CV256" i="11"/>
  <c r="CV255" i="11"/>
  <c r="CV254" i="11"/>
  <c r="CV240" i="11"/>
  <c r="CV215" i="11"/>
  <c r="CV214" i="11"/>
  <c r="CV212" i="11"/>
  <c r="CV210" i="11"/>
  <c r="CV209" i="11"/>
  <c r="CV205" i="11"/>
  <c r="CV204" i="11"/>
  <c r="CV78" i="11"/>
  <c r="CW260" i="11"/>
  <c r="CW259" i="11"/>
  <c r="CW258" i="11"/>
  <c r="CW257" i="11"/>
  <c r="CW256" i="11"/>
  <c r="CW255" i="11"/>
  <c r="CW254" i="11"/>
  <c r="CW215" i="11"/>
  <c r="CW214" i="11"/>
  <c r="CW212" i="11"/>
  <c r="CW210" i="11"/>
  <c r="CW209" i="11"/>
  <c r="CW205" i="11"/>
  <c r="CW204" i="11"/>
  <c r="CW184" i="11"/>
  <c r="CW155" i="11"/>
  <c r="CW154" i="11"/>
  <c r="CW153" i="11"/>
  <c r="CW152" i="11"/>
  <c r="CW78" i="11"/>
  <c r="CX260" i="11"/>
  <c r="CX259" i="11"/>
  <c r="CX258" i="11"/>
  <c r="CX257" i="11"/>
  <c r="CX256" i="11"/>
  <c r="CX255" i="11"/>
  <c r="CX254" i="11"/>
  <c r="CX240" i="11"/>
  <c r="CX215" i="11"/>
  <c r="CX214" i="11"/>
  <c r="CX212" i="11"/>
  <c r="CX210" i="11"/>
  <c r="CX209" i="11"/>
  <c r="CX205" i="11"/>
  <c r="CX204" i="11"/>
  <c r="CX184" i="11"/>
  <c r="CX110" i="11"/>
  <c r="CX78" i="11"/>
  <c r="CX48" i="11"/>
  <c r="CX47" i="11"/>
  <c r="CX46" i="11"/>
  <c r="CX45" i="11"/>
  <c r="CX44" i="11"/>
  <c r="CX43" i="11"/>
  <c r="CX42" i="11"/>
  <c r="CX41" i="11"/>
  <c r="CX40" i="11"/>
  <c r="CX39" i="11"/>
  <c r="CX38" i="11"/>
  <c r="CX37" i="11"/>
  <c r="CX36" i="11"/>
  <c r="CX35" i="11"/>
  <c r="CX34" i="11"/>
  <c r="CX32" i="11"/>
  <c r="CX31" i="11"/>
  <c r="CX30" i="11"/>
  <c r="CX29" i="11"/>
  <c r="CX28" i="11"/>
  <c r="LH78" i="11"/>
  <c r="IU260" i="11"/>
  <c r="IU259" i="11"/>
  <c r="IU258" i="11"/>
  <c r="IU257" i="11"/>
  <c r="IU256" i="11"/>
  <c r="IU255" i="11"/>
  <c r="IU254" i="11"/>
  <c r="IU215" i="11"/>
  <c r="IU214" i="11"/>
  <c r="IU212" i="11"/>
  <c r="IU210" i="11"/>
  <c r="IU209" i="11"/>
  <c r="IU205" i="11"/>
  <c r="IU204" i="11"/>
  <c r="IU182" i="11"/>
  <c r="IU162" i="11"/>
  <c r="IU161" i="11"/>
  <c r="IU159" i="11"/>
  <c r="IU157" i="11"/>
  <c r="IU110" i="11"/>
  <c r="IU78" i="11"/>
  <c r="IU69" i="11"/>
  <c r="IU73" i="11"/>
  <c r="IU72" i="11"/>
  <c r="IU68" i="11"/>
  <c r="IU67" i="11"/>
  <c r="IU70" i="11"/>
  <c r="IU71" i="11"/>
  <c r="IU66" i="11"/>
  <c r="IU54" i="11"/>
  <c r="IU52" i="11"/>
  <c r="IU48" i="11"/>
  <c r="IU47" i="11"/>
  <c r="IU46" i="11"/>
  <c r="IU45" i="11"/>
  <c r="IU44" i="11"/>
  <c r="IU43" i="11"/>
  <c r="IU42" i="11"/>
  <c r="IU41" i="11"/>
  <c r="IU40" i="11"/>
  <c r="IU39" i="11"/>
  <c r="IU38" i="11"/>
  <c r="IU37" i="11"/>
  <c r="IU36" i="11"/>
  <c r="IU35" i="11"/>
  <c r="IU34" i="11"/>
  <c r="IU32" i="11"/>
  <c r="IU31" i="11"/>
  <c r="IU30" i="11"/>
  <c r="IU29" i="11"/>
  <c r="IU28" i="11"/>
  <c r="IU24" i="11"/>
  <c r="IU26" i="11"/>
  <c r="IU25" i="11"/>
  <c r="IU23" i="11"/>
  <c r="IU21" i="11"/>
  <c r="IU20" i="11"/>
  <c r="IU19" i="11"/>
  <c r="IU18" i="11"/>
  <c r="IU17" i="11"/>
  <c r="IU16" i="11"/>
  <c r="IU15" i="11"/>
  <c r="FI180" i="11"/>
  <c r="FI179" i="11"/>
  <c r="FI162" i="11"/>
  <c r="FI161" i="11"/>
  <c r="FI159" i="11"/>
  <c r="FI157" i="11"/>
  <c r="FI78" i="11"/>
  <c r="FI48" i="11"/>
  <c r="FI47" i="11"/>
  <c r="FI46" i="11"/>
  <c r="FI45" i="11"/>
  <c r="FI44" i="11"/>
  <c r="FI43" i="11"/>
  <c r="FI42" i="11"/>
  <c r="FI41" i="11"/>
  <c r="FI40" i="11"/>
  <c r="FI39" i="11"/>
  <c r="FI38" i="11"/>
  <c r="FI37" i="11"/>
  <c r="FI36" i="11"/>
  <c r="FI35" i="11"/>
  <c r="FI34" i="11"/>
  <c r="FI32" i="11"/>
  <c r="FI31" i="11"/>
  <c r="FI30" i="11"/>
  <c r="FI29" i="11"/>
  <c r="FI28" i="11"/>
  <c r="CI286" i="11"/>
  <c r="CI260" i="11"/>
  <c r="CI259" i="11"/>
  <c r="CI258" i="11"/>
  <c r="CI257" i="11"/>
  <c r="CI256" i="11"/>
  <c r="CI255" i="11"/>
  <c r="CI254" i="11"/>
  <c r="CI240" i="11"/>
  <c r="CI223" i="11"/>
  <c r="CI221" i="11"/>
  <c r="CI220" i="11"/>
  <c r="CI215" i="11"/>
  <c r="CI214" i="11"/>
  <c r="CI212" i="11"/>
  <c r="CI210" i="11"/>
  <c r="CI209" i="11"/>
  <c r="CI205" i="11"/>
  <c r="CI204" i="11"/>
  <c r="CI201" i="11"/>
  <c r="CI200" i="11"/>
  <c r="CI186" i="11"/>
  <c r="CI189" i="11"/>
  <c r="CI188" i="11"/>
  <c r="CI187" i="11"/>
  <c r="CI184" i="11"/>
  <c r="CI182" i="11"/>
  <c r="CI110" i="11"/>
  <c r="CI78" i="11"/>
  <c r="CI69" i="11"/>
  <c r="CI73" i="11"/>
  <c r="CI72" i="11"/>
  <c r="CI68" i="11"/>
  <c r="CI67" i="11"/>
  <c r="CI70" i="11"/>
  <c r="CI71" i="11"/>
  <c r="CI66" i="11"/>
  <c r="CI61" i="11"/>
  <c r="CI60" i="11"/>
  <c r="CI59" i="11"/>
  <c r="CI58" i="11"/>
  <c r="CI57" i="11"/>
  <c r="CI56" i="11"/>
  <c r="CI48" i="11"/>
  <c r="CI47" i="11"/>
  <c r="CI46" i="11"/>
  <c r="CI45" i="11"/>
  <c r="CI44" i="11"/>
  <c r="CI43" i="11"/>
  <c r="CI42" i="11"/>
  <c r="CI41" i="11"/>
  <c r="CI40" i="11"/>
  <c r="CI39" i="11"/>
  <c r="CI38" i="11"/>
  <c r="CI37" i="11"/>
  <c r="CI36" i="11"/>
  <c r="CI35" i="11"/>
  <c r="CI34" i="11"/>
  <c r="CI32" i="11"/>
  <c r="CI31" i="11"/>
  <c r="CI30" i="11"/>
  <c r="CI29" i="11"/>
  <c r="CI28" i="11"/>
  <c r="EB286" i="11"/>
  <c r="EB260" i="11"/>
  <c r="EB259" i="11"/>
  <c r="EB258" i="11"/>
  <c r="EB257" i="11"/>
  <c r="EB256" i="11"/>
  <c r="EB255" i="11"/>
  <c r="EB254" i="11"/>
  <c r="EB240" i="11"/>
  <c r="EB215" i="11"/>
  <c r="EB214" i="11"/>
  <c r="EB212" i="11"/>
  <c r="EB210" i="11"/>
  <c r="EB209" i="11"/>
  <c r="EB205" i="11"/>
  <c r="EB204" i="11"/>
  <c r="EB186" i="11"/>
  <c r="EB189" i="11"/>
  <c r="EB188" i="11"/>
  <c r="EB187" i="11"/>
  <c r="EB184" i="11"/>
  <c r="EB130" i="11"/>
  <c r="EB110" i="11"/>
  <c r="EB78" i="11"/>
  <c r="EB48" i="11"/>
  <c r="EB47" i="11"/>
  <c r="EB46" i="11"/>
  <c r="EB45" i="11"/>
  <c r="EB44" i="11"/>
  <c r="EB43" i="11"/>
  <c r="EB42" i="11"/>
  <c r="EB41" i="11"/>
  <c r="EB40" i="11"/>
  <c r="EB39" i="11"/>
  <c r="EB38" i="11"/>
  <c r="EB37" i="11"/>
  <c r="EB36" i="11"/>
  <c r="EB35" i="11"/>
  <c r="EB34" i="11"/>
  <c r="EB32" i="11"/>
  <c r="EB31" i="11"/>
  <c r="EB30" i="11"/>
  <c r="EB29" i="11"/>
  <c r="EB28" i="11"/>
  <c r="CH260" i="11" l="1"/>
  <c r="CH259" i="11"/>
  <c r="CH258" i="11"/>
  <c r="CH257" i="11"/>
  <c r="CH256" i="11"/>
  <c r="CH255" i="11"/>
  <c r="CH254" i="11"/>
  <c r="CH215" i="11"/>
  <c r="CH214" i="11"/>
  <c r="CH212" i="11"/>
  <c r="CH210" i="11"/>
  <c r="CH209" i="11"/>
  <c r="CH205" i="11"/>
  <c r="CH204" i="11"/>
  <c r="CH201" i="11"/>
  <c r="CH200" i="11"/>
  <c r="CH184" i="11"/>
  <c r="CH110" i="11"/>
  <c r="CH78" i="11"/>
  <c r="GL286" i="11"/>
  <c r="GL271" i="11"/>
  <c r="GL270" i="11"/>
  <c r="GL260" i="11"/>
  <c r="GL259" i="11"/>
  <c r="GL258" i="11"/>
  <c r="GL257" i="11"/>
  <c r="GL256" i="11"/>
  <c r="GL255" i="11"/>
  <c r="GL254" i="11"/>
  <c r="GL249" i="11"/>
  <c r="GL248" i="11"/>
  <c r="GL240" i="11"/>
  <c r="GL223" i="11"/>
  <c r="GL221" i="11"/>
  <c r="GL220" i="11"/>
  <c r="GL215" i="11"/>
  <c r="GL214" i="11"/>
  <c r="GL212" i="11"/>
  <c r="GL210" i="11"/>
  <c r="GL209" i="11"/>
  <c r="GL205" i="11"/>
  <c r="GL204" i="11"/>
  <c r="GL201" i="11"/>
  <c r="GL200" i="11"/>
  <c r="GL184" i="11"/>
  <c r="GL182" i="11"/>
  <c r="GL180" i="11"/>
  <c r="GL179" i="11"/>
  <c r="GL162" i="11"/>
  <c r="GL161" i="11"/>
  <c r="GL159" i="11"/>
  <c r="GL157" i="11"/>
  <c r="GL155" i="11"/>
  <c r="GL154" i="11"/>
  <c r="GL153" i="11"/>
  <c r="GL152" i="11"/>
  <c r="GL110" i="11"/>
  <c r="GL78" i="11"/>
  <c r="GL76" i="11"/>
  <c r="GL75" i="11"/>
  <c r="GL61" i="11"/>
  <c r="GL60" i="11"/>
  <c r="GL59" i="11"/>
  <c r="GL58" i="11"/>
  <c r="GL57" i="11"/>
  <c r="GL56" i="11"/>
  <c r="GL48" i="11"/>
  <c r="GL47" i="11"/>
  <c r="GL46" i="11"/>
  <c r="GL45" i="11"/>
  <c r="GL44" i="11"/>
  <c r="GL43" i="11"/>
  <c r="GL42" i="11"/>
  <c r="GL41" i="11"/>
  <c r="GL40" i="11"/>
  <c r="GL39" i="11"/>
  <c r="GL38" i="11"/>
  <c r="GL37" i="11"/>
  <c r="GL36" i="11"/>
  <c r="GL35" i="11"/>
  <c r="GL34" i="11"/>
  <c r="GL32" i="11"/>
  <c r="GL31" i="11"/>
  <c r="GL30" i="11"/>
  <c r="GL29" i="11"/>
  <c r="GL28" i="11"/>
  <c r="GL21" i="11"/>
  <c r="GL20" i="11"/>
  <c r="GL19" i="11"/>
  <c r="GL18" i="11"/>
  <c r="GL17" i="11"/>
  <c r="GL16" i="11"/>
  <c r="GL15" i="11"/>
  <c r="DZ260" i="11"/>
  <c r="DZ259" i="11"/>
  <c r="DZ258" i="11"/>
  <c r="DZ257" i="11"/>
  <c r="DZ256" i="11"/>
  <c r="DZ255" i="11"/>
  <c r="DZ254" i="11"/>
  <c r="DZ240" i="11"/>
  <c r="DZ215" i="11"/>
  <c r="DZ214" i="11"/>
  <c r="DZ212" i="11"/>
  <c r="DZ210" i="11"/>
  <c r="DZ209" i="11"/>
  <c r="DZ205" i="11"/>
  <c r="DZ204" i="11"/>
  <c r="DZ201" i="11"/>
  <c r="DZ200" i="11"/>
  <c r="DZ186" i="11"/>
  <c r="DZ189" i="11"/>
  <c r="DZ188" i="11"/>
  <c r="DZ187" i="11"/>
  <c r="DZ184" i="11"/>
  <c r="DZ155" i="11"/>
  <c r="DZ154" i="11"/>
  <c r="DZ153" i="11"/>
  <c r="DZ152" i="11"/>
  <c r="DZ130" i="11"/>
  <c r="DZ110" i="11"/>
  <c r="DZ78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2" i="11"/>
  <c r="DZ31" i="11"/>
  <c r="DZ30" i="11"/>
  <c r="DZ29" i="11"/>
  <c r="DZ28" i="11"/>
  <c r="DY260" i="11"/>
  <c r="DY259" i="11"/>
  <c r="DY258" i="11"/>
  <c r="DY257" i="11"/>
  <c r="DY256" i="11"/>
  <c r="DY255" i="11"/>
  <c r="DY254" i="11"/>
  <c r="DY240" i="11"/>
  <c r="DY215" i="11"/>
  <c r="DY214" i="11"/>
  <c r="DY212" i="11"/>
  <c r="DY210" i="11"/>
  <c r="DY209" i="11"/>
  <c r="DY205" i="11"/>
  <c r="DY204" i="11"/>
  <c r="DY184" i="11"/>
  <c r="DY155" i="11"/>
  <c r="DY154" i="11"/>
  <c r="DY153" i="11"/>
  <c r="DY152" i="11"/>
  <c r="DY110" i="11"/>
  <c r="DY78" i="11"/>
  <c r="DY61" i="11"/>
  <c r="DY60" i="11"/>
  <c r="DY59" i="11"/>
  <c r="DY58" i="11"/>
  <c r="DY57" i="11"/>
  <c r="DY56" i="11"/>
  <c r="DY48" i="11"/>
  <c r="DY47" i="11"/>
  <c r="DY46" i="11"/>
  <c r="DY45" i="11"/>
  <c r="DY44" i="11"/>
  <c r="DY43" i="11"/>
  <c r="DY42" i="11"/>
  <c r="DY41" i="11"/>
  <c r="DY40" i="11"/>
  <c r="DY39" i="11"/>
  <c r="DY38" i="11"/>
  <c r="DY37" i="11"/>
  <c r="DY36" i="11"/>
  <c r="DY35" i="11"/>
  <c r="DY34" i="11"/>
  <c r="DY32" i="11"/>
  <c r="DY31" i="11"/>
  <c r="DY30" i="11"/>
  <c r="DY29" i="11"/>
  <c r="DY28" i="11"/>
  <c r="FS286" i="11" l="1"/>
  <c r="FS271" i="11"/>
  <c r="FS270" i="11"/>
  <c r="FS260" i="11"/>
  <c r="FS259" i="11"/>
  <c r="FS258" i="11"/>
  <c r="FS257" i="11"/>
  <c r="FS256" i="11"/>
  <c r="FS255" i="11"/>
  <c r="FS254" i="11"/>
  <c r="FS249" i="11"/>
  <c r="FS248" i="11"/>
  <c r="FS240" i="11"/>
  <c r="FS223" i="11"/>
  <c r="FS221" i="11"/>
  <c r="FS220" i="11"/>
  <c r="FS215" i="11"/>
  <c r="FS214" i="11"/>
  <c r="FS212" i="11"/>
  <c r="FS210" i="11"/>
  <c r="FS209" i="11"/>
  <c r="FS205" i="11"/>
  <c r="FS204" i="11"/>
  <c r="FS201" i="11"/>
  <c r="FS200" i="11"/>
  <c r="FS184" i="11"/>
  <c r="FS182" i="11"/>
  <c r="FS180" i="11"/>
  <c r="FS179" i="11"/>
  <c r="FS162" i="11"/>
  <c r="FS161" i="11"/>
  <c r="FS159" i="11"/>
  <c r="FS157" i="11"/>
  <c r="FS155" i="11"/>
  <c r="FS154" i="11"/>
  <c r="FS153" i="11"/>
  <c r="FS152" i="11"/>
  <c r="FS110" i="11"/>
  <c r="FS78" i="11"/>
  <c r="FS76" i="11"/>
  <c r="FS75" i="11"/>
  <c r="FS61" i="11"/>
  <c r="FS60" i="11"/>
  <c r="FS59" i="11"/>
  <c r="FS58" i="11"/>
  <c r="FS57" i="11"/>
  <c r="FS56" i="11"/>
  <c r="FS48" i="11"/>
  <c r="FS47" i="11"/>
  <c r="FS46" i="11"/>
  <c r="FS45" i="11"/>
  <c r="FS44" i="11"/>
  <c r="FS43" i="11"/>
  <c r="FS42" i="11"/>
  <c r="FS41" i="11"/>
  <c r="FS40" i="11"/>
  <c r="FS39" i="11"/>
  <c r="FS38" i="11"/>
  <c r="FS37" i="11"/>
  <c r="FS36" i="11"/>
  <c r="FS35" i="11"/>
  <c r="FS34" i="11"/>
  <c r="FS32" i="11"/>
  <c r="FS31" i="11"/>
  <c r="FS30" i="11"/>
  <c r="FS29" i="11"/>
  <c r="FS28" i="11"/>
  <c r="FS21" i="11"/>
  <c r="FS20" i="11"/>
  <c r="FS19" i="11"/>
  <c r="FS18" i="11"/>
  <c r="FS17" i="11"/>
  <c r="FS16" i="11"/>
  <c r="FS15" i="11"/>
  <c r="EP266" i="11"/>
  <c r="EP265" i="11"/>
  <c r="EP260" i="11"/>
  <c r="EP259" i="11"/>
  <c r="EP258" i="11"/>
  <c r="EP257" i="11"/>
  <c r="EP256" i="11"/>
  <c r="EP255" i="11"/>
  <c r="EP254" i="11"/>
  <c r="EP240" i="11"/>
  <c r="EP223" i="11"/>
  <c r="EP221" i="11"/>
  <c r="EP220" i="11"/>
  <c r="EP215" i="11"/>
  <c r="EP214" i="11"/>
  <c r="EP212" i="11"/>
  <c r="EP210" i="11"/>
  <c r="EP209" i="11"/>
  <c r="EP205" i="11"/>
  <c r="EP204" i="11"/>
  <c r="EP201" i="11"/>
  <c r="EP200" i="11"/>
  <c r="EP186" i="11"/>
  <c r="EP189" i="11"/>
  <c r="EP188" i="11"/>
  <c r="EP187" i="11"/>
  <c r="EP184" i="11"/>
  <c r="EP182" i="11"/>
  <c r="EP162" i="11"/>
  <c r="EP161" i="11"/>
  <c r="EP159" i="11"/>
  <c r="EP157" i="11"/>
  <c r="EP155" i="11"/>
  <c r="EP154" i="11"/>
  <c r="EP153" i="11"/>
  <c r="EP152" i="11"/>
  <c r="EP150" i="11"/>
  <c r="EP143" i="11"/>
  <c r="EP130" i="11"/>
  <c r="EP110" i="11"/>
  <c r="EP107" i="11"/>
  <c r="EP78" i="11"/>
  <c r="EP69" i="11"/>
  <c r="EP73" i="11"/>
  <c r="EP72" i="11"/>
  <c r="EP68" i="11"/>
  <c r="EP67" i="11"/>
  <c r="EP70" i="11"/>
  <c r="EP71" i="11"/>
  <c r="EP66" i="11"/>
  <c r="EP61" i="11"/>
  <c r="EP60" i="11"/>
  <c r="EP59" i="11"/>
  <c r="EP58" i="11"/>
  <c r="EP57" i="11"/>
  <c r="EP56" i="11"/>
  <c r="EP48" i="11"/>
  <c r="EP47" i="11"/>
  <c r="EP46" i="11"/>
  <c r="EP45" i="11"/>
  <c r="EP44" i="11"/>
  <c r="EP43" i="11"/>
  <c r="EP42" i="11"/>
  <c r="EP41" i="11"/>
  <c r="EP40" i="11"/>
  <c r="EP39" i="11"/>
  <c r="EP38" i="11"/>
  <c r="EP37" i="11"/>
  <c r="EP36" i="11"/>
  <c r="EP35" i="11"/>
  <c r="EP34" i="11"/>
  <c r="EP32" i="11"/>
  <c r="EP31" i="11"/>
  <c r="EP30" i="11"/>
  <c r="EP29" i="11"/>
  <c r="EP28" i="11"/>
  <c r="EP26" i="11"/>
  <c r="EP25" i="11"/>
  <c r="EP24" i="11"/>
  <c r="EP23" i="11"/>
  <c r="EL15" i="11"/>
  <c r="EL16" i="11"/>
  <c r="EL17" i="11"/>
  <c r="EL18" i="11"/>
  <c r="EL19" i="11"/>
  <c r="EL20" i="11"/>
  <c r="EL21" i="11"/>
  <c r="EL28" i="11"/>
  <c r="EL29" i="11"/>
  <c r="EL30" i="11"/>
  <c r="EL31" i="11"/>
  <c r="EL32" i="11"/>
  <c r="EL34" i="11"/>
  <c r="EL35" i="11"/>
  <c r="EL36" i="11"/>
  <c r="EL37" i="11"/>
  <c r="EL38" i="11"/>
  <c r="EL39" i="11"/>
  <c r="EL40" i="11"/>
  <c r="EL41" i="11"/>
  <c r="EL42" i="11"/>
  <c r="EL43" i="11"/>
  <c r="EL44" i="11"/>
  <c r="EL45" i="11"/>
  <c r="EL46" i="11"/>
  <c r="EL47" i="11"/>
  <c r="EL48" i="11"/>
  <c r="EL52" i="11"/>
  <c r="EL54" i="11"/>
  <c r="EL66" i="11"/>
  <c r="EL71" i="11"/>
  <c r="EL70" i="11"/>
  <c r="EL67" i="11"/>
  <c r="EL68" i="11"/>
  <c r="EL72" i="11"/>
  <c r="EL73" i="11"/>
  <c r="EL69" i="11"/>
  <c r="EL75" i="11"/>
  <c r="EL76" i="11"/>
  <c r="EL78" i="11"/>
  <c r="EL110" i="11"/>
  <c r="EL152" i="11"/>
  <c r="EL153" i="11"/>
  <c r="EL154" i="11"/>
  <c r="EL155" i="11"/>
  <c r="EL157" i="11"/>
  <c r="EL159" i="11"/>
  <c r="EL161" i="11"/>
  <c r="EL162" i="11"/>
  <c r="EL167" i="11"/>
  <c r="EL179" i="11"/>
  <c r="EL180" i="11"/>
  <c r="EL187" i="11"/>
  <c r="EL188" i="11"/>
  <c r="EL189" i="11"/>
  <c r="EL186" i="11"/>
  <c r="EL200" i="11"/>
  <c r="EL201" i="11"/>
  <c r="EL204" i="11"/>
  <c r="EL205" i="11"/>
  <c r="EL209" i="11"/>
  <c r="EL210" i="11"/>
  <c r="EL212" i="11"/>
  <c r="EL214" i="11"/>
  <c r="EL215" i="11"/>
  <c r="EL220" i="11"/>
  <c r="EL221" i="11"/>
  <c r="EL223" i="11"/>
  <c r="EL240" i="11"/>
  <c r="EL248" i="11"/>
  <c r="EL249" i="11"/>
  <c r="EL254" i="11"/>
  <c r="EL255" i="11"/>
  <c r="EL256" i="11"/>
  <c r="EL257" i="11"/>
  <c r="EL258" i="11"/>
  <c r="EL259" i="11"/>
  <c r="EL260" i="11"/>
  <c r="EL270" i="11"/>
  <c r="EL271" i="11"/>
  <c r="EL286" i="11"/>
  <c r="FR286" i="11"/>
  <c r="FR271" i="11"/>
  <c r="FR270" i="11"/>
  <c r="FR260" i="11"/>
  <c r="FR259" i="11"/>
  <c r="FR258" i="11"/>
  <c r="FR257" i="11"/>
  <c r="FR256" i="11"/>
  <c r="FR255" i="11"/>
  <c r="FR254" i="11"/>
  <c r="FR249" i="11"/>
  <c r="FR248" i="11"/>
  <c r="FR240" i="11"/>
  <c r="FR223" i="11"/>
  <c r="FR221" i="11"/>
  <c r="FR220" i="11"/>
  <c r="FR215" i="11"/>
  <c r="FR214" i="11"/>
  <c r="FR212" i="11"/>
  <c r="FR210" i="11"/>
  <c r="FR209" i="11"/>
  <c r="FR205" i="11"/>
  <c r="FR204" i="11"/>
  <c r="FR201" i="11"/>
  <c r="FR200" i="11"/>
  <c r="FR184" i="11"/>
  <c r="FR182" i="11"/>
  <c r="FR180" i="11"/>
  <c r="FR179" i="11"/>
  <c r="FR162" i="11"/>
  <c r="FR161" i="11"/>
  <c r="FR159" i="11"/>
  <c r="FR157" i="11"/>
  <c r="FR155" i="11"/>
  <c r="FR154" i="11"/>
  <c r="FR153" i="11"/>
  <c r="FR152" i="11"/>
  <c r="FR110" i="11"/>
  <c r="FR78" i="11"/>
  <c r="FR76" i="11"/>
  <c r="FR75" i="11"/>
  <c r="FR61" i="11"/>
  <c r="FR60" i="11"/>
  <c r="FR59" i="11"/>
  <c r="FR58" i="11"/>
  <c r="FR57" i="11"/>
  <c r="FR56" i="11"/>
  <c r="FR48" i="11"/>
  <c r="FR47" i="11"/>
  <c r="FR46" i="11"/>
  <c r="FR45" i="11"/>
  <c r="FR44" i="11"/>
  <c r="FR43" i="11"/>
  <c r="FR42" i="11"/>
  <c r="FR41" i="11"/>
  <c r="FR40" i="11"/>
  <c r="FR39" i="11"/>
  <c r="FR38" i="11"/>
  <c r="FR37" i="11"/>
  <c r="FR36" i="11"/>
  <c r="FR35" i="11"/>
  <c r="FR34" i="11"/>
  <c r="FR32" i="11"/>
  <c r="FR31" i="11"/>
  <c r="FR30" i="11"/>
  <c r="FR29" i="11"/>
  <c r="FR28" i="11"/>
  <c r="FR21" i="11"/>
  <c r="FR20" i="11"/>
  <c r="FR19" i="11"/>
  <c r="FR18" i="11"/>
  <c r="FR17" i="11"/>
  <c r="FR16" i="11"/>
  <c r="FR15" i="11"/>
  <c r="FQ286" i="11"/>
  <c r="FQ271" i="11"/>
  <c r="FQ270" i="11"/>
  <c r="FQ260" i="11"/>
  <c r="FQ259" i="11"/>
  <c r="FQ258" i="11"/>
  <c r="FQ257" i="11"/>
  <c r="FQ256" i="11"/>
  <c r="FQ255" i="11"/>
  <c r="FQ254" i="11"/>
  <c r="FQ249" i="11"/>
  <c r="FQ248" i="11"/>
  <c r="FQ240" i="11"/>
  <c r="FQ223" i="11"/>
  <c r="FQ221" i="11"/>
  <c r="FQ220" i="11"/>
  <c r="FQ215" i="11"/>
  <c r="FQ214" i="11"/>
  <c r="FQ212" i="11"/>
  <c r="FQ210" i="11"/>
  <c r="FQ209" i="11"/>
  <c r="FQ205" i="11"/>
  <c r="FQ204" i="11"/>
  <c r="FQ201" i="11"/>
  <c r="FQ200" i="11"/>
  <c r="FQ184" i="11"/>
  <c r="FQ182" i="11"/>
  <c r="FQ180" i="11"/>
  <c r="FQ179" i="11"/>
  <c r="FQ162" i="11"/>
  <c r="FQ161" i="11"/>
  <c r="FQ159" i="11"/>
  <c r="FQ157" i="11"/>
  <c r="FQ155" i="11"/>
  <c r="FQ154" i="11"/>
  <c r="FQ153" i="11"/>
  <c r="FQ152" i="11"/>
  <c r="FQ110" i="11"/>
  <c r="FQ78" i="11"/>
  <c r="FQ76" i="11"/>
  <c r="FQ75" i="11"/>
  <c r="FQ61" i="11"/>
  <c r="FQ60" i="11"/>
  <c r="FQ59" i="11"/>
  <c r="FQ58" i="11"/>
  <c r="FQ57" i="11"/>
  <c r="FQ56" i="11"/>
  <c r="FQ48" i="11"/>
  <c r="FQ47" i="11"/>
  <c r="FQ46" i="11"/>
  <c r="FQ45" i="11"/>
  <c r="FQ44" i="11"/>
  <c r="FQ43" i="11"/>
  <c r="FQ42" i="11"/>
  <c r="FQ41" i="11"/>
  <c r="FQ40" i="11"/>
  <c r="FQ39" i="11"/>
  <c r="FQ38" i="11"/>
  <c r="FQ37" i="11"/>
  <c r="FQ36" i="11"/>
  <c r="FQ35" i="11"/>
  <c r="FQ34" i="11"/>
  <c r="FQ32" i="11"/>
  <c r="FQ31" i="11"/>
  <c r="FQ30" i="11"/>
  <c r="FQ29" i="11"/>
  <c r="FQ28" i="11"/>
  <c r="FQ21" i="11"/>
  <c r="FQ20" i="11"/>
  <c r="FQ19" i="11"/>
  <c r="FQ18" i="11"/>
  <c r="FQ17" i="11"/>
  <c r="FQ16" i="11"/>
  <c r="FQ15" i="11"/>
  <c r="FY260" i="11"/>
  <c r="FY259" i="11"/>
  <c r="FY258" i="11"/>
  <c r="FY257" i="11"/>
  <c r="FY256" i="11"/>
  <c r="FY255" i="11"/>
  <c r="FY254" i="11"/>
  <c r="FY215" i="11"/>
  <c r="FY214" i="11"/>
  <c r="FY212" i="11"/>
  <c r="FY210" i="11"/>
  <c r="FY209" i="11"/>
  <c r="FY205" i="11"/>
  <c r="FY204" i="11"/>
  <c r="FY78" i="11"/>
  <c r="FY48" i="11"/>
  <c r="FY47" i="11"/>
  <c r="FY46" i="11"/>
  <c r="FY45" i="11"/>
  <c r="FY44" i="11"/>
  <c r="FY43" i="11"/>
  <c r="FY42" i="11"/>
  <c r="FY41" i="11"/>
  <c r="FY40" i="11"/>
  <c r="FY39" i="11"/>
  <c r="FY38" i="11"/>
  <c r="FY37" i="11"/>
  <c r="FY36" i="11"/>
  <c r="FY35" i="11"/>
  <c r="FY34" i="11"/>
  <c r="FY32" i="11"/>
  <c r="FY31" i="11"/>
  <c r="FY30" i="11"/>
  <c r="FY29" i="11"/>
  <c r="FY28" i="11"/>
  <c r="FX215" i="11"/>
  <c r="FX214" i="11"/>
  <c r="FX212" i="11"/>
  <c r="FX210" i="11"/>
  <c r="FX209" i="11"/>
  <c r="FX205" i="11"/>
  <c r="FX204" i="11"/>
  <c r="FX78" i="11"/>
  <c r="FX48" i="11"/>
  <c r="FX47" i="11"/>
  <c r="FX46" i="11"/>
  <c r="FX45" i="11"/>
  <c r="FX44" i="11"/>
  <c r="FX43" i="11"/>
  <c r="FX42" i="11"/>
  <c r="FX41" i="11"/>
  <c r="FX40" i="11"/>
  <c r="FX39" i="11"/>
  <c r="FX38" i="11"/>
  <c r="FX37" i="11"/>
  <c r="FX36" i="11"/>
  <c r="FX35" i="11"/>
  <c r="FX34" i="11"/>
  <c r="FX32" i="11"/>
  <c r="FX31" i="11"/>
  <c r="FX30" i="11"/>
  <c r="FX29" i="11"/>
  <c r="FX28" i="11"/>
  <c r="AJ162" i="11"/>
  <c r="AJ161" i="11"/>
  <c r="AJ159" i="11"/>
  <c r="AJ157" i="11"/>
  <c r="AJ110" i="11"/>
  <c r="AJ78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2" i="11"/>
  <c r="AJ31" i="11"/>
  <c r="AJ30" i="11"/>
  <c r="AJ29" i="11"/>
  <c r="AJ28" i="11"/>
  <c r="BE110" i="11"/>
  <c r="BE48" i="11"/>
  <c r="BE47" i="11"/>
  <c r="BE4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2" i="11"/>
  <c r="BE31" i="11"/>
  <c r="BE30" i="11"/>
  <c r="BE29" i="11"/>
  <c r="BE28" i="11"/>
  <c r="BD48" i="11"/>
  <c r="BD47" i="11"/>
  <c r="BD46" i="11"/>
  <c r="BD45" i="11"/>
  <c r="BD44" i="11"/>
  <c r="BD43" i="11"/>
  <c r="BD42" i="11"/>
  <c r="BD41" i="11"/>
  <c r="BD40" i="11"/>
  <c r="BD39" i="11"/>
  <c r="BD38" i="11"/>
  <c r="BD37" i="11"/>
  <c r="BD36" i="11"/>
  <c r="BD35" i="11"/>
  <c r="BD34" i="11"/>
  <c r="BD32" i="11"/>
  <c r="BD31" i="11"/>
  <c r="BD30" i="11"/>
  <c r="BD29" i="11"/>
  <c r="BD28" i="11"/>
  <c r="CF260" i="11"/>
  <c r="CF259" i="11"/>
  <c r="CF258" i="11"/>
  <c r="CF257" i="11"/>
  <c r="CF256" i="11"/>
  <c r="CF255" i="11"/>
  <c r="CF254" i="11"/>
  <c r="CF223" i="11"/>
  <c r="CF221" i="11"/>
  <c r="CF220" i="11"/>
  <c r="CF215" i="11"/>
  <c r="CF214" i="11"/>
  <c r="CF212" i="11"/>
  <c r="CF210" i="11"/>
  <c r="CF209" i="11"/>
  <c r="CF205" i="11"/>
  <c r="CF204" i="11"/>
  <c r="CF184" i="11"/>
  <c r="CF162" i="11"/>
  <c r="CF161" i="11"/>
  <c r="CF159" i="11"/>
  <c r="CF157" i="11"/>
  <c r="CF78" i="11"/>
  <c r="CF54" i="11"/>
  <c r="CF52" i="11"/>
  <c r="CF48" i="11"/>
  <c r="CF47" i="11"/>
  <c r="CF46" i="11"/>
  <c r="CF45" i="11"/>
  <c r="CF44" i="11"/>
  <c r="CF43" i="11"/>
  <c r="CF42" i="11"/>
  <c r="CF41" i="11"/>
  <c r="CF40" i="11"/>
  <c r="CF39" i="11"/>
  <c r="CF38" i="11"/>
  <c r="CF37" i="11"/>
  <c r="CF36" i="11"/>
  <c r="CF35" i="11"/>
  <c r="CF34" i="11"/>
  <c r="CF32" i="11"/>
  <c r="CF31" i="11"/>
  <c r="CF30" i="11"/>
  <c r="CF29" i="11"/>
  <c r="CF28" i="11"/>
  <c r="KE215" i="11"/>
  <c r="KE214" i="11"/>
  <c r="KE212" i="11"/>
  <c r="KE210" i="11"/>
  <c r="KE209" i="11"/>
  <c r="KE205" i="11"/>
  <c r="KE204" i="11"/>
  <c r="KE110" i="11"/>
  <c r="KE107" i="11"/>
  <c r="KE78" i="11"/>
  <c r="KE48" i="11"/>
  <c r="KE47" i="11"/>
  <c r="KE46" i="11"/>
  <c r="KE45" i="11"/>
  <c r="KE44" i="11"/>
  <c r="KE43" i="11"/>
  <c r="KE42" i="11"/>
  <c r="KE41" i="11"/>
  <c r="KE40" i="11"/>
  <c r="KE39" i="11"/>
  <c r="KE38" i="11"/>
  <c r="KE37" i="11"/>
  <c r="KE36" i="11"/>
  <c r="KE35" i="11"/>
  <c r="KE34" i="11"/>
  <c r="KE32" i="11"/>
  <c r="KE31" i="11"/>
  <c r="KE30" i="11"/>
  <c r="KE29" i="11"/>
  <c r="KE28" i="11"/>
  <c r="BK223" i="11"/>
  <c r="BK221" i="11"/>
  <c r="BK220" i="11"/>
  <c r="BK78" i="11"/>
  <c r="BK76" i="11"/>
  <c r="BK75" i="11"/>
  <c r="AX78" i="11"/>
  <c r="JS286" i="11"/>
  <c r="GO260" i="11"/>
  <c r="GO259" i="11"/>
  <c r="GO258" i="11"/>
  <c r="GO257" i="11"/>
  <c r="GO256" i="11"/>
  <c r="GO255" i="11"/>
  <c r="GO254" i="11"/>
  <c r="KB78" i="11"/>
  <c r="ET110" i="11"/>
  <c r="ET182" i="11"/>
  <c r="FJ155" i="11"/>
  <c r="FJ154" i="11"/>
  <c r="FJ153" i="11"/>
  <c r="FJ152" i="11"/>
  <c r="EQ249" i="11"/>
  <c r="EQ248" i="11"/>
  <c r="DE286" i="11" l="1"/>
  <c r="DE280" i="11"/>
  <c r="DE284" i="11"/>
  <c r="DE281" i="11"/>
  <c r="DE282" i="11"/>
  <c r="DE283" i="11"/>
  <c r="DE279" i="11"/>
  <c r="DE278" i="11"/>
  <c r="DE271" i="11"/>
  <c r="DE270" i="11"/>
  <c r="DE266" i="11"/>
  <c r="DE265" i="11"/>
  <c r="DE260" i="11"/>
  <c r="DE259" i="11"/>
  <c r="DE258" i="11"/>
  <c r="DE257" i="11"/>
  <c r="DE256" i="11"/>
  <c r="DE255" i="11"/>
  <c r="DE254" i="11"/>
  <c r="DE249" i="11"/>
  <c r="DE248" i="11"/>
  <c r="DE240" i="11"/>
  <c r="DE238" i="11"/>
  <c r="DE237" i="11"/>
  <c r="DE236" i="11"/>
  <c r="DE235" i="11"/>
  <c r="DE226" i="11"/>
  <c r="DE225" i="11"/>
  <c r="DE223" i="11"/>
  <c r="DE221" i="11"/>
  <c r="DE220" i="11"/>
  <c r="DE218" i="11"/>
  <c r="DE217" i="11"/>
  <c r="DE215" i="11"/>
  <c r="DE214" i="11"/>
  <c r="DE212" i="11"/>
  <c r="DE210" i="11"/>
  <c r="DE209" i="11"/>
  <c r="DE205" i="11"/>
  <c r="DE204" i="11"/>
  <c r="DE201" i="11"/>
  <c r="DE200" i="11"/>
  <c r="DE197" i="11"/>
  <c r="DE198" i="11"/>
  <c r="DE195" i="11"/>
  <c r="DE196" i="11"/>
  <c r="DE186" i="11"/>
  <c r="DE189" i="11"/>
  <c r="DE188" i="11"/>
  <c r="DE187" i="11"/>
  <c r="DE184" i="11"/>
  <c r="DE182" i="11"/>
  <c r="DE180" i="11"/>
  <c r="DE179" i="11"/>
  <c r="DE172" i="11"/>
  <c r="DE175" i="11"/>
  <c r="DE174" i="11"/>
  <c r="DE173" i="11"/>
  <c r="DE176" i="11"/>
  <c r="DE177" i="11"/>
  <c r="DE171" i="11"/>
  <c r="DE167" i="11"/>
  <c r="DE162" i="11"/>
  <c r="DE161" i="11"/>
  <c r="DE159" i="11"/>
  <c r="DE157" i="11"/>
  <c r="DE155" i="11"/>
  <c r="DE154" i="11"/>
  <c r="DE153" i="11"/>
  <c r="DE152" i="11"/>
  <c r="DE150" i="11"/>
  <c r="DE143" i="11"/>
  <c r="DE130" i="11"/>
  <c r="DE110" i="11"/>
  <c r="DE107" i="11"/>
  <c r="DE78" i="11"/>
  <c r="DE76" i="11"/>
  <c r="DE75" i="11"/>
  <c r="DE69" i="11"/>
  <c r="DE73" i="11"/>
  <c r="DE72" i="11"/>
  <c r="DE68" i="11"/>
  <c r="DE67" i="11"/>
  <c r="DE70" i="11"/>
  <c r="DE71" i="11"/>
  <c r="DE66" i="11"/>
  <c r="DE61" i="11"/>
  <c r="DE60" i="11"/>
  <c r="DE59" i="11"/>
  <c r="DE58" i="11"/>
  <c r="DE57" i="11"/>
  <c r="DE56" i="11"/>
  <c r="DE54" i="11"/>
  <c r="DE52" i="11"/>
  <c r="DE50" i="11"/>
  <c r="DE48" i="11"/>
  <c r="DE47" i="11"/>
  <c r="DE46" i="11"/>
  <c r="DE45" i="11"/>
  <c r="DE44" i="11"/>
  <c r="DE43" i="11"/>
  <c r="DE42" i="11"/>
  <c r="DE41" i="11"/>
  <c r="DE40" i="11"/>
  <c r="DE39" i="11"/>
  <c r="DE38" i="11"/>
  <c r="DE37" i="11"/>
  <c r="DE36" i="11"/>
  <c r="DE35" i="11"/>
  <c r="DE34" i="11"/>
  <c r="DE32" i="11"/>
  <c r="DE31" i="11"/>
  <c r="DE30" i="11"/>
  <c r="DE29" i="11"/>
  <c r="DE28" i="11"/>
  <c r="DE26" i="11"/>
  <c r="DE25" i="11"/>
  <c r="DE24" i="11"/>
  <c r="DE23" i="11"/>
  <c r="DE21" i="11"/>
  <c r="DE20" i="11"/>
  <c r="DE19" i="11"/>
  <c r="DE18" i="11"/>
  <c r="DE17" i="11"/>
  <c r="DE16" i="11"/>
  <c r="DE15" i="11"/>
  <c r="AW286" i="11"/>
  <c r="AW280" i="11"/>
  <c r="AW284" i="11"/>
  <c r="AW281" i="11"/>
  <c r="AW282" i="11"/>
  <c r="AW283" i="11"/>
  <c r="AW279" i="11"/>
  <c r="AW278" i="11"/>
  <c r="AW271" i="11"/>
  <c r="AW270" i="11"/>
  <c r="AW266" i="11"/>
  <c r="AW265" i="11"/>
  <c r="AW249" i="11"/>
  <c r="AW248" i="11"/>
  <c r="AW260" i="11"/>
  <c r="AW259" i="11"/>
  <c r="AW258" i="11"/>
  <c r="AW257" i="11"/>
  <c r="AW256" i="11"/>
  <c r="AW255" i="11"/>
  <c r="AW254" i="11"/>
  <c r="AW240" i="11"/>
  <c r="AW238" i="11"/>
  <c r="AW237" i="11"/>
  <c r="AW236" i="11"/>
  <c r="AW235" i="11"/>
  <c r="AW223" i="11"/>
  <c r="AW221" i="11"/>
  <c r="AW220" i="11"/>
  <c r="AW228" i="11"/>
  <c r="AW226" i="11"/>
  <c r="AW225" i="11"/>
  <c r="AW218" i="11"/>
  <c r="AW217" i="11"/>
  <c r="AW215" i="11"/>
  <c r="AW214" i="11"/>
  <c r="AW212" i="11"/>
  <c r="AW210" i="11"/>
  <c r="AW209" i="11"/>
  <c r="AW205" i="11"/>
  <c r="AW204" i="11"/>
  <c r="AW197" i="11"/>
  <c r="AW198" i="11"/>
  <c r="AW195" i="11"/>
  <c r="AW196" i="11"/>
  <c r="AW201" i="11"/>
  <c r="AW200" i="11"/>
  <c r="AW186" i="11"/>
  <c r="AW189" i="11"/>
  <c r="AW188" i="11"/>
  <c r="AW187" i="11"/>
  <c r="AW182" i="11"/>
  <c r="AW184" i="11"/>
  <c r="AW180" i="11"/>
  <c r="AW179" i="11"/>
  <c r="AW172" i="11"/>
  <c r="AW175" i="11"/>
  <c r="AW174" i="11"/>
  <c r="AW173" i="11"/>
  <c r="AW176" i="11"/>
  <c r="AW177" i="11"/>
  <c r="AW171" i="11"/>
  <c r="AW167" i="11"/>
  <c r="AW162" i="11"/>
  <c r="AW161" i="11"/>
  <c r="AW159" i="11"/>
  <c r="AW157" i="11"/>
  <c r="AW155" i="11"/>
  <c r="AW154" i="11"/>
  <c r="AW153" i="11"/>
  <c r="AW152" i="11"/>
  <c r="AW150" i="11"/>
  <c r="AW143" i="11"/>
  <c r="AW130" i="11"/>
  <c r="AW110" i="11"/>
  <c r="AW107" i="11"/>
  <c r="AW78" i="11"/>
  <c r="AW76" i="11"/>
  <c r="AW75" i="11"/>
  <c r="AW69" i="11"/>
  <c r="AW73" i="11"/>
  <c r="AW72" i="11"/>
  <c r="AW68" i="11"/>
  <c r="AW67" i="11"/>
  <c r="AW70" i="11"/>
  <c r="AW71" i="11"/>
  <c r="AW66" i="11"/>
  <c r="AW61" i="11"/>
  <c r="AW60" i="11"/>
  <c r="AW59" i="11"/>
  <c r="AW58" i="11"/>
  <c r="AW57" i="11"/>
  <c r="AW56" i="11"/>
  <c r="AW54" i="11"/>
  <c r="AW52" i="11"/>
  <c r="AW50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2" i="11"/>
  <c r="AW31" i="11"/>
  <c r="AW30" i="11"/>
  <c r="AW29" i="11"/>
  <c r="AW28" i="11"/>
  <c r="AW26" i="11"/>
  <c r="AW25" i="11"/>
  <c r="AW24" i="11"/>
  <c r="AW23" i="11"/>
  <c r="AW21" i="11"/>
  <c r="AW20" i="11"/>
  <c r="AW19" i="11"/>
  <c r="AW18" i="11"/>
  <c r="AW17" i="11"/>
  <c r="AW16" i="11"/>
  <c r="AW15" i="11"/>
  <c r="AV286" i="11"/>
  <c r="AV280" i="11"/>
  <c r="AV284" i="11"/>
  <c r="AV281" i="11"/>
  <c r="AV282" i="11"/>
  <c r="AV283" i="11"/>
  <c r="AV279" i="11"/>
  <c r="AV278" i="11"/>
  <c r="AV271" i="11"/>
  <c r="AV270" i="11"/>
  <c r="AV266" i="11"/>
  <c r="AV265" i="11"/>
  <c r="AV260" i="11"/>
  <c r="AV259" i="11"/>
  <c r="AV258" i="11"/>
  <c r="AV257" i="11"/>
  <c r="AV256" i="11"/>
  <c r="AV255" i="11"/>
  <c r="AV254" i="11"/>
  <c r="AV249" i="11"/>
  <c r="AV248" i="11"/>
  <c r="AV240" i="11"/>
  <c r="AV238" i="11"/>
  <c r="AV237" i="11"/>
  <c r="AV236" i="11"/>
  <c r="AV235" i="11"/>
  <c r="AV228" i="11"/>
  <c r="AV226" i="11"/>
  <c r="AV225" i="11"/>
  <c r="AV223" i="11"/>
  <c r="AV221" i="11"/>
  <c r="AV220" i="11"/>
  <c r="AV218" i="11"/>
  <c r="AV217" i="11"/>
  <c r="AV215" i="11"/>
  <c r="AV214" i="11"/>
  <c r="AV212" i="11"/>
  <c r="AV210" i="11"/>
  <c r="AV209" i="11"/>
  <c r="AV205" i="11"/>
  <c r="AV204" i="11"/>
  <c r="AV201" i="11"/>
  <c r="AV200" i="11"/>
  <c r="AV197" i="11"/>
  <c r="AV198" i="11"/>
  <c r="AV195" i="11"/>
  <c r="AV196" i="11"/>
  <c r="AV186" i="11"/>
  <c r="AV189" i="11"/>
  <c r="AV188" i="11"/>
  <c r="AV187" i="11"/>
  <c r="AV184" i="11"/>
  <c r="AV182" i="11"/>
  <c r="AV180" i="11"/>
  <c r="AV179" i="11"/>
  <c r="AV172" i="11"/>
  <c r="AV175" i="11"/>
  <c r="AV174" i="11"/>
  <c r="AV173" i="11"/>
  <c r="AV176" i="11"/>
  <c r="AV177" i="11"/>
  <c r="AV171" i="11"/>
  <c r="AV167" i="11"/>
  <c r="AV162" i="11"/>
  <c r="AV161" i="11"/>
  <c r="AV159" i="11"/>
  <c r="AV157" i="11"/>
  <c r="AV155" i="11"/>
  <c r="AV154" i="11"/>
  <c r="AV153" i="11"/>
  <c r="AV152" i="11"/>
  <c r="AV150" i="11"/>
  <c r="AV143" i="11"/>
  <c r="AV130" i="11"/>
  <c r="AV110" i="11"/>
  <c r="AV107" i="11"/>
  <c r="AV78" i="11"/>
  <c r="AV76" i="11"/>
  <c r="AV75" i="11"/>
  <c r="AV69" i="11"/>
  <c r="AV73" i="11"/>
  <c r="AV72" i="11"/>
  <c r="AV68" i="11"/>
  <c r="AV67" i="11"/>
  <c r="AV70" i="11"/>
  <c r="AV71" i="11"/>
  <c r="AV66" i="11"/>
  <c r="AV61" i="11"/>
  <c r="AV60" i="11"/>
  <c r="AV59" i="11"/>
  <c r="AV58" i="11"/>
  <c r="AV57" i="11"/>
  <c r="AV56" i="11"/>
  <c r="AV54" i="11"/>
  <c r="AV52" i="11"/>
  <c r="AV50" i="11"/>
  <c r="AV48" i="11"/>
  <c r="AV47" i="11"/>
  <c r="AV4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2" i="11"/>
  <c r="AV31" i="11"/>
  <c r="AV30" i="11"/>
  <c r="AV29" i="11"/>
  <c r="AV28" i="11"/>
  <c r="AV26" i="11"/>
  <c r="AV25" i="11"/>
  <c r="AV24" i="11"/>
  <c r="AV23" i="11"/>
  <c r="AV21" i="11"/>
  <c r="AV20" i="11"/>
  <c r="AV19" i="11"/>
  <c r="AV18" i="11"/>
  <c r="AV17" i="11"/>
  <c r="AV16" i="11"/>
  <c r="AV15" i="11"/>
  <c r="EQ286" i="11"/>
  <c r="EQ271" i="11"/>
  <c r="EQ270" i="11"/>
  <c r="EQ260" i="11"/>
  <c r="EQ259" i="11"/>
  <c r="EQ258" i="11"/>
  <c r="EQ257" i="11"/>
  <c r="EQ256" i="11"/>
  <c r="EQ255" i="11"/>
  <c r="EQ254" i="11"/>
  <c r="EQ240" i="11"/>
  <c r="EQ223" i="11"/>
  <c r="EQ221" i="11"/>
  <c r="EQ220" i="11"/>
  <c r="EQ215" i="11"/>
  <c r="EQ214" i="11"/>
  <c r="EQ212" i="11"/>
  <c r="EQ210" i="11"/>
  <c r="EQ209" i="11"/>
  <c r="EQ205" i="11"/>
  <c r="EQ204" i="11"/>
  <c r="EQ201" i="11"/>
  <c r="EQ200" i="11"/>
  <c r="EQ186" i="11"/>
  <c r="EQ189" i="11"/>
  <c r="EQ188" i="11"/>
  <c r="EQ187" i="11"/>
  <c r="EQ180" i="11"/>
  <c r="EQ179" i="11"/>
  <c r="EQ167" i="11"/>
  <c r="EQ162" i="11"/>
  <c r="EQ161" i="11"/>
  <c r="EQ159" i="11"/>
  <c r="EQ157" i="11"/>
  <c r="EQ155" i="11"/>
  <c r="EQ154" i="11"/>
  <c r="EQ153" i="11"/>
  <c r="EQ152" i="11"/>
  <c r="EQ110" i="11"/>
  <c r="EQ78" i="11"/>
  <c r="ER78" i="11"/>
  <c r="ER76" i="11"/>
  <c r="ER75" i="11"/>
  <c r="EQ76" i="11"/>
  <c r="EQ75" i="11"/>
  <c r="EQ69" i="11"/>
  <c r="EQ73" i="11"/>
  <c r="EQ72" i="11"/>
  <c r="EQ68" i="11"/>
  <c r="EQ67" i="11"/>
  <c r="EQ70" i="11"/>
  <c r="EQ71" i="11"/>
  <c r="EQ66" i="11"/>
  <c r="EQ54" i="11"/>
  <c r="EQ52" i="11"/>
  <c r="EQ48" i="11"/>
  <c r="EQ47" i="11"/>
  <c r="EQ46" i="11"/>
  <c r="EQ45" i="11"/>
  <c r="EQ44" i="11"/>
  <c r="EQ43" i="11"/>
  <c r="EQ42" i="11"/>
  <c r="EQ41" i="11"/>
  <c r="EQ40" i="11"/>
  <c r="EQ39" i="11"/>
  <c r="EQ38" i="11"/>
  <c r="EQ37" i="11"/>
  <c r="EQ36" i="11"/>
  <c r="EQ35" i="11"/>
  <c r="EQ34" i="11"/>
  <c r="EQ32" i="11"/>
  <c r="EQ31" i="11"/>
  <c r="EQ30" i="11"/>
  <c r="EQ29" i="11"/>
  <c r="EQ28" i="11"/>
  <c r="EQ21" i="11"/>
  <c r="EQ20" i="11"/>
  <c r="EQ19" i="11"/>
  <c r="EQ18" i="11"/>
  <c r="EQ17" i="11"/>
  <c r="EQ16" i="11"/>
  <c r="EQ15" i="11"/>
  <c r="MC260" i="11"/>
  <c r="MC259" i="11"/>
  <c r="MC258" i="11"/>
  <c r="MC257" i="11"/>
  <c r="MC256" i="11"/>
  <c r="MC255" i="11"/>
  <c r="MC254" i="11"/>
  <c r="MC240" i="11"/>
  <c r="MC215" i="11"/>
  <c r="MC214" i="11"/>
  <c r="MC212" i="11"/>
  <c r="MC210" i="11"/>
  <c r="MC209" i="11"/>
  <c r="MC205" i="11"/>
  <c r="MC204" i="11"/>
  <c r="MC184" i="11"/>
  <c r="MC110" i="11"/>
  <c r="MC78" i="11"/>
  <c r="MC48" i="11"/>
  <c r="MC47" i="11"/>
  <c r="MC46" i="11"/>
  <c r="MC45" i="11"/>
  <c r="MC44" i="11"/>
  <c r="MC43" i="11"/>
  <c r="MC42" i="11"/>
  <c r="MC41" i="11"/>
  <c r="MC40" i="11"/>
  <c r="MC39" i="11"/>
  <c r="MC38" i="11"/>
  <c r="MC37" i="11"/>
  <c r="MC36" i="11"/>
  <c r="MC35" i="11"/>
  <c r="MC34" i="11"/>
  <c r="MC32" i="11"/>
  <c r="MC31" i="11"/>
  <c r="MC30" i="11"/>
  <c r="MC29" i="11"/>
  <c r="MC28" i="11"/>
  <c r="MB78" i="11"/>
  <c r="EW260" i="11"/>
  <c r="EW259" i="11"/>
  <c r="EW258" i="11"/>
  <c r="EW257" i="11"/>
  <c r="EW256" i="11"/>
  <c r="EW255" i="11"/>
  <c r="EW254" i="11"/>
  <c r="EW240" i="11"/>
  <c r="EW215" i="11"/>
  <c r="EW214" i="11"/>
  <c r="EW212" i="11"/>
  <c r="EW210" i="11"/>
  <c r="EW209" i="11"/>
  <c r="EW205" i="11"/>
  <c r="EW204" i="11"/>
  <c r="EW184" i="11"/>
  <c r="EW110" i="11"/>
  <c r="EW78" i="11"/>
  <c r="EW48" i="11"/>
  <c r="EW47" i="11"/>
  <c r="EW46" i="11"/>
  <c r="EW45" i="11"/>
  <c r="EW44" i="11"/>
  <c r="EW43" i="11"/>
  <c r="EW42" i="11"/>
  <c r="EW41" i="11"/>
  <c r="EW40" i="11"/>
  <c r="EW39" i="11"/>
  <c r="EW38" i="11"/>
  <c r="EW37" i="11"/>
  <c r="EW36" i="11"/>
  <c r="EW35" i="11"/>
  <c r="EW34" i="11"/>
  <c r="EW32" i="11"/>
  <c r="EW31" i="11"/>
  <c r="EW30" i="11"/>
  <c r="EW29" i="11"/>
  <c r="EW28" i="11"/>
  <c r="FD286" i="11"/>
  <c r="FD271" i="11"/>
  <c r="FD270" i="11"/>
  <c r="FD266" i="11"/>
  <c r="FD265" i="11"/>
  <c r="FD260" i="11"/>
  <c r="FD259" i="11"/>
  <c r="FD258" i="11"/>
  <c r="FD257" i="11"/>
  <c r="FD256" i="11"/>
  <c r="FD255" i="11"/>
  <c r="FD254" i="11"/>
  <c r="FD240" i="11"/>
  <c r="FD223" i="11"/>
  <c r="FD221" i="11"/>
  <c r="FD220" i="11"/>
  <c r="FD218" i="11"/>
  <c r="FD217" i="11"/>
  <c r="FD215" i="11"/>
  <c r="FD214" i="11"/>
  <c r="FD212" i="11"/>
  <c r="FD210" i="11"/>
  <c r="FD209" i="11"/>
  <c r="FD205" i="11"/>
  <c r="FD204" i="11"/>
  <c r="FD201" i="11"/>
  <c r="FD200" i="11"/>
  <c r="FD186" i="11"/>
  <c r="FD189" i="11"/>
  <c r="FD188" i="11"/>
  <c r="FD187" i="11"/>
  <c r="FD184" i="11"/>
  <c r="FD180" i="11"/>
  <c r="FD179" i="11"/>
  <c r="FD167" i="11"/>
  <c r="FD162" i="11"/>
  <c r="FD161" i="11"/>
  <c r="FD159" i="11"/>
  <c r="FD157" i="11"/>
  <c r="FD155" i="11"/>
  <c r="FD154" i="11"/>
  <c r="FD153" i="11"/>
  <c r="FD152" i="11"/>
  <c r="FD150" i="11"/>
  <c r="FD130" i="11"/>
  <c r="FD110" i="11"/>
  <c r="FD107" i="11"/>
  <c r="FD78" i="11"/>
  <c r="FD76" i="11"/>
  <c r="FD75" i="11"/>
  <c r="FD61" i="11"/>
  <c r="FD60" i="11"/>
  <c r="FD59" i="11"/>
  <c r="FD58" i="11"/>
  <c r="FD57" i="11"/>
  <c r="FD56" i="11"/>
  <c r="FD54" i="11"/>
  <c r="FD52" i="11"/>
  <c r="FD50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2" i="11"/>
  <c r="FD31" i="11"/>
  <c r="FD30" i="11"/>
  <c r="FD29" i="11"/>
  <c r="FD28" i="11"/>
  <c r="FD21" i="11"/>
  <c r="FD20" i="11"/>
  <c r="FD19" i="11"/>
  <c r="FD18" i="11"/>
  <c r="FD17" i="11"/>
  <c r="FD16" i="11"/>
  <c r="FD15" i="11"/>
  <c r="IL110" i="11"/>
  <c r="IL78" i="11"/>
  <c r="AZ286" i="11"/>
  <c r="AZ271" i="11"/>
  <c r="AZ270" i="11"/>
  <c r="AZ280" i="11"/>
  <c r="AZ284" i="11"/>
  <c r="AZ281" i="11"/>
  <c r="AZ282" i="11"/>
  <c r="AZ283" i="11"/>
  <c r="AZ279" i="11"/>
  <c r="AZ278" i="11"/>
  <c r="AZ266" i="11"/>
  <c r="AZ265" i="11"/>
  <c r="AZ260" i="11"/>
  <c r="AZ259" i="11"/>
  <c r="AZ258" i="11"/>
  <c r="AZ257" i="11"/>
  <c r="AZ256" i="11"/>
  <c r="AZ255" i="11"/>
  <c r="AZ254" i="11"/>
  <c r="AZ249" i="11"/>
  <c r="AZ248" i="11"/>
  <c r="AZ240" i="11"/>
  <c r="AZ238" i="11"/>
  <c r="AZ237" i="11"/>
  <c r="AZ236" i="11"/>
  <c r="AZ235" i="11"/>
  <c r="AZ228" i="11"/>
  <c r="AZ226" i="11"/>
  <c r="AZ225" i="11"/>
  <c r="AZ223" i="11"/>
  <c r="AZ221" i="11"/>
  <c r="AZ220" i="11"/>
  <c r="AZ218" i="11"/>
  <c r="AZ217" i="11"/>
  <c r="AZ215" i="11"/>
  <c r="AZ214" i="11"/>
  <c r="AZ212" i="11"/>
  <c r="AZ210" i="11"/>
  <c r="AZ209" i="11"/>
  <c r="AZ205" i="11"/>
  <c r="AZ204" i="11"/>
  <c r="AZ201" i="11"/>
  <c r="AZ200" i="11"/>
  <c r="AZ197" i="11"/>
  <c r="AZ198" i="11"/>
  <c r="AZ195" i="11"/>
  <c r="AZ196" i="11"/>
  <c r="AZ186" i="11"/>
  <c r="AZ189" i="11"/>
  <c r="AZ188" i="11"/>
  <c r="AZ187" i="11"/>
  <c r="AZ182" i="11"/>
  <c r="AZ184" i="11"/>
  <c r="AZ180" i="11"/>
  <c r="AZ179" i="11"/>
  <c r="AZ172" i="11"/>
  <c r="AZ175" i="11"/>
  <c r="AZ174" i="11"/>
  <c r="AZ173" i="11"/>
  <c r="AZ176" i="11"/>
  <c r="AZ177" i="11"/>
  <c r="AZ171" i="11"/>
  <c r="AZ167" i="11"/>
  <c r="AZ162" i="11"/>
  <c r="AZ161" i="11"/>
  <c r="AZ159" i="11"/>
  <c r="AZ157" i="11"/>
  <c r="AZ150" i="11"/>
  <c r="AZ155" i="11"/>
  <c r="AZ154" i="11"/>
  <c r="AZ153" i="11"/>
  <c r="AZ152" i="11"/>
  <c r="AZ143" i="11"/>
  <c r="AZ130" i="11"/>
  <c r="AZ110" i="11"/>
  <c r="AZ107" i="11"/>
  <c r="AZ78" i="11"/>
  <c r="AZ76" i="11"/>
  <c r="AZ75" i="11"/>
  <c r="AZ69" i="11"/>
  <c r="AZ73" i="11"/>
  <c r="AZ72" i="11"/>
  <c r="AZ68" i="11"/>
  <c r="AZ67" i="11"/>
  <c r="AZ70" i="11"/>
  <c r="AZ71" i="11"/>
  <c r="AZ66" i="11"/>
  <c r="AZ61" i="11"/>
  <c r="AZ60" i="11"/>
  <c r="AZ59" i="11"/>
  <c r="AZ58" i="11"/>
  <c r="AZ57" i="11"/>
  <c r="AZ56" i="11"/>
  <c r="AZ54" i="11"/>
  <c r="AZ52" i="11"/>
  <c r="AZ50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2" i="11"/>
  <c r="AZ31" i="11"/>
  <c r="AZ30" i="11"/>
  <c r="AZ29" i="11"/>
  <c r="AZ28" i="11"/>
  <c r="AZ26" i="11"/>
  <c r="AZ25" i="11"/>
  <c r="AZ24" i="11"/>
  <c r="AZ23" i="11"/>
  <c r="AZ21" i="11"/>
  <c r="AZ20" i="11"/>
  <c r="AZ19" i="11"/>
  <c r="AZ18" i="11"/>
  <c r="AZ17" i="11"/>
  <c r="AZ16" i="11"/>
  <c r="AZ15" i="11"/>
  <c r="DQ260" i="11"/>
  <c r="DQ259" i="11"/>
  <c r="DQ258" i="11"/>
  <c r="DQ257" i="11"/>
  <c r="DQ256" i="11"/>
  <c r="DQ255" i="11"/>
  <c r="DQ254" i="11"/>
  <c r="DQ215" i="11"/>
  <c r="DQ214" i="11"/>
  <c r="DQ212" i="11"/>
  <c r="DQ210" i="11"/>
  <c r="DQ209" i="11"/>
  <c r="DQ205" i="11"/>
  <c r="DQ204" i="11"/>
  <c r="DQ201" i="11"/>
  <c r="DQ200" i="11"/>
  <c r="DQ110" i="11"/>
  <c r="DQ78" i="11"/>
  <c r="DQ48" i="11"/>
  <c r="DQ47" i="11"/>
  <c r="DQ46" i="11"/>
  <c r="DQ45" i="11"/>
  <c r="DQ44" i="11"/>
  <c r="DQ43" i="11"/>
  <c r="DQ42" i="11"/>
  <c r="DQ41" i="11"/>
  <c r="DQ40" i="11"/>
  <c r="DQ39" i="11"/>
  <c r="DQ38" i="11"/>
  <c r="DQ37" i="11"/>
  <c r="DQ36" i="11"/>
  <c r="DQ35" i="11"/>
  <c r="DQ34" i="11"/>
  <c r="DQ32" i="11"/>
  <c r="DQ31" i="11"/>
  <c r="DQ30" i="11"/>
  <c r="DQ29" i="11"/>
  <c r="DQ28" i="11"/>
  <c r="IS78" i="11"/>
  <c r="IY78" i="11"/>
  <c r="AG249" i="11"/>
  <c r="AG248" i="11"/>
  <c r="AG223" i="11"/>
  <c r="AG221" i="11"/>
  <c r="AG220" i="11"/>
  <c r="AG215" i="11"/>
  <c r="AG214" i="11"/>
  <c r="AG212" i="11"/>
  <c r="AG210" i="11"/>
  <c r="AG209" i="11"/>
  <c r="AG205" i="11"/>
  <c r="AG204" i="11"/>
  <c r="AG180" i="11"/>
  <c r="AG179" i="11"/>
  <c r="AG110" i="11"/>
  <c r="AG107" i="11"/>
  <c r="HF280" i="11"/>
  <c r="HE280" i="11"/>
  <c r="HD280" i="11"/>
  <c r="HC280" i="11"/>
  <c r="HF284" i="11"/>
  <c r="HE284" i="11"/>
  <c r="HD284" i="11"/>
  <c r="HC284" i="11"/>
  <c r="HF281" i="11"/>
  <c r="HE281" i="11"/>
  <c r="HD281" i="11"/>
  <c r="HC281" i="11"/>
  <c r="HF282" i="11"/>
  <c r="HE282" i="11"/>
  <c r="HD282" i="11"/>
  <c r="HC282" i="11"/>
  <c r="HF283" i="11"/>
  <c r="HE283" i="11"/>
  <c r="HD283" i="11"/>
  <c r="HC283" i="11"/>
  <c r="HF279" i="11"/>
  <c r="HE279" i="11"/>
  <c r="HD279" i="11"/>
  <c r="HC279" i="11"/>
  <c r="HF278" i="11"/>
  <c r="HE278" i="11"/>
  <c r="HD278" i="11"/>
  <c r="HC278" i="11"/>
  <c r="HF260" i="11"/>
  <c r="HE260" i="11"/>
  <c r="HD260" i="11"/>
  <c r="HC260" i="11"/>
  <c r="HF259" i="11"/>
  <c r="HE259" i="11"/>
  <c r="HD259" i="11"/>
  <c r="HC259" i="11"/>
  <c r="HF258" i="11"/>
  <c r="HE258" i="11"/>
  <c r="HD258" i="11"/>
  <c r="HC258" i="11"/>
  <c r="HF257" i="11"/>
  <c r="HE257" i="11"/>
  <c r="HD257" i="11"/>
  <c r="HC257" i="11"/>
  <c r="HF256" i="11"/>
  <c r="HE256" i="11"/>
  <c r="HD256" i="11"/>
  <c r="HC256" i="11"/>
  <c r="HF255" i="11"/>
  <c r="HE255" i="11"/>
  <c r="HD255" i="11"/>
  <c r="HC255" i="11"/>
  <c r="HF254" i="11"/>
  <c r="HE254" i="11"/>
  <c r="HD254" i="11"/>
  <c r="HC254" i="11"/>
  <c r="HF228" i="11"/>
  <c r="HE228" i="11"/>
  <c r="HD228" i="11"/>
  <c r="HC228" i="11"/>
  <c r="HF226" i="11"/>
  <c r="HE226" i="11"/>
  <c r="HD226" i="11"/>
  <c r="HC226" i="11"/>
  <c r="HF225" i="11"/>
  <c r="HE225" i="11"/>
  <c r="HD225" i="11"/>
  <c r="HC225" i="11"/>
  <c r="HF197" i="11"/>
  <c r="HE197" i="11"/>
  <c r="HD197" i="11"/>
  <c r="HC197" i="11"/>
  <c r="HF198" i="11"/>
  <c r="HE198" i="11"/>
  <c r="HD198" i="11"/>
  <c r="HC198" i="11"/>
  <c r="HF195" i="11"/>
  <c r="HE195" i="11"/>
  <c r="HD195" i="11"/>
  <c r="HC195" i="11"/>
  <c r="HF196" i="11"/>
  <c r="HE196" i="11"/>
  <c r="HD196" i="11"/>
  <c r="HC196" i="11"/>
  <c r="HF182" i="11"/>
  <c r="HE182" i="11"/>
  <c r="HD182" i="11"/>
  <c r="HC182" i="11"/>
  <c r="HF172" i="11"/>
  <c r="HE172" i="11"/>
  <c r="HD172" i="11"/>
  <c r="HC172" i="11"/>
  <c r="HF175" i="11"/>
  <c r="HE175" i="11"/>
  <c r="HD175" i="11"/>
  <c r="HC175" i="11"/>
  <c r="HF174" i="11"/>
  <c r="HE174" i="11"/>
  <c r="HD174" i="11"/>
  <c r="HC174" i="11"/>
  <c r="HF173" i="11"/>
  <c r="HE173" i="11"/>
  <c r="HD173" i="11"/>
  <c r="HC173" i="11"/>
  <c r="HF176" i="11"/>
  <c r="HE176" i="11"/>
  <c r="HD176" i="11"/>
  <c r="HC176" i="11"/>
  <c r="HF177" i="11"/>
  <c r="HE177" i="11"/>
  <c r="HD177" i="11"/>
  <c r="HC177" i="11"/>
  <c r="HF171" i="11"/>
  <c r="HE171" i="11"/>
  <c r="HD171" i="11"/>
  <c r="HC171" i="11"/>
  <c r="HF167" i="11"/>
  <c r="HE167" i="11"/>
  <c r="HD167" i="11"/>
  <c r="HC167" i="11"/>
  <c r="HF162" i="11"/>
  <c r="HE162" i="11"/>
  <c r="HD162" i="11"/>
  <c r="HC162" i="11"/>
  <c r="HF161" i="11"/>
  <c r="HE161" i="11"/>
  <c r="HD161" i="11"/>
  <c r="HC161" i="11"/>
  <c r="HF159" i="11"/>
  <c r="HE159" i="11"/>
  <c r="HD159" i="11"/>
  <c r="HC159" i="11"/>
  <c r="HF157" i="11"/>
  <c r="HE157" i="11"/>
  <c r="HD157" i="11"/>
  <c r="HC157" i="11"/>
  <c r="HF155" i="11"/>
  <c r="HE155" i="11"/>
  <c r="HD155" i="11"/>
  <c r="HC155" i="11"/>
  <c r="HF154" i="11"/>
  <c r="HE154" i="11"/>
  <c r="HD154" i="11"/>
  <c r="HC154" i="11"/>
  <c r="HF153" i="11"/>
  <c r="HE153" i="11"/>
  <c r="HD153" i="11"/>
  <c r="HC153" i="11"/>
  <c r="HF152" i="11"/>
  <c r="HE152" i="11"/>
  <c r="HD152" i="11"/>
  <c r="HC152" i="11"/>
  <c r="HF110" i="11"/>
  <c r="HE110" i="11"/>
  <c r="HD110" i="11"/>
  <c r="HC110" i="11"/>
  <c r="HF78" i="11"/>
  <c r="HE78" i="11"/>
  <c r="HD78" i="11"/>
  <c r="HC78" i="11"/>
  <c r="HF48" i="11"/>
  <c r="HE48" i="11"/>
  <c r="HD48" i="11"/>
  <c r="HC48" i="11"/>
  <c r="HF47" i="11"/>
  <c r="HE47" i="11"/>
  <c r="HD47" i="11"/>
  <c r="HC47" i="11"/>
  <c r="HF46" i="11"/>
  <c r="HE46" i="11"/>
  <c r="HD46" i="11"/>
  <c r="HC46" i="11"/>
  <c r="HF45" i="11"/>
  <c r="HE45" i="11"/>
  <c r="HD45" i="11"/>
  <c r="HC45" i="11"/>
  <c r="HF44" i="11"/>
  <c r="HE44" i="11"/>
  <c r="HD44" i="11"/>
  <c r="HC44" i="11"/>
  <c r="HF43" i="11"/>
  <c r="HE43" i="11"/>
  <c r="HD43" i="11"/>
  <c r="HC43" i="11"/>
  <c r="HF42" i="11"/>
  <c r="HE42" i="11"/>
  <c r="HD42" i="11"/>
  <c r="HC42" i="11"/>
  <c r="HF41" i="11"/>
  <c r="HE41" i="11"/>
  <c r="HD41" i="11"/>
  <c r="HC41" i="11"/>
  <c r="HF40" i="11"/>
  <c r="HE40" i="11"/>
  <c r="HD40" i="11"/>
  <c r="HC40" i="11"/>
  <c r="HF39" i="11"/>
  <c r="HE39" i="11"/>
  <c r="HD39" i="11"/>
  <c r="HC39" i="11"/>
  <c r="HF38" i="11"/>
  <c r="HE38" i="11"/>
  <c r="HD38" i="11"/>
  <c r="HC38" i="11"/>
  <c r="HF37" i="11"/>
  <c r="HE37" i="11"/>
  <c r="HD37" i="11"/>
  <c r="HC37" i="11"/>
  <c r="HF36" i="11"/>
  <c r="HE36" i="11"/>
  <c r="HD36" i="11"/>
  <c r="HC36" i="11"/>
  <c r="HF35" i="11"/>
  <c r="HE35" i="11"/>
  <c r="HD35" i="11"/>
  <c r="HC35" i="11"/>
  <c r="HF34" i="11"/>
  <c r="HE34" i="11"/>
  <c r="HD34" i="11"/>
  <c r="HC34" i="11"/>
  <c r="HF32" i="11"/>
  <c r="HE32" i="11"/>
  <c r="HD32" i="11"/>
  <c r="HC32" i="11"/>
  <c r="HF31" i="11"/>
  <c r="HE31" i="11"/>
  <c r="HD31" i="11"/>
  <c r="HC31" i="11"/>
  <c r="HF30" i="11"/>
  <c r="HE30" i="11"/>
  <c r="HD30" i="11"/>
  <c r="HC30" i="11"/>
  <c r="HF29" i="11"/>
  <c r="HE29" i="11"/>
  <c r="HD29" i="11"/>
  <c r="HC29" i="11"/>
  <c r="HF28" i="11"/>
  <c r="HE28" i="11"/>
  <c r="HD28" i="11"/>
  <c r="HC28" i="11"/>
  <c r="HF21" i="11"/>
  <c r="HE21" i="11"/>
  <c r="HD21" i="11"/>
  <c r="HC21" i="11"/>
  <c r="HF20" i="11"/>
  <c r="HE20" i="11"/>
  <c r="HD20" i="11"/>
  <c r="HC20" i="11"/>
  <c r="HF19" i="11"/>
  <c r="HE19" i="11"/>
  <c r="HD19" i="11"/>
  <c r="HC19" i="11"/>
  <c r="HF18" i="11"/>
  <c r="HE18" i="11"/>
  <c r="HD18" i="11"/>
  <c r="HC18" i="11"/>
  <c r="HF17" i="11"/>
  <c r="HE17" i="11"/>
  <c r="HD17" i="11"/>
  <c r="HC17" i="11"/>
  <c r="HF16" i="11"/>
  <c r="HE16" i="11"/>
  <c r="HD16" i="11"/>
  <c r="HC16" i="11"/>
  <c r="HF15" i="11"/>
  <c r="HE15" i="11"/>
  <c r="HD15" i="11"/>
  <c r="HC15" i="11"/>
  <c r="HB283" i="11"/>
  <c r="HB78" i="11"/>
  <c r="HB286" i="11"/>
  <c r="HB280" i="11"/>
  <c r="HB284" i="11"/>
  <c r="HB281" i="11"/>
  <c r="HB282" i="11"/>
  <c r="HB279" i="11"/>
  <c r="HB278" i="11"/>
  <c r="HB271" i="11"/>
  <c r="HB270" i="11"/>
  <c r="HB266" i="11"/>
  <c r="HB265" i="11"/>
  <c r="HB260" i="11"/>
  <c r="HB259" i="11"/>
  <c r="HB258" i="11"/>
  <c r="HB257" i="11"/>
  <c r="HB256" i="11"/>
  <c r="HB255" i="11"/>
  <c r="HB254" i="11"/>
  <c r="HB249" i="11"/>
  <c r="HB248" i="11"/>
  <c r="HB240" i="11"/>
  <c r="HB238" i="11"/>
  <c r="HB237" i="11"/>
  <c r="HB236" i="11"/>
  <c r="HB235" i="11"/>
  <c r="HB228" i="11"/>
  <c r="HB226" i="11"/>
  <c r="HB225" i="11"/>
  <c r="HB223" i="11"/>
  <c r="HB221" i="11"/>
  <c r="HB220" i="11"/>
  <c r="HB218" i="11"/>
  <c r="HB217" i="11"/>
  <c r="HB215" i="11"/>
  <c r="HB214" i="11"/>
  <c r="HB212" i="11"/>
  <c r="HB210" i="11"/>
  <c r="HB209" i="11"/>
  <c r="HB205" i="11"/>
  <c r="HB204" i="11"/>
  <c r="HB201" i="11"/>
  <c r="HB200" i="11"/>
  <c r="HB197" i="11"/>
  <c r="HB198" i="11"/>
  <c r="HB195" i="11"/>
  <c r="HB196" i="11"/>
  <c r="HB186" i="11"/>
  <c r="HB189" i="11"/>
  <c r="HB188" i="11"/>
  <c r="HB187" i="11"/>
  <c r="HB184" i="11"/>
  <c r="HB182" i="11"/>
  <c r="HB180" i="11"/>
  <c r="HB179" i="11"/>
  <c r="HB172" i="11"/>
  <c r="HB175" i="11"/>
  <c r="HB174" i="11"/>
  <c r="HB173" i="11"/>
  <c r="HB176" i="11"/>
  <c r="HB177" i="11"/>
  <c r="HB171" i="11"/>
  <c r="HB167" i="11"/>
  <c r="HB162" i="11"/>
  <c r="HB161" i="11"/>
  <c r="HB159" i="11"/>
  <c r="HB157" i="11"/>
  <c r="HB155" i="11"/>
  <c r="HB154" i="11"/>
  <c r="HB153" i="11"/>
  <c r="HB152" i="11"/>
  <c r="HB150" i="11"/>
  <c r="HB143" i="11"/>
  <c r="HB130" i="11"/>
  <c r="HB110" i="11"/>
  <c r="HB107" i="11"/>
  <c r="HB76" i="11"/>
  <c r="HB75" i="11"/>
  <c r="HB69" i="11"/>
  <c r="HB73" i="11"/>
  <c r="HB72" i="11"/>
  <c r="HB68" i="11"/>
  <c r="HB67" i="11"/>
  <c r="HB70" i="11"/>
  <c r="HB71" i="11"/>
  <c r="HB66" i="11"/>
  <c r="HB61" i="11"/>
  <c r="HB60" i="11"/>
  <c r="HB59" i="11"/>
  <c r="HB58" i="11"/>
  <c r="HB57" i="11"/>
  <c r="HB56" i="11"/>
  <c r="HB54" i="11"/>
  <c r="HB52" i="11"/>
  <c r="HB50" i="11"/>
  <c r="HB48" i="11"/>
  <c r="HB47" i="11"/>
  <c r="HB46" i="11"/>
  <c r="HB45" i="11"/>
  <c r="HB44" i="11"/>
  <c r="HB43" i="11"/>
  <c r="HB42" i="11"/>
  <c r="HB41" i="11"/>
  <c r="HB40" i="11"/>
  <c r="HB39" i="11"/>
  <c r="HB38" i="11"/>
  <c r="HB37" i="11"/>
  <c r="HB36" i="11"/>
  <c r="HB35" i="11"/>
  <c r="HB34" i="11"/>
  <c r="HB32" i="11"/>
  <c r="HB31" i="11"/>
  <c r="HB30" i="11"/>
  <c r="HB29" i="11"/>
  <c r="HB28" i="11"/>
  <c r="HB26" i="11"/>
  <c r="HB25" i="11"/>
  <c r="HB24" i="11"/>
  <c r="HB23" i="11"/>
  <c r="HB21" i="11"/>
  <c r="HB20" i="11"/>
  <c r="HB19" i="11"/>
  <c r="HB18" i="11"/>
  <c r="HB17" i="11"/>
  <c r="HB16" i="11"/>
  <c r="HB15" i="11"/>
  <c r="BQ180" i="11"/>
  <c r="BQ179" i="11"/>
  <c r="BQ78" i="11"/>
  <c r="BP78" i="11"/>
  <c r="BP48" i="11"/>
  <c r="BP47" i="11"/>
  <c r="BP46" i="11"/>
  <c r="BP45" i="11"/>
  <c r="BP44" i="11"/>
  <c r="BP43" i="11"/>
  <c r="BP42" i="11"/>
  <c r="BP41" i="11"/>
  <c r="BP40" i="11"/>
  <c r="BP39" i="11"/>
  <c r="BP38" i="11"/>
  <c r="BP37" i="11"/>
  <c r="BP36" i="11"/>
  <c r="BP35" i="11"/>
  <c r="BP34" i="11"/>
  <c r="BP32" i="11"/>
  <c r="BP31" i="11"/>
  <c r="BP30" i="11"/>
  <c r="BP29" i="11"/>
  <c r="BP28" i="11"/>
  <c r="BO78" i="11"/>
  <c r="BO76" i="11"/>
  <c r="BO75" i="11"/>
  <c r="BN76" i="11"/>
  <c r="BN75" i="11"/>
  <c r="LB78" i="11"/>
  <c r="ET223" i="11"/>
  <c r="ET221" i="11"/>
  <c r="ET220" i="11"/>
  <c r="ET78" i="11"/>
  <c r="ET76" i="11"/>
  <c r="ET75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2" i="11"/>
  <c r="ET31" i="11"/>
  <c r="ET30" i="11"/>
  <c r="ET29" i="11"/>
  <c r="ET28" i="11"/>
  <c r="FB78" i="11"/>
  <c r="CE215" i="11"/>
  <c r="CE214" i="11"/>
  <c r="CE212" i="11"/>
  <c r="CE210" i="11"/>
  <c r="CE209" i="11"/>
  <c r="CE205" i="11"/>
  <c r="CE204" i="11"/>
  <c r="BJ215" i="11"/>
  <c r="BJ214" i="11"/>
  <c r="BJ212" i="11"/>
  <c r="BJ210" i="11"/>
  <c r="BJ209" i="11"/>
  <c r="BJ205" i="11"/>
  <c r="BJ204" i="11"/>
  <c r="CE182" i="11"/>
  <c r="BJ182" i="11"/>
  <c r="CE48" i="11"/>
  <c r="CE47" i="11"/>
  <c r="CE46" i="11"/>
  <c r="CE45" i="11"/>
  <c r="CE44" i="11"/>
  <c r="CE43" i="11"/>
  <c r="CE42" i="11"/>
  <c r="CE41" i="11"/>
  <c r="CE40" i="11"/>
  <c r="CE39" i="11"/>
  <c r="CE38" i="11"/>
  <c r="CE37" i="11"/>
  <c r="CE36" i="11"/>
  <c r="CE35" i="11"/>
  <c r="CE34" i="11"/>
  <c r="CE32" i="11"/>
  <c r="CE31" i="11"/>
  <c r="CE30" i="11"/>
  <c r="CE29" i="11"/>
  <c r="CE28" i="11"/>
  <c r="BJ48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2" i="11"/>
  <c r="BJ31" i="11"/>
  <c r="BJ30" i="11"/>
  <c r="BJ29" i="11"/>
  <c r="BJ28" i="11"/>
  <c r="BL223" i="11"/>
  <c r="BL221" i="11"/>
  <c r="BL220" i="11"/>
  <c r="BL218" i="11"/>
  <c r="BL217" i="11"/>
  <c r="BL215" i="11"/>
  <c r="BL214" i="11"/>
  <c r="BL212" i="11"/>
  <c r="BL210" i="11"/>
  <c r="BL209" i="11"/>
  <c r="BL205" i="11"/>
  <c r="BL204" i="11"/>
  <c r="BL201" i="11"/>
  <c r="BL200" i="11"/>
  <c r="BL162" i="11"/>
  <c r="BL161" i="11"/>
  <c r="BL159" i="11"/>
  <c r="BL157" i="11"/>
  <c r="BL78" i="11"/>
  <c r="BL76" i="11"/>
  <c r="BL75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2" i="11"/>
  <c r="BL31" i="11"/>
  <c r="BL30" i="11"/>
  <c r="BL29" i="11"/>
  <c r="BL28" i="11"/>
  <c r="BL20" i="11"/>
  <c r="BL19" i="11"/>
  <c r="BL18" i="11"/>
  <c r="BL17" i="11"/>
  <c r="BL16" i="11"/>
  <c r="BL15" i="11"/>
  <c r="BL21" i="11"/>
  <c r="BT249" i="11"/>
  <c r="BT248" i="11"/>
  <c r="BT78" i="11"/>
  <c r="BM78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2" i="11"/>
  <c r="BM31" i="11"/>
  <c r="BM30" i="11"/>
  <c r="BM29" i="11"/>
  <c r="BM28" i="11"/>
  <c r="AU110" i="11"/>
  <c r="AU78" i="11"/>
  <c r="AU48" i="11"/>
  <c r="AU47" i="11"/>
  <c r="AU4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2" i="11"/>
  <c r="AU31" i="11"/>
  <c r="AU30" i="11"/>
  <c r="AU29" i="11"/>
  <c r="AU28" i="11"/>
  <c r="KB260" i="11"/>
  <c r="KB259" i="11"/>
  <c r="KB258" i="11"/>
  <c r="KB257" i="11"/>
  <c r="KB256" i="11"/>
  <c r="KB255" i="11"/>
  <c r="KB254" i="11"/>
  <c r="IM260" i="11"/>
  <c r="IM259" i="11"/>
  <c r="IM258" i="11"/>
  <c r="IM257" i="11"/>
  <c r="IM256" i="11"/>
  <c r="IM255" i="11"/>
  <c r="IM254" i="11"/>
  <c r="IM240" i="11"/>
  <c r="IM215" i="11"/>
  <c r="IM214" i="11"/>
  <c r="IM212" i="11"/>
  <c r="IM210" i="11"/>
  <c r="IM209" i="11"/>
  <c r="IM205" i="11"/>
  <c r="IM204" i="11"/>
  <c r="IM201" i="11"/>
  <c r="IM200" i="11"/>
  <c r="IM186" i="11"/>
  <c r="IM189" i="11"/>
  <c r="IM188" i="11"/>
  <c r="IM187" i="11"/>
  <c r="IM184" i="11"/>
  <c r="IM130" i="11"/>
  <c r="IM110" i="11"/>
  <c r="IM78" i="11"/>
  <c r="IM61" i="11"/>
  <c r="IM60" i="11"/>
  <c r="IM59" i="11"/>
  <c r="IM58" i="11"/>
  <c r="IM57" i="11"/>
  <c r="IM56" i="11"/>
  <c r="IM48" i="11"/>
  <c r="IM47" i="11"/>
  <c r="IM46" i="11"/>
  <c r="IM45" i="11"/>
  <c r="IM44" i="11"/>
  <c r="IM43" i="11"/>
  <c r="IM42" i="11"/>
  <c r="IM41" i="11"/>
  <c r="IM40" i="11"/>
  <c r="IM39" i="11"/>
  <c r="IM38" i="11"/>
  <c r="IM37" i="11"/>
  <c r="IM36" i="11"/>
  <c r="IM35" i="11"/>
  <c r="IM34" i="11"/>
  <c r="IM32" i="11"/>
  <c r="IM31" i="11"/>
  <c r="IM30" i="11"/>
  <c r="IM29" i="11"/>
  <c r="IM28" i="11"/>
  <c r="JS238" i="11"/>
  <c r="JS237" i="11"/>
  <c r="JS236" i="11"/>
  <c r="JS235" i="11"/>
  <c r="JS215" i="11"/>
  <c r="JS214" i="11"/>
  <c r="JS212" i="11"/>
  <c r="JS210" i="11"/>
  <c r="JS209" i="11"/>
  <c r="JS205" i="11"/>
  <c r="JS204" i="11"/>
  <c r="JS110" i="11"/>
  <c r="JS76" i="11"/>
  <c r="JS75" i="11"/>
  <c r="JS48" i="11"/>
  <c r="JS47" i="11"/>
  <c r="JS46" i="11"/>
  <c r="JS45" i="11"/>
  <c r="JS44" i="11"/>
  <c r="JS43" i="11"/>
  <c r="JS42" i="11"/>
  <c r="JS41" i="11"/>
  <c r="JS40" i="11"/>
  <c r="JS39" i="11"/>
  <c r="JS38" i="11"/>
  <c r="JS37" i="11"/>
  <c r="JS36" i="11"/>
  <c r="JS35" i="11"/>
  <c r="JS34" i="11"/>
  <c r="JS32" i="11"/>
  <c r="JS31" i="11"/>
  <c r="JS30" i="11"/>
  <c r="JS29" i="11"/>
  <c r="JS28" i="11"/>
  <c r="BK180" i="11" l="1"/>
  <c r="BK179" i="11"/>
  <c r="BK167" i="11"/>
  <c r="BK110" i="11"/>
  <c r="BK54" i="11"/>
  <c r="BK52" i="11"/>
  <c r="BK48" i="11"/>
  <c r="BK47" i="11"/>
  <c r="BK46" i="11"/>
  <c r="BK45" i="11"/>
  <c r="BK44" i="11"/>
  <c r="BK43" i="11"/>
  <c r="BK42" i="11"/>
  <c r="BK41" i="11"/>
  <c r="BK40" i="11"/>
  <c r="BK39" i="11"/>
  <c r="BK38" i="11"/>
  <c r="BK37" i="11"/>
  <c r="BK36" i="11"/>
  <c r="BK35" i="11"/>
  <c r="BK34" i="11"/>
  <c r="BK32" i="11"/>
  <c r="BK31" i="11"/>
  <c r="BK30" i="11"/>
  <c r="BK29" i="11"/>
  <c r="BK28" i="11"/>
  <c r="BK21" i="11"/>
  <c r="BK20" i="11"/>
  <c r="BK19" i="11"/>
  <c r="BK18" i="11"/>
  <c r="BK17" i="11"/>
  <c r="BK16" i="11"/>
  <c r="BK15" i="11"/>
  <c r="AF110" i="11"/>
  <c r="AF107" i="11"/>
  <c r="AF78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2" i="11"/>
  <c r="AF31" i="11"/>
  <c r="AF30" i="11"/>
  <c r="AF29" i="11"/>
  <c r="AF28" i="11"/>
  <c r="AF21" i="11"/>
  <c r="AF20" i="11"/>
  <c r="AF19" i="11"/>
  <c r="AF18" i="11"/>
  <c r="AF17" i="11"/>
  <c r="AF16" i="11"/>
  <c r="AF15" i="11"/>
  <c r="FE260" i="11"/>
  <c r="FE259" i="11"/>
  <c r="FE258" i="11"/>
  <c r="FE257" i="11"/>
  <c r="FE256" i="11"/>
  <c r="FE255" i="11"/>
  <c r="FE254" i="11"/>
  <c r="FE107" i="11"/>
  <c r="FE78" i="11"/>
  <c r="FE48" i="11"/>
  <c r="FE47" i="11"/>
  <c r="FE46" i="11"/>
  <c r="FE45" i="11"/>
  <c r="FE44" i="11"/>
  <c r="FE43" i="11"/>
  <c r="FE42" i="11"/>
  <c r="FE41" i="11"/>
  <c r="FE40" i="11"/>
  <c r="FE39" i="11"/>
  <c r="FE38" i="11"/>
  <c r="FE37" i="11"/>
  <c r="FE36" i="11"/>
  <c r="FE35" i="11"/>
  <c r="FE34" i="11"/>
  <c r="FE32" i="11"/>
  <c r="FE31" i="11"/>
  <c r="FE30" i="11"/>
  <c r="FE29" i="11"/>
  <c r="FE28" i="11"/>
  <c r="FE21" i="11"/>
  <c r="FE20" i="11"/>
  <c r="FE19" i="11"/>
  <c r="FE18" i="11"/>
  <c r="FE17" i="11"/>
  <c r="FE16" i="11"/>
  <c r="FE15" i="11"/>
  <c r="BG152" i="11" l="1"/>
  <c r="DO78" i="11"/>
  <c r="DP254" i="11"/>
  <c r="DP260" i="11"/>
  <c r="DP259" i="11"/>
  <c r="DP258" i="11"/>
  <c r="DP257" i="11"/>
  <c r="DP256" i="11"/>
  <c r="DP255" i="11"/>
  <c r="DP220" i="11"/>
  <c r="DP223" i="11"/>
  <c r="DP221" i="11"/>
  <c r="DP215" i="11"/>
  <c r="DP214" i="11"/>
  <c r="DP204" i="11"/>
  <c r="DP212" i="11"/>
  <c r="DP210" i="11"/>
  <c r="DP209" i="11"/>
  <c r="DP205" i="11"/>
  <c r="DP200" i="11"/>
  <c r="DP201" i="11"/>
  <c r="DP78" i="11"/>
  <c r="DP61" i="11"/>
  <c r="DP60" i="11"/>
  <c r="DP59" i="11"/>
  <c r="DP58" i="11"/>
  <c r="DP57" i="11"/>
  <c r="DP56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2" i="11"/>
  <c r="DP31" i="11"/>
  <c r="DP30" i="11"/>
  <c r="DP29" i="11"/>
  <c r="DP28" i="11"/>
  <c r="BI110" i="11"/>
  <c r="BI78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2" i="11"/>
  <c r="BI31" i="11"/>
  <c r="BI30" i="11"/>
  <c r="BI29" i="11"/>
  <c r="BI28" i="11"/>
  <c r="KA271" i="11"/>
  <c r="KA270" i="11"/>
  <c r="KA254" i="11"/>
  <c r="KA260" i="11"/>
  <c r="KA259" i="11"/>
  <c r="KA258" i="11"/>
  <c r="KA257" i="11"/>
  <c r="KA256" i="11"/>
  <c r="KA255" i="11"/>
  <c r="KA249" i="11"/>
  <c r="KA248" i="11"/>
  <c r="KA225" i="11"/>
  <c r="KA228" i="11"/>
  <c r="KA226" i="11"/>
  <c r="KA220" i="11"/>
  <c r="KA223" i="11"/>
  <c r="KA221" i="11"/>
  <c r="KA215" i="11"/>
  <c r="KA214" i="11"/>
  <c r="KA204" i="11"/>
  <c r="KA212" i="11"/>
  <c r="KA210" i="11"/>
  <c r="KA209" i="11"/>
  <c r="KA205" i="11"/>
  <c r="KA180" i="11"/>
  <c r="KA179" i="11"/>
  <c r="KA167" i="11"/>
  <c r="KA162" i="11"/>
  <c r="KA161" i="11"/>
  <c r="KA159" i="11"/>
  <c r="KA157" i="11"/>
  <c r="KA110" i="11"/>
  <c r="KA78" i="11"/>
  <c r="KA76" i="11"/>
  <c r="KA75" i="11"/>
  <c r="KA48" i="11"/>
  <c r="KA47" i="11"/>
  <c r="KA46" i="11"/>
  <c r="KA45" i="11"/>
  <c r="KA44" i="11"/>
  <c r="KA43" i="11"/>
  <c r="KA42" i="11"/>
  <c r="KA41" i="11"/>
  <c r="KA40" i="11"/>
  <c r="KA39" i="11"/>
  <c r="KA38" i="11"/>
  <c r="KA37" i="11"/>
  <c r="KA36" i="11"/>
  <c r="KA35" i="11"/>
  <c r="KA34" i="11"/>
  <c r="KA32" i="11"/>
  <c r="KA31" i="11"/>
  <c r="KA30" i="11"/>
  <c r="KA29" i="11"/>
  <c r="KA28" i="11"/>
  <c r="KA21" i="11"/>
  <c r="KA20" i="11"/>
  <c r="KA19" i="11"/>
  <c r="KA18" i="11"/>
  <c r="KA17" i="11"/>
  <c r="KA16" i="11"/>
  <c r="KA15" i="11"/>
  <c r="BG271" i="11"/>
  <c r="BG270" i="11"/>
  <c r="BG254" i="11"/>
  <c r="BG260" i="11"/>
  <c r="BG259" i="11"/>
  <c r="BG258" i="11"/>
  <c r="BG257" i="11"/>
  <c r="BG256" i="11"/>
  <c r="BG255" i="11"/>
  <c r="BG220" i="11"/>
  <c r="BG223" i="11"/>
  <c r="BG221" i="11"/>
  <c r="BG162" i="11"/>
  <c r="BG161" i="11"/>
  <c r="BG159" i="11"/>
  <c r="BG157" i="11"/>
  <c r="BG155" i="11"/>
  <c r="BG154" i="11"/>
  <c r="BG153" i="11"/>
  <c r="BG110" i="11"/>
  <c r="BG78" i="11"/>
  <c r="BG76" i="11"/>
  <c r="BG75" i="11"/>
  <c r="BG54" i="11"/>
  <c r="BG52" i="11"/>
  <c r="BG50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2" i="11"/>
  <c r="BG31" i="11"/>
  <c r="BG30" i="11"/>
  <c r="BG29" i="11"/>
  <c r="BG28" i="11"/>
  <c r="IG254" i="11"/>
  <c r="IG260" i="11"/>
  <c r="IG259" i="11"/>
  <c r="IG258" i="11"/>
  <c r="IG257" i="11"/>
  <c r="IG256" i="11"/>
  <c r="IG255" i="11"/>
  <c r="IG215" i="11"/>
  <c r="IG214" i="11"/>
  <c r="IG204" i="11"/>
  <c r="IG212" i="11"/>
  <c r="IG210" i="11"/>
  <c r="IG209" i="11"/>
  <c r="IG205" i="11"/>
  <c r="IG78" i="11"/>
  <c r="GR249" i="11"/>
  <c r="GR248" i="11"/>
  <c r="GR220" i="11"/>
  <c r="GR223" i="11"/>
  <c r="GR221" i="11"/>
  <c r="GR215" i="11"/>
  <c r="GR214" i="11"/>
  <c r="GR204" i="11"/>
  <c r="GR212" i="11"/>
  <c r="GR210" i="11"/>
  <c r="GR209" i="11"/>
  <c r="GR205" i="11"/>
  <c r="GR200" i="11"/>
  <c r="GR201" i="11"/>
  <c r="GR110" i="11"/>
  <c r="GR107" i="11"/>
  <c r="GR78" i="11"/>
  <c r="GR48" i="11"/>
  <c r="GR47" i="11"/>
  <c r="GR46" i="11"/>
  <c r="GR45" i="11"/>
  <c r="GR44" i="11"/>
  <c r="GR43" i="11"/>
  <c r="GR42" i="11"/>
  <c r="GR41" i="11"/>
  <c r="GR40" i="11"/>
  <c r="GR39" i="11"/>
  <c r="GR38" i="11"/>
  <c r="GR37" i="11"/>
  <c r="GR36" i="11"/>
  <c r="GR35" i="11"/>
  <c r="GR34" i="11"/>
  <c r="GR32" i="11"/>
  <c r="GR31" i="11"/>
  <c r="GR30" i="11"/>
  <c r="GR29" i="11"/>
  <c r="GR28" i="11"/>
  <c r="GR21" i="11"/>
  <c r="GR20" i="11"/>
  <c r="GR19" i="11"/>
  <c r="GR18" i="11"/>
  <c r="GR17" i="11"/>
  <c r="GR16" i="11"/>
  <c r="GR15" i="11"/>
  <c r="AI78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2" i="11"/>
  <c r="AI31" i="11"/>
  <c r="AI30" i="11"/>
  <c r="AI29" i="11"/>
  <c r="AI28" i="11"/>
  <c r="GQ271" i="11"/>
  <c r="GQ270" i="11"/>
  <c r="GQ249" i="11"/>
  <c r="GQ248" i="11"/>
  <c r="GQ220" i="11"/>
  <c r="GQ223" i="11"/>
  <c r="GQ221" i="11"/>
  <c r="GQ215" i="11"/>
  <c r="GQ214" i="11"/>
  <c r="GQ204" i="11"/>
  <c r="GQ212" i="11"/>
  <c r="GQ210" i="11"/>
  <c r="GQ209" i="11"/>
  <c r="GQ205" i="11"/>
  <c r="GQ200" i="11"/>
  <c r="GQ201" i="11"/>
  <c r="GQ110" i="11"/>
  <c r="GQ107" i="11"/>
  <c r="GQ78" i="11"/>
  <c r="GQ48" i="11"/>
  <c r="GQ47" i="11"/>
  <c r="GQ46" i="11"/>
  <c r="GQ45" i="11"/>
  <c r="GQ44" i="11"/>
  <c r="GQ43" i="11"/>
  <c r="GQ42" i="11"/>
  <c r="GQ41" i="11"/>
  <c r="GQ40" i="11"/>
  <c r="GQ39" i="11"/>
  <c r="GQ38" i="11"/>
  <c r="GQ37" i="11"/>
  <c r="GQ36" i="11"/>
  <c r="GQ35" i="11"/>
  <c r="GQ34" i="11"/>
  <c r="GQ32" i="11"/>
  <c r="GQ31" i="11"/>
  <c r="GQ30" i="11"/>
  <c r="GQ29" i="11"/>
  <c r="GQ28" i="11"/>
  <c r="GQ21" i="11"/>
  <c r="GQ20" i="11"/>
  <c r="GQ19" i="11"/>
  <c r="GQ18" i="11"/>
  <c r="GQ17" i="11"/>
  <c r="GQ16" i="11"/>
  <c r="GQ15" i="11"/>
  <c r="GO271" i="11"/>
  <c r="GO270" i="11"/>
  <c r="GO249" i="11"/>
  <c r="GO248" i="11"/>
  <c r="GO220" i="11"/>
  <c r="GO223" i="11"/>
  <c r="GO221" i="11"/>
  <c r="GO215" i="11"/>
  <c r="GO214" i="11"/>
  <c r="GO204" i="11"/>
  <c r="GO212" i="11"/>
  <c r="GO210" i="11"/>
  <c r="GO209" i="11"/>
  <c r="GO205" i="11"/>
  <c r="GO200" i="11"/>
  <c r="GO201" i="11"/>
  <c r="GO110" i="11"/>
  <c r="GO107" i="11"/>
  <c r="GO48" i="11"/>
  <c r="GO47" i="11"/>
  <c r="GO46" i="11"/>
  <c r="GO45" i="11"/>
  <c r="GO44" i="11"/>
  <c r="GO43" i="11"/>
  <c r="GO42" i="11"/>
  <c r="GO41" i="11"/>
  <c r="GO40" i="11"/>
  <c r="GO39" i="11"/>
  <c r="GO38" i="11"/>
  <c r="GO37" i="11"/>
  <c r="GO36" i="11"/>
  <c r="GO35" i="11"/>
  <c r="GO34" i="11"/>
  <c r="GO32" i="11"/>
  <c r="GO31" i="11"/>
  <c r="GO30" i="11"/>
  <c r="GO29" i="11"/>
  <c r="GO28" i="11"/>
  <c r="GO21" i="11"/>
  <c r="GO20" i="11"/>
  <c r="GO19" i="11"/>
  <c r="GO18" i="11"/>
  <c r="GO17" i="11"/>
  <c r="GO16" i="11"/>
  <c r="GO15" i="11"/>
  <c r="BC78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2" i="11"/>
  <c r="BC31" i="11"/>
  <c r="BC30" i="11"/>
  <c r="BC29" i="11"/>
  <c r="BC28" i="11"/>
  <c r="GK78" i="11"/>
  <c r="FK254" i="11"/>
  <c r="FK260" i="11"/>
  <c r="FK259" i="11"/>
  <c r="FK258" i="11"/>
  <c r="FK257" i="11"/>
  <c r="FK256" i="11"/>
  <c r="FK255" i="11"/>
  <c r="FK240" i="11"/>
  <c r="FK220" i="11"/>
  <c r="FK223" i="11"/>
  <c r="FK221" i="11"/>
  <c r="FK215" i="11"/>
  <c r="FK214" i="11"/>
  <c r="FK204" i="11"/>
  <c r="FK212" i="11"/>
  <c r="FK210" i="11"/>
  <c r="FK209" i="11"/>
  <c r="FK205" i="11"/>
  <c r="FK200" i="11"/>
  <c r="FK201" i="11"/>
  <c r="FK184" i="11"/>
  <c r="FK182" i="11"/>
  <c r="FK162" i="11"/>
  <c r="FK161" i="11"/>
  <c r="FK159" i="11"/>
  <c r="FK157" i="11"/>
  <c r="FK130" i="11"/>
  <c r="FK110" i="11"/>
  <c r="FK78" i="11"/>
  <c r="FK61" i="11"/>
  <c r="FK60" i="11"/>
  <c r="FK59" i="11"/>
  <c r="FK58" i="11"/>
  <c r="FK57" i="11"/>
  <c r="FK56" i="11"/>
  <c r="FK48" i="11"/>
  <c r="FK47" i="11"/>
  <c r="FK46" i="11"/>
  <c r="FK45" i="11"/>
  <c r="FK44" i="11"/>
  <c r="FK43" i="11"/>
  <c r="FK42" i="11"/>
  <c r="FK41" i="11"/>
  <c r="FK40" i="11"/>
  <c r="FK39" i="11"/>
  <c r="FK38" i="11"/>
  <c r="FK37" i="11"/>
  <c r="FK36" i="11"/>
  <c r="FK35" i="11"/>
  <c r="FK34" i="11"/>
  <c r="FK32" i="11"/>
  <c r="FK31" i="11"/>
  <c r="FK30" i="11"/>
  <c r="FK29" i="11"/>
  <c r="FK28" i="11"/>
  <c r="FK21" i="11"/>
  <c r="FK20" i="11"/>
  <c r="FK19" i="11"/>
  <c r="FK18" i="11"/>
  <c r="FK17" i="11"/>
  <c r="FK16" i="11"/>
  <c r="FK15" i="11"/>
  <c r="FJ184" i="11"/>
  <c r="FJ286" i="11"/>
  <c r="FJ271" i="11"/>
  <c r="FJ270" i="11"/>
  <c r="FJ254" i="11"/>
  <c r="FJ260" i="11"/>
  <c r="FJ259" i="11"/>
  <c r="FJ258" i="11"/>
  <c r="FJ257" i="11"/>
  <c r="FJ256" i="11"/>
  <c r="FJ255" i="11"/>
  <c r="FJ249" i="11"/>
  <c r="FJ248" i="11"/>
  <c r="FJ240" i="11"/>
  <c r="FJ220" i="11"/>
  <c r="FJ223" i="11"/>
  <c r="FJ221" i="11"/>
  <c r="FJ215" i="11"/>
  <c r="FJ214" i="11"/>
  <c r="FJ204" i="11"/>
  <c r="FJ212" i="11"/>
  <c r="FJ210" i="11"/>
  <c r="FJ209" i="11"/>
  <c r="FJ205" i="11"/>
  <c r="FJ200" i="11"/>
  <c r="FJ201" i="11"/>
  <c r="FJ180" i="11"/>
  <c r="FJ179" i="11"/>
  <c r="FJ162" i="11"/>
  <c r="FJ161" i="11"/>
  <c r="FJ159" i="11"/>
  <c r="FJ157" i="11"/>
  <c r="FJ110" i="11"/>
  <c r="FJ107" i="11"/>
  <c r="FJ78" i="11"/>
  <c r="FJ76" i="11"/>
  <c r="FJ75" i="11"/>
  <c r="FJ61" i="11"/>
  <c r="FJ60" i="11"/>
  <c r="FJ59" i="11"/>
  <c r="FJ58" i="11"/>
  <c r="FJ57" i="11"/>
  <c r="FJ56" i="11"/>
  <c r="FJ48" i="11"/>
  <c r="FJ47" i="11"/>
  <c r="FJ46" i="11"/>
  <c r="FJ45" i="11"/>
  <c r="FJ44" i="11"/>
  <c r="FJ43" i="11"/>
  <c r="FJ42" i="11"/>
  <c r="FJ41" i="11"/>
  <c r="FJ40" i="11"/>
  <c r="FJ39" i="11"/>
  <c r="FJ38" i="11"/>
  <c r="FJ37" i="11"/>
  <c r="FJ36" i="11"/>
  <c r="FJ35" i="11"/>
  <c r="FJ34" i="11"/>
  <c r="FJ32" i="11"/>
  <c r="FJ31" i="11"/>
  <c r="FJ30" i="11"/>
  <c r="FJ29" i="11"/>
  <c r="FJ28" i="11"/>
  <c r="FJ21" i="11"/>
  <c r="FJ20" i="11"/>
  <c r="FJ19" i="11"/>
  <c r="FJ18" i="11"/>
  <c r="FJ17" i="11"/>
  <c r="FJ16" i="11"/>
  <c r="FJ15" i="11"/>
  <c r="GJ220" i="11"/>
  <c r="GJ223" i="11"/>
  <c r="GJ221" i="11"/>
  <c r="GJ215" i="11"/>
  <c r="GJ214" i="11"/>
  <c r="GJ204" i="11"/>
  <c r="GJ212" i="11"/>
  <c r="GJ210" i="11"/>
  <c r="GJ209" i="11"/>
  <c r="GJ205" i="11"/>
  <c r="GJ110" i="11"/>
  <c r="GJ240" i="11"/>
  <c r="GJ186" i="11"/>
  <c r="GJ189" i="11"/>
  <c r="GJ188" i="11"/>
  <c r="GJ187" i="11"/>
  <c r="GJ78" i="11"/>
  <c r="GI254" i="11"/>
  <c r="GI260" i="11"/>
  <c r="GI259" i="11"/>
  <c r="GI258" i="11"/>
  <c r="GI257" i="11"/>
  <c r="GI256" i="11"/>
  <c r="GI255" i="11"/>
  <c r="GI215" i="11"/>
  <c r="GI214" i="11"/>
  <c r="GI204" i="11"/>
  <c r="GI212" i="11"/>
  <c r="GI210" i="11"/>
  <c r="GI209" i="11"/>
  <c r="GI205" i="11"/>
  <c r="GI78" i="11"/>
  <c r="GI48" i="11"/>
  <c r="GI47" i="11"/>
  <c r="GI46" i="11"/>
  <c r="GI45" i="11"/>
  <c r="GI44" i="11"/>
  <c r="GI43" i="11"/>
  <c r="GI42" i="11"/>
  <c r="GI41" i="11"/>
  <c r="GI40" i="11"/>
  <c r="GI39" i="11"/>
  <c r="GI38" i="11"/>
  <c r="GI37" i="11"/>
  <c r="GI36" i="11"/>
  <c r="GI35" i="11"/>
  <c r="GI34" i="11"/>
  <c r="GI32" i="11"/>
  <c r="GI31" i="11"/>
  <c r="GI30" i="11"/>
  <c r="GI29" i="11"/>
  <c r="GI28" i="11"/>
  <c r="GH254" i="11"/>
  <c r="GH260" i="11"/>
  <c r="GH259" i="11"/>
  <c r="GH258" i="11"/>
  <c r="GH257" i="11"/>
  <c r="GH256" i="11"/>
  <c r="GH255" i="11"/>
  <c r="GH215" i="11"/>
  <c r="GH214" i="11"/>
  <c r="GH204" i="11"/>
  <c r="GH212" i="11"/>
  <c r="GH210" i="11"/>
  <c r="GH209" i="11"/>
  <c r="GH205" i="11"/>
  <c r="GH78" i="11"/>
  <c r="GH48" i="11"/>
  <c r="GH47" i="11"/>
  <c r="GH46" i="11"/>
  <c r="GH45" i="11"/>
  <c r="GH44" i="11"/>
  <c r="GH43" i="11"/>
  <c r="GH42" i="11"/>
  <c r="GH41" i="11"/>
  <c r="GH40" i="11"/>
  <c r="GH39" i="11"/>
  <c r="GH38" i="11"/>
  <c r="GH37" i="11"/>
  <c r="GH36" i="11"/>
  <c r="GH35" i="11"/>
  <c r="GH34" i="11"/>
  <c r="GH32" i="11"/>
  <c r="GH31" i="11"/>
  <c r="GH30" i="11"/>
  <c r="GH29" i="11"/>
  <c r="GH28" i="11"/>
  <c r="EM286" i="11"/>
  <c r="EM254" i="11"/>
  <c r="EM260" i="11"/>
  <c r="EM259" i="11"/>
  <c r="EM258" i="11"/>
  <c r="EM257" i="11"/>
  <c r="EM256" i="11"/>
  <c r="EM255" i="11"/>
  <c r="EM220" i="11"/>
  <c r="EM223" i="11"/>
  <c r="EM221" i="11"/>
  <c r="EM215" i="11"/>
  <c r="EM214" i="11"/>
  <c r="EM204" i="11"/>
  <c r="EM212" i="11"/>
  <c r="EM210" i="11"/>
  <c r="EM209" i="11"/>
  <c r="EM205" i="11"/>
  <c r="EM182" i="11"/>
  <c r="EM110" i="11"/>
  <c r="EM78" i="11"/>
  <c r="EM76" i="11"/>
  <c r="EM75" i="11"/>
  <c r="EM48" i="11"/>
  <c r="EM47" i="11"/>
  <c r="EM46" i="11"/>
  <c r="EM45" i="11"/>
  <c r="EM44" i="11"/>
  <c r="EM43" i="11"/>
  <c r="EM42" i="11"/>
  <c r="EM41" i="11"/>
  <c r="EM40" i="11"/>
  <c r="EM39" i="11"/>
  <c r="EM38" i="11"/>
  <c r="EM37" i="11"/>
  <c r="EM36" i="11"/>
  <c r="EM35" i="11"/>
  <c r="EM34" i="11"/>
  <c r="EM32" i="11"/>
  <c r="EM31" i="11"/>
  <c r="EM30" i="11"/>
  <c r="EM29" i="11"/>
  <c r="EM28" i="11"/>
  <c r="KB48" i="11"/>
  <c r="KB47" i="11"/>
  <c r="KB46" i="11"/>
  <c r="KB45" i="11"/>
  <c r="KB44" i="11"/>
  <c r="KB43" i="11"/>
  <c r="KB42" i="11"/>
  <c r="KB41" i="11"/>
  <c r="KB40" i="11"/>
  <c r="KB39" i="11"/>
  <c r="KB38" i="11"/>
  <c r="KB37" i="11"/>
  <c r="KB36" i="11"/>
  <c r="KB35" i="11"/>
  <c r="KB34" i="11"/>
  <c r="KB32" i="11"/>
  <c r="KB31" i="11"/>
  <c r="KB30" i="11"/>
  <c r="KB29" i="11"/>
  <c r="KB28" i="11"/>
  <c r="FG78" i="11"/>
  <c r="FF271" i="11"/>
  <c r="FF270" i="11"/>
  <c r="FF249" i="11"/>
  <c r="FF248" i="11"/>
  <c r="FF220" i="11"/>
  <c r="FF223" i="11"/>
  <c r="FF221" i="11"/>
  <c r="FF215" i="11"/>
  <c r="FF214" i="11"/>
  <c r="FF204" i="11"/>
  <c r="FF212" i="11"/>
  <c r="FF210" i="11"/>
  <c r="FF209" i="11"/>
  <c r="FF205" i="11"/>
  <c r="FF200" i="11"/>
  <c r="FF201" i="11"/>
  <c r="FF110" i="11"/>
  <c r="FF107" i="11"/>
  <c r="FF78" i="11"/>
  <c r="FF76" i="11"/>
  <c r="FF75" i="11"/>
  <c r="FF48" i="11"/>
  <c r="FF47" i="11"/>
  <c r="FF46" i="11"/>
  <c r="FF45" i="11"/>
  <c r="FF44" i="11"/>
  <c r="FF43" i="11"/>
  <c r="FF42" i="11"/>
  <c r="FF41" i="11"/>
  <c r="FF40" i="11"/>
  <c r="FF39" i="11"/>
  <c r="FF38" i="11"/>
  <c r="FF37" i="11"/>
  <c r="FF36" i="11"/>
  <c r="FF35" i="11"/>
  <c r="FF34" i="11"/>
  <c r="FF32" i="11"/>
  <c r="FF31" i="11"/>
  <c r="FF30" i="11"/>
  <c r="FF29" i="11"/>
  <c r="FF28" i="11"/>
  <c r="FF21" i="11"/>
  <c r="FF20" i="11"/>
  <c r="FF19" i="11"/>
  <c r="FF18" i="11"/>
  <c r="FF17" i="11"/>
  <c r="FF16" i="11"/>
  <c r="FF15" i="11"/>
  <c r="BF78" i="11"/>
  <c r="GC184" i="11"/>
  <c r="GC254" i="11"/>
  <c r="GC260" i="11"/>
  <c r="GC259" i="11"/>
  <c r="GC258" i="11"/>
  <c r="GC257" i="11"/>
  <c r="GC256" i="11"/>
  <c r="GC255" i="11"/>
  <c r="GC240" i="11"/>
  <c r="GC220" i="11"/>
  <c r="GC223" i="11"/>
  <c r="GC221" i="11"/>
  <c r="GC215" i="11"/>
  <c r="GC214" i="11"/>
  <c r="GC204" i="11"/>
  <c r="GC212" i="11"/>
  <c r="GC210" i="11"/>
  <c r="GC209" i="11"/>
  <c r="GC205" i="11"/>
  <c r="GC200" i="11"/>
  <c r="GC201" i="11"/>
  <c r="GC110" i="11"/>
  <c r="GC78" i="11"/>
  <c r="GC57" i="11"/>
  <c r="GC61" i="11"/>
  <c r="GC60" i="11"/>
  <c r="GC59" i="11"/>
  <c r="GC58" i="11"/>
  <c r="GC56" i="11"/>
  <c r="GC48" i="11"/>
  <c r="GC47" i="11"/>
  <c r="GC46" i="11"/>
  <c r="GC45" i="11"/>
  <c r="GC44" i="11"/>
  <c r="GC43" i="11"/>
  <c r="GC42" i="11"/>
  <c r="GC41" i="11"/>
  <c r="GC40" i="11"/>
  <c r="GC39" i="11"/>
  <c r="GC38" i="11"/>
  <c r="GC37" i="11"/>
  <c r="GC36" i="11"/>
  <c r="GC35" i="11"/>
  <c r="GC34" i="11"/>
  <c r="GC32" i="11"/>
  <c r="GC31" i="11"/>
  <c r="GC30" i="11"/>
  <c r="GC29" i="11"/>
  <c r="GC28" i="11"/>
  <c r="HK254" i="11"/>
  <c r="HK260" i="11"/>
  <c r="HK259" i="11"/>
  <c r="HK258" i="11"/>
  <c r="HK257" i="11"/>
  <c r="HK256" i="11"/>
  <c r="HK255" i="11"/>
  <c r="HK215" i="11"/>
  <c r="HK214" i="11"/>
  <c r="HK204" i="11"/>
  <c r="HK212" i="11"/>
  <c r="HK210" i="11"/>
  <c r="HK209" i="11"/>
  <c r="HK205" i="11"/>
  <c r="HK78" i="11"/>
  <c r="HK48" i="11"/>
  <c r="HK47" i="11"/>
  <c r="HK46" i="11"/>
  <c r="HK45" i="11"/>
  <c r="HK44" i="11"/>
  <c r="HK43" i="11"/>
  <c r="HK42" i="11"/>
  <c r="HK41" i="11"/>
  <c r="HK40" i="11"/>
  <c r="HK39" i="11"/>
  <c r="HK38" i="11"/>
  <c r="HK37" i="11"/>
  <c r="HK36" i="11"/>
  <c r="HK35" i="11"/>
  <c r="HK34" i="11"/>
  <c r="HK32" i="11"/>
  <c r="HK31" i="11"/>
  <c r="HK30" i="11"/>
  <c r="HK29" i="11"/>
  <c r="HK28" i="11"/>
  <c r="IR78" i="11"/>
  <c r="AY78" i="11"/>
  <c r="FA110" i="11"/>
  <c r="FA78" i="11"/>
  <c r="FA48" i="11"/>
  <c r="FA47" i="11"/>
  <c r="FA46" i="11"/>
  <c r="FA45" i="11"/>
  <c r="FA44" i="11"/>
  <c r="FA43" i="11"/>
  <c r="FA42" i="11"/>
  <c r="FA41" i="11"/>
  <c r="FA40" i="11"/>
  <c r="FA39" i="11"/>
  <c r="FA38" i="11"/>
  <c r="FA37" i="11"/>
  <c r="FA36" i="11"/>
  <c r="FA35" i="11"/>
  <c r="FA34" i="11"/>
  <c r="FA32" i="11"/>
  <c r="FA31" i="11"/>
  <c r="FA30" i="11"/>
  <c r="FA29" i="11"/>
  <c r="FA28" i="11"/>
  <c r="AX162" i="11"/>
  <c r="AX161" i="11"/>
  <c r="AX159" i="11"/>
  <c r="AX157" i="11"/>
  <c r="AX107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2" i="11"/>
  <c r="AX31" i="11"/>
  <c r="AX30" i="11"/>
  <c r="AX29" i="11"/>
  <c r="AX28" i="11"/>
</calcChain>
</file>

<file path=xl/sharedStrings.xml><?xml version="1.0" encoding="utf-8"?>
<sst xmlns="http://schemas.openxmlformats.org/spreadsheetml/2006/main" count="1771" uniqueCount="566">
  <si>
    <t>Albanisch</t>
  </si>
  <si>
    <t>Arabisch</t>
  </si>
  <si>
    <t>Dari</t>
  </si>
  <si>
    <t>Deutsch</t>
  </si>
  <si>
    <t>Englisch</t>
  </si>
  <si>
    <t>Französisch</t>
  </si>
  <si>
    <t>Mazedonisch</t>
  </si>
  <si>
    <t>Russisch</t>
  </si>
  <si>
    <t>Serbisch (kyr.)</t>
  </si>
  <si>
    <t>Serbisch</t>
  </si>
  <si>
    <t>Tigrinya</t>
  </si>
  <si>
    <t>Türkisch</t>
  </si>
  <si>
    <t>Urdu</t>
  </si>
  <si>
    <t>Sprache</t>
  </si>
  <si>
    <t>RefugeeGuide</t>
  </si>
  <si>
    <t>Interkultureller Kalender</t>
  </si>
  <si>
    <t>Gesundheitsheft</t>
  </si>
  <si>
    <t>Farsi</t>
  </si>
  <si>
    <t>Rumänisch</t>
  </si>
  <si>
    <t>Kopfläuse</t>
  </si>
  <si>
    <t>MagenDarmHände</t>
  </si>
  <si>
    <t>Anamnesebogen</t>
  </si>
  <si>
    <t>Krätze</t>
  </si>
  <si>
    <t>Land</t>
  </si>
  <si>
    <t>Syrien</t>
  </si>
  <si>
    <t>Albanien</t>
  </si>
  <si>
    <t>Afghanistan</t>
  </si>
  <si>
    <t>Pashtu</t>
  </si>
  <si>
    <t>Ägypten</t>
  </si>
  <si>
    <t>Verkehrsregeln Fahrrad</t>
  </si>
  <si>
    <t>Bulgarisch</t>
  </si>
  <si>
    <t>Italienisch</t>
  </si>
  <si>
    <t>Kroatisch</t>
  </si>
  <si>
    <t>Persisch</t>
  </si>
  <si>
    <t>Portugiesisch</t>
  </si>
  <si>
    <t>Spanisch</t>
  </si>
  <si>
    <t>Grundgesetz</t>
  </si>
  <si>
    <t>Flyer Erstorientierung Asylsuchende</t>
  </si>
  <si>
    <t>Amharisch</t>
  </si>
  <si>
    <t>Somali</t>
  </si>
  <si>
    <t>Impfkalender</t>
  </si>
  <si>
    <t>Vietnamesisch</t>
  </si>
  <si>
    <t>Refugees Welcome Erste-Hilfe-Wortschatz für den Start</t>
  </si>
  <si>
    <t>Wegweiser für UMF</t>
  </si>
  <si>
    <t>Bosnisch</t>
  </si>
  <si>
    <t>Bangla</t>
  </si>
  <si>
    <t>Montenegro</t>
  </si>
  <si>
    <t>Kosovo</t>
  </si>
  <si>
    <t>Äthiopien</t>
  </si>
  <si>
    <t>Algerien</t>
  </si>
  <si>
    <t>Bahrain</t>
  </si>
  <si>
    <t>Dschibuti</t>
  </si>
  <si>
    <t>Eritrea</t>
  </si>
  <si>
    <t>Irak</t>
  </si>
  <si>
    <t>Israel</t>
  </si>
  <si>
    <t>Jemen</t>
  </si>
  <si>
    <t>Jordanien</t>
  </si>
  <si>
    <t>Kroatien</t>
  </si>
  <si>
    <t>Rumänien</t>
  </si>
  <si>
    <t>x</t>
  </si>
  <si>
    <t>Libanon</t>
  </si>
  <si>
    <t>Libyen</t>
  </si>
  <si>
    <t>Marokko</t>
  </si>
  <si>
    <t>Mauretanien</t>
  </si>
  <si>
    <t>Palästina</t>
  </si>
  <si>
    <t>Saudi-Arabien</t>
  </si>
  <si>
    <t>Somalia</t>
  </si>
  <si>
    <t>Sudan</t>
  </si>
  <si>
    <t>Tschad</t>
  </si>
  <si>
    <t>Tunesien</t>
  </si>
  <si>
    <t>Bangladesch</t>
  </si>
  <si>
    <t>Bosnien</t>
  </si>
  <si>
    <t>Bulgarien</t>
  </si>
  <si>
    <t>Pakistan</t>
  </si>
  <si>
    <t>Iran</t>
  </si>
  <si>
    <t>Herzegowina</t>
  </si>
  <si>
    <t>Serbien</t>
  </si>
  <si>
    <t>Türkei</t>
  </si>
  <si>
    <t>Mazedonien</t>
  </si>
  <si>
    <t>Äquatorialguinea</t>
  </si>
  <si>
    <t>Angola</t>
  </si>
  <si>
    <t>Mosambik</t>
  </si>
  <si>
    <t>Moldawien</t>
  </si>
  <si>
    <t>Georgien</t>
  </si>
  <si>
    <t>Kasachstan</t>
  </si>
  <si>
    <t>Kirgisistan</t>
  </si>
  <si>
    <t>Russland</t>
  </si>
  <si>
    <t>Ukraine</t>
  </si>
  <si>
    <t>Kenia</t>
  </si>
  <si>
    <t>Griechenland</t>
  </si>
  <si>
    <t>Indien</t>
  </si>
  <si>
    <t>Vietnam</t>
  </si>
  <si>
    <t>RefugeePhrasebook</t>
  </si>
  <si>
    <t>Deutschland</t>
  </si>
  <si>
    <t>Gesundheit</t>
  </si>
  <si>
    <t>Bildwörterbuch Alltag</t>
  </si>
  <si>
    <t>Bildwörterbuch Körper Krankheit</t>
  </si>
  <si>
    <t>Depression</t>
  </si>
  <si>
    <t>Diabetes</t>
  </si>
  <si>
    <t>Alltag</t>
  </si>
  <si>
    <t>Grüner Schein</t>
  </si>
  <si>
    <t>Hepatitis B</t>
  </si>
  <si>
    <t>Hepatitis C</t>
  </si>
  <si>
    <t>HIV</t>
  </si>
  <si>
    <t>Hygiene</t>
  </si>
  <si>
    <t>Impfwegweiser</t>
  </si>
  <si>
    <t>Griechisch</t>
  </si>
  <si>
    <t>Mediensucht</t>
  </si>
  <si>
    <t>Gesundheitswegweiser</t>
  </si>
  <si>
    <t>Infektionskrankheiten</t>
  </si>
  <si>
    <t>Bildwörterbuch mini</t>
  </si>
  <si>
    <t>Das deutsche Asylverfahren</t>
  </si>
  <si>
    <t>Willkommen in Deutschland</t>
  </si>
  <si>
    <t>Kommunikationstafel arabisch-deutsch</t>
  </si>
  <si>
    <t>SCHUL-TIP</t>
  </si>
  <si>
    <t>Erste Sätze deutsch</t>
  </si>
  <si>
    <t>Seiteneinsteiger Schule</t>
  </si>
  <si>
    <t>Übersetzungshilfe im Krankenhaus</t>
  </si>
  <si>
    <t>Verständigungshilfe nach Alltagssituationen</t>
  </si>
  <si>
    <t>Wörterbuch (klein) nach Themengruppen</t>
  </si>
  <si>
    <t>Wörterbuch tigrinya-deutsch</t>
  </si>
  <si>
    <t>Wörterbuch nach Themengruppen</t>
  </si>
  <si>
    <t>Asylum and Migration - Glossary</t>
  </si>
  <si>
    <t>Zahnarzt</t>
  </si>
  <si>
    <t>Gesundheitswörterbuch</t>
  </si>
  <si>
    <t>Kommunikationstafel arabisch-englisch</t>
  </si>
  <si>
    <t>Kommunikationstafel arabisch-französisch</t>
  </si>
  <si>
    <t>Deutsch-Dari Kurzwörterbuch</t>
  </si>
  <si>
    <t>Polnisch</t>
  </si>
  <si>
    <t>Polen</t>
  </si>
  <si>
    <t>Ungarisch</t>
  </si>
  <si>
    <t>Ungarn</t>
  </si>
  <si>
    <t>Schwedisch</t>
  </si>
  <si>
    <t>Schweden</t>
  </si>
  <si>
    <t>Finnland</t>
  </si>
  <si>
    <t>Chinesisch</t>
  </si>
  <si>
    <t>China</t>
  </si>
  <si>
    <t>Taiwan</t>
  </si>
  <si>
    <t>Singapur</t>
  </si>
  <si>
    <t>Indonesien</t>
  </si>
  <si>
    <t>Malaysia</t>
  </si>
  <si>
    <t>Thailand</t>
  </si>
  <si>
    <t>Philippinen</t>
  </si>
  <si>
    <t>Japanisch</t>
  </si>
  <si>
    <t>Japan</t>
  </si>
  <si>
    <t>Korea (Nord/Süd)</t>
  </si>
  <si>
    <t>Koreanisch</t>
  </si>
  <si>
    <t>icoon</t>
  </si>
  <si>
    <t>Zahnarzt Ankreuzbogen zur Sprachidentifizierung</t>
  </si>
  <si>
    <t>Zahnarzt Patienten-Anschreiben</t>
  </si>
  <si>
    <t>Zahnarzt Notfallfragebogen</t>
  </si>
  <si>
    <t>Zahnarzt Piktogrammheft</t>
  </si>
  <si>
    <t>Montenegrinisch</t>
  </si>
  <si>
    <t>Romani</t>
  </si>
  <si>
    <t>Usbekisch</t>
  </si>
  <si>
    <t>Usbekistan</t>
  </si>
  <si>
    <t>Tadschikistan</t>
  </si>
  <si>
    <t>Turkmenistan</t>
  </si>
  <si>
    <t>Zahnarzt Patienten-erhebungsbogen</t>
  </si>
  <si>
    <t>FAQ Guide - Flucht und Asyl</t>
  </si>
  <si>
    <t>Schulsystem NRW</t>
  </si>
  <si>
    <t>Fahrradregeln</t>
  </si>
  <si>
    <t>Arbeitsmarktzugang für Flüchtlinge NDS</t>
  </si>
  <si>
    <t>Verkehrssicherheit für Flüchtlinge</t>
  </si>
  <si>
    <t>Der Ablauf des deutschen Asylverfahrens (kurz)</t>
  </si>
  <si>
    <t>Erstinfos für Asylsuchende</t>
  </si>
  <si>
    <t>Alltagstipps</t>
  </si>
  <si>
    <t>Wichtige Sätze für den Arztbesuch</t>
  </si>
  <si>
    <t>Einnahmeplan Medikamente</t>
  </si>
  <si>
    <t>Der Weg des Flüchtlings durch die Regelversorgung</t>
  </si>
  <si>
    <t>Dari-englisch Phrases</t>
  </si>
  <si>
    <t>Deutsch-arabisches Kurzwörterbuch</t>
  </si>
  <si>
    <t>Deutsch-Pashto Kurzwörterbuch</t>
  </si>
  <si>
    <t>Giftpilze</t>
  </si>
  <si>
    <t>Belehrungsbogen für Eltern zu Infektionen</t>
  </si>
  <si>
    <t>Belehrungsbogen für im Lebensmittelbereich Tätige zu Infektionen</t>
  </si>
  <si>
    <t>Deutsch lernen - Das Heft</t>
  </si>
  <si>
    <t>Deutsch lernen - Das Plakat</t>
  </si>
  <si>
    <t>Anamnesebogen Erwachsene und Kinder</t>
  </si>
  <si>
    <t>Situationsbilder für Kinder</t>
  </si>
  <si>
    <t>Übersetzungshilfe für den Alltag (arab., pers., russ. u. jew. deutsch)</t>
  </si>
  <si>
    <t>Übersetzungshilfe für Frauen (arab., pers., russ. u. jew. deutsch)</t>
  </si>
  <si>
    <t>Helferinfos</t>
  </si>
  <si>
    <t>Belehrungsbogen für Schu-len und Gemeinschaftsein-richtungen zu Infektionen</t>
  </si>
  <si>
    <t>Anamnesebogen Kinder</t>
  </si>
  <si>
    <t>Grundlagen unseres Zusam-menlebens (Auszüge GG und sächsische Verfassung)</t>
  </si>
  <si>
    <t>Ohne Gewalt leben (häusliche Gewalt)</t>
  </si>
  <si>
    <t>Management von Krankheitsausbrüchen in Gemeinschaftsunterkünften</t>
  </si>
  <si>
    <t>VRS-Flyer Mobilpass Refugees</t>
  </si>
  <si>
    <t>Flyer Willkommen im VRS</t>
  </si>
  <si>
    <t>Asthma</t>
  </si>
  <si>
    <t>Bluthochdruck</t>
  </si>
  <si>
    <t>Hepatitis-A-Impfung</t>
  </si>
  <si>
    <t>Pneumokokken-Impfung</t>
  </si>
  <si>
    <t>6-fach-Impfung DTaPIPVHibHepB</t>
  </si>
  <si>
    <t>Anerkennung akademische Heilberufe</t>
  </si>
  <si>
    <t>Anerkennung ausländischer Berufsabschlüsse</t>
  </si>
  <si>
    <t>Anerkennung Berufsabschluss</t>
  </si>
  <si>
    <t>Influenza</t>
  </si>
  <si>
    <t>Hilfetelefon - Gewalt gegen Frauen</t>
  </si>
  <si>
    <t>Berufsbezogene Deutschförderung</t>
  </si>
  <si>
    <t>Hilfetelefon Klappflyer</t>
  </si>
  <si>
    <t>Ratgeber Gesundheit für Asylsuchende</t>
  </si>
  <si>
    <t>Anhörung im Asylverfahren</t>
  </si>
  <si>
    <t>Ablauf des Asylverfahrens</t>
  </si>
  <si>
    <t>Handbuch für die ehrenamt-liche Flüchtlingshilfe</t>
  </si>
  <si>
    <t>Vertrauliche Geburt</t>
  </si>
  <si>
    <t>Schwangerschaftsabbruch</t>
  </si>
  <si>
    <t>Pille danach</t>
  </si>
  <si>
    <t>Pille danach - Ergänzung 2015</t>
  </si>
  <si>
    <t>Flüchtlinge begleiten - Informationen für Helfer</t>
  </si>
  <si>
    <t>Mindeststandards für die Unterbringung in Gemeinschaftsunterkünften</t>
  </si>
  <si>
    <t>Pro Menschenrechte. Contra Vorurteile</t>
  </si>
  <si>
    <t>Energiespartipps</t>
  </si>
  <si>
    <t>Schimmel vermeiden</t>
  </si>
  <si>
    <t>Richtig heizen</t>
  </si>
  <si>
    <t>Flyer Informationszentrum Asyl und Migration</t>
  </si>
  <si>
    <t>Deutschkenntnisse bei Ehegattennachzug</t>
  </si>
  <si>
    <t>Elektronischer Aufenthaltstitel</t>
  </si>
  <si>
    <t>Wege zur Einbürgerung</t>
  </si>
  <si>
    <t>Wimmelbild</t>
  </si>
  <si>
    <t>Wimmelbild Glossar</t>
  </si>
  <si>
    <t>Arthrose</t>
  </si>
  <si>
    <t>Cholesterin</t>
  </si>
  <si>
    <t>COPD - chronische Bronchitis</t>
  </si>
  <si>
    <t>Demenz</t>
  </si>
  <si>
    <t>Divertikel</t>
  </si>
  <si>
    <t>Erkältung</t>
  </si>
  <si>
    <t>Gallensteine</t>
  </si>
  <si>
    <t>Influenza-Impfung nasal für Kinder und Jugendliche</t>
  </si>
  <si>
    <t>Impfglossar</t>
  </si>
  <si>
    <t>Gicht</t>
  </si>
  <si>
    <t>Günstige Handytarife für Flüchtlinge</t>
  </si>
  <si>
    <t>Merkblatt Basiskonto für Asylbewerber</t>
  </si>
  <si>
    <t>Girokonto eröffnen</t>
  </si>
  <si>
    <t>Elternratgeber Ausbildung in Deutschland</t>
  </si>
  <si>
    <t>Polio</t>
  </si>
  <si>
    <t>MMR-Impfung (Masern Mumps Röteln)</t>
  </si>
  <si>
    <t>ÖPNV</t>
  </si>
  <si>
    <t>Wohnen</t>
  </si>
  <si>
    <t>Handy Tarifkommentare</t>
  </si>
  <si>
    <t>Verkehr</t>
  </si>
  <si>
    <t>Schule/Ausbildung</t>
  </si>
  <si>
    <t>Frauen</t>
  </si>
  <si>
    <t>Impfung</t>
  </si>
  <si>
    <t>Wörterbücher/Ratgeber</t>
  </si>
  <si>
    <t>Tdap-IPV-Impfung (Tetanus, Diphtherie, Keuchhusten, Polio)</t>
  </si>
  <si>
    <t>Kindergeld Asylberechtigte und anerkannte Flüchtlinge</t>
  </si>
  <si>
    <t>Kindergeld für UMF</t>
  </si>
  <si>
    <t>Welche Sprache spricht mein Patient (tipdoc)</t>
  </si>
  <si>
    <t>Sparkasseninfo</t>
  </si>
  <si>
    <t>Die Blaue Karte EU</t>
  </si>
  <si>
    <t>Lassen Sie sich beraten</t>
  </si>
  <si>
    <t>Migrationsatlas</t>
  </si>
  <si>
    <t>Lernen Sie deutsch</t>
  </si>
  <si>
    <t>Wichtige Links für Migrantinnen</t>
  </si>
  <si>
    <t>Migrantinnen beraten Migrantinnen</t>
  </si>
  <si>
    <t>Bildwörterbuch Wohnheim</t>
  </si>
  <si>
    <t>Bildwörterbücher</t>
  </si>
  <si>
    <t>Handytarife für Flüchtlinge</t>
  </si>
  <si>
    <t>Kontoeröffnung für Flüchtlinge</t>
  </si>
  <si>
    <t>Verbraucherzentrale: Telefon und Internet</t>
  </si>
  <si>
    <t>Verbraucherzentrale: Tele-fon Internet Telefonvertrag</t>
  </si>
  <si>
    <t>Verbraucherzentrale Info zum Urheberrecht (illegale Downloads)</t>
  </si>
  <si>
    <t>Kommunikationstafel farsi-deutsch</t>
  </si>
  <si>
    <t>Migräne</t>
  </si>
  <si>
    <t>Notfallnummern Gesundheit</t>
  </si>
  <si>
    <t>Telefon/Handy/Internet/Radio/TV</t>
  </si>
  <si>
    <t>Rundfunkbeitrag</t>
  </si>
  <si>
    <t>Rundfunkbeitrag Befreiung</t>
  </si>
  <si>
    <t>Medizinische Leistungen für Asylbewerber</t>
  </si>
  <si>
    <t>Lingolio Vokabel-Kalender 2016</t>
  </si>
  <si>
    <t>Lingolia Sprachkurs</t>
  </si>
  <si>
    <t>Bildwörterbuch von Dagmar Schmeelcke</t>
  </si>
  <si>
    <t>Verbraucherzentrale Infos zum Versicherungsschutz</t>
  </si>
  <si>
    <t>Leitafden Arbeitserlaubnisrecht</t>
  </si>
  <si>
    <t>Asyl</t>
  </si>
  <si>
    <t>Stadtordnung: Bußgeldrahmen Köln 2015</t>
  </si>
  <si>
    <t>Wörterbücher und Verständigungshilfen</t>
  </si>
  <si>
    <t>Merkblatt ärztliche Unter-suchung durch Gesund-heitsämter (Sachsen)</t>
  </si>
  <si>
    <t>Krankheitsbilder</t>
  </si>
  <si>
    <t>Allgemeines</t>
  </si>
  <si>
    <t>Varizellen-Impfung (Windpocken)</t>
  </si>
  <si>
    <t>Politik und Gesellschaft</t>
  </si>
  <si>
    <t>Bundestagswahl</t>
  </si>
  <si>
    <t>Spicker: 7 aktuelle Fragen an die Politik</t>
  </si>
  <si>
    <t>Spicker: 7 Vorurteile gegen die Europäische Union</t>
  </si>
  <si>
    <t>Spicker: Bundespräsident</t>
  </si>
  <si>
    <t>Spicker: Bundesregierung</t>
  </si>
  <si>
    <t>Spicker: Bundestagswahl 2013</t>
  </si>
  <si>
    <t>Spicker: Europäische Union</t>
  </si>
  <si>
    <t>Spicker: Flucht und Asyl 2015</t>
  </si>
  <si>
    <t>Spicker: Gesetzgebung</t>
  </si>
  <si>
    <t>Spicker: Grundgesetz</t>
  </si>
  <si>
    <t>Spicker: Mauerbau</t>
  </si>
  <si>
    <t>Spicker: Parlamentarische Besonderheiten</t>
  </si>
  <si>
    <t>Spicker: Verstehen wir uns richtig</t>
  </si>
  <si>
    <t>Spicker: Wie aus Stimmen Sitze werden</t>
  </si>
  <si>
    <t>Spicker: Der deutsche Bundestag</t>
  </si>
  <si>
    <t>KVB Rad-Flyer (Fahrradverleih)</t>
  </si>
  <si>
    <t>Helferinformationen</t>
  </si>
  <si>
    <t>Sprachkurs welcomegrooves</t>
  </si>
  <si>
    <t>Vor Ort</t>
  </si>
  <si>
    <t>KVB Kölner Verkehrsbetriebe</t>
  </si>
  <si>
    <t>Allg.</t>
  </si>
  <si>
    <t>Konto, Geld, Versicherung</t>
  </si>
  <si>
    <t>Politik/Gesellschaft</t>
  </si>
  <si>
    <t>Politisches System der Bun-desrepublik Deutschland</t>
  </si>
  <si>
    <t>Unterschied Grippe-Erkältung</t>
  </si>
  <si>
    <t>Sprachkurs mit &gt; 300 Lektionen Farsi-Deutsch</t>
  </si>
  <si>
    <t>Depression (psyhenet)</t>
  </si>
  <si>
    <t>Psychosen (psychenet)</t>
  </si>
  <si>
    <t>Somatoforme Störungen (psychenet)</t>
  </si>
  <si>
    <t>Magersucht (psychenet)</t>
  </si>
  <si>
    <t>Bulimie (psychenet)</t>
  </si>
  <si>
    <t>Bipolare Störungen (psyhenet)</t>
  </si>
  <si>
    <t>Panik &amp; Agoraphobie (psychenet)</t>
  </si>
  <si>
    <t>Generalisierte Angststörung (psychenet)</t>
  </si>
  <si>
    <t>Wimmelbild: Finde die Fehler</t>
  </si>
  <si>
    <t>Soziale Phobie (psychenet)</t>
  </si>
  <si>
    <t>Burnout (psychenet)</t>
  </si>
  <si>
    <t>Angehörigenberatung (psychenet)</t>
  </si>
  <si>
    <t>Hueber Sprachkurs "Schritte plus"</t>
  </si>
  <si>
    <t>Hueber Sprachkurs "Menschen hier"</t>
  </si>
  <si>
    <t>Psychische/neurologische Erkrankungen</t>
  </si>
  <si>
    <t>Restless Legs</t>
  </si>
  <si>
    <t>Trauma</t>
  </si>
  <si>
    <t>Trauma Tapping Technique kurz - (Schaubild)</t>
  </si>
  <si>
    <t>Trauma Tapping Technique (animierte Anleitung)</t>
  </si>
  <si>
    <t>Trauma Tapping Technique</t>
  </si>
  <si>
    <t>Karnevalsflyer deutsch-arabisch</t>
  </si>
  <si>
    <t>Karnevalsflyer deutsch-englisch</t>
  </si>
  <si>
    <t>(Häusliche) Gewalt</t>
  </si>
  <si>
    <t>Sprache/Verständigung</t>
  </si>
  <si>
    <t>Ablauf/Verfahren</t>
  </si>
  <si>
    <t>Leistungen</t>
  </si>
  <si>
    <t>Normen/Werte</t>
  </si>
  <si>
    <t>Politisches System</t>
  </si>
  <si>
    <t>Rückenschmerzen</t>
  </si>
  <si>
    <t>Schlafapnoe</t>
  </si>
  <si>
    <t>Schlafstörungen</t>
  </si>
  <si>
    <t>Schwindel</t>
  </si>
  <si>
    <t>Sodbrennen</t>
  </si>
  <si>
    <t>Sportverletzungen</t>
  </si>
  <si>
    <t>Thrombose</t>
  </si>
  <si>
    <t>Sucht</t>
  </si>
  <si>
    <t>Alkohol im Jugendalter</t>
  </si>
  <si>
    <t>Stadt Köln: Hilfen bei Alkohol-/Medikamentenabhängigkeit</t>
  </si>
  <si>
    <t>Suchterkrankungen</t>
  </si>
  <si>
    <t>Linksammlung Fremdsprachige Gesundheitsinformationen</t>
  </si>
  <si>
    <t>Tipps für den Kontakt mit geflüchteten Frauen</t>
  </si>
  <si>
    <t>Trauma-sensibler Ansatz</t>
  </si>
  <si>
    <t>Empfehlung: Kurzfilm "Bon Voyage"</t>
  </si>
  <si>
    <t>Wie bekomme ich eine Arbeitserlaubnis</t>
  </si>
  <si>
    <t>Aufenthaltsgestattung</t>
  </si>
  <si>
    <t>Duldung</t>
  </si>
  <si>
    <t>Dublin II</t>
  </si>
  <si>
    <t>Bleiberecht für Jugendliche</t>
  </si>
  <si>
    <t>Grundlagen des Asylverfahrens</t>
  </si>
  <si>
    <t>Basic-Info Asyl</t>
  </si>
  <si>
    <t>Merkblatt Asylbewerber-Flüchtlinge</t>
  </si>
  <si>
    <t>Flyer Bildungspaket</t>
  </si>
  <si>
    <t>Antrag Bildungspaket</t>
  </si>
  <si>
    <t>Antrag Bildungspaket - Anlage Lernförderbedarf</t>
  </si>
  <si>
    <t>Antrag auf Beratungshilfe</t>
  </si>
  <si>
    <t>Einbürgerungstest</t>
  </si>
  <si>
    <t>Goethe Verlag: Sprachkurse in mehr als 50 Sprachen</t>
  </si>
  <si>
    <t>Sprachkurs tigrinya-deutsch</t>
  </si>
  <si>
    <t>Online Wörterbch</t>
  </si>
  <si>
    <t>Langenscheidt: Die wichtigsten Sätze und Wörter arabisch-deutsch</t>
  </si>
  <si>
    <t>Integrationskurs bamf-Grafik</t>
  </si>
  <si>
    <t>Online-Seminar für ehrenamt-liche Deutschunterrichter</t>
  </si>
  <si>
    <t>BKA Kriminalstatistik</t>
  </si>
  <si>
    <t>Frauen gegen Gewalt: Hilfsangebote</t>
  </si>
  <si>
    <t>Familienplanung</t>
  </si>
  <si>
    <t>Beratung bei sexualisierter Gewalt</t>
  </si>
  <si>
    <t>Ein Angebot an alle (Sucht-hilfe für nahestehende Menschen)</t>
  </si>
  <si>
    <t>Caritas Suchtberatung Online</t>
  </si>
  <si>
    <t>Traumatisierung bei Flüchtlingen</t>
  </si>
  <si>
    <t>Gazastreifen</t>
  </si>
  <si>
    <t>Großbritannien</t>
  </si>
  <si>
    <t>Botswana</t>
  </si>
  <si>
    <t>Gambia</t>
  </si>
  <si>
    <t>Ghana</t>
  </si>
  <si>
    <t>Kamerun</t>
  </si>
  <si>
    <t>Lesotho</t>
  </si>
  <si>
    <t>Liberia</t>
  </si>
  <si>
    <t>Malawi</t>
  </si>
  <si>
    <t>Namibia</t>
  </si>
  <si>
    <t>Nepal</t>
  </si>
  <si>
    <t>Nigeria</t>
  </si>
  <si>
    <t>Ruanda</t>
  </si>
  <si>
    <t>Sambia</t>
  </si>
  <si>
    <t>Sierra Leone</t>
  </si>
  <si>
    <t>Simbabwe</t>
  </si>
  <si>
    <t>Tansania</t>
  </si>
  <si>
    <t>Uganda</t>
  </si>
  <si>
    <t>Zypern</t>
  </si>
  <si>
    <t>Frankreich</t>
  </si>
  <si>
    <t>Benin</t>
  </si>
  <si>
    <t>Burkina Faso</t>
  </si>
  <si>
    <t>Burundi</t>
  </si>
  <si>
    <t>Elfenbeinküste</t>
  </si>
  <si>
    <t>Kambodscha</t>
  </si>
  <si>
    <t>Kongo</t>
  </si>
  <si>
    <t>Dem. Rep. Kongo</t>
  </si>
  <si>
    <t>LIbanon</t>
  </si>
  <si>
    <t>Mali</t>
  </si>
  <si>
    <t>Senegal</t>
  </si>
  <si>
    <t>Togo</t>
  </si>
  <si>
    <t>Italien</t>
  </si>
  <si>
    <t>Portugal</t>
  </si>
  <si>
    <t>Armenien</t>
  </si>
  <si>
    <t>Aserbaidschan</t>
  </si>
  <si>
    <t>Lettland</t>
  </si>
  <si>
    <t>Spanien</t>
  </si>
  <si>
    <t>Slowakei</t>
  </si>
  <si>
    <t>Traumabilderbuch Einführung</t>
  </si>
  <si>
    <t>Trauma-Bilderbuch</t>
  </si>
  <si>
    <t>Tafel Brandschutz</t>
  </si>
  <si>
    <t>Tafel Verhalten im Brandfall</t>
  </si>
  <si>
    <t>Verhütung</t>
  </si>
  <si>
    <t>Schwanger und viele Fragen</t>
  </si>
  <si>
    <t>Jugendliche</t>
  </si>
  <si>
    <t>Vorläufige Inobhutnahme</t>
  </si>
  <si>
    <t>Schaubild Wahl</t>
  </si>
  <si>
    <t>Themenblätter im Unterricht: Akteure in der Politik</t>
  </si>
  <si>
    <t>Deutschland in Zahlen</t>
  </si>
  <si>
    <t>Dosierzettel mehrsprachig</t>
  </si>
  <si>
    <t>Deutschland: Erste Informationen für Flüchtlinge</t>
  </si>
  <si>
    <t>Durchblutungsstörungen</t>
  </si>
  <si>
    <t>Fragebogen Arztbesuch</t>
  </si>
  <si>
    <t>Vorläufiger Impfpass</t>
  </si>
  <si>
    <t>Koronare Herzkrankheit</t>
  </si>
  <si>
    <t>Legitimationskette unmit-telbare Staatsverwaltung</t>
  </si>
  <si>
    <t>Themenblätter im Unterricht: Der Bundestag</t>
  </si>
  <si>
    <t>Verstopfung</t>
  </si>
  <si>
    <t>Piktogramme Dosieretiketten</t>
  </si>
  <si>
    <t>Politik für Einsteiger</t>
  </si>
  <si>
    <t>Handlungsempfehlungen zum Umgang mit UMF</t>
  </si>
  <si>
    <t>Studie: Unbegleitete Min-derjährige in Deutschland</t>
  </si>
  <si>
    <t>Impfpräventable Krankheiten</t>
  </si>
  <si>
    <t>Verbraucherzentrale: Geld und Konto</t>
  </si>
  <si>
    <t>Verbraucherzentrale: Infos zur Gesundheitsversorgung</t>
  </si>
  <si>
    <t>Politik für Einsteiger - Lösungen</t>
  </si>
  <si>
    <t>Jugendschutzgesetz</t>
  </si>
  <si>
    <t>Behinderung</t>
  </si>
  <si>
    <t>Aktion Mensch: Flüchtlinge und Behinderung</t>
  </si>
  <si>
    <t>Liste fremdsprachiger Gesundheitsinformationen</t>
  </si>
  <si>
    <t>Kölner Stadtordnung vom 14.04.14</t>
  </si>
  <si>
    <t>Stadt Köln</t>
  </si>
  <si>
    <t>Köln hilft Flüchtlingen</t>
  </si>
  <si>
    <t>Behinderung und Migration</t>
  </si>
  <si>
    <t>Mein Kind ist behindert</t>
  </si>
  <si>
    <t>Wegweiser Psychotherapie</t>
  </si>
  <si>
    <t>Eltern und Kinder</t>
  </si>
  <si>
    <t>Unwissen macht Angst … (Schutz vor Mißbrauch)</t>
  </si>
  <si>
    <t>Bilderbuch: Tomi &amp; Mila (Gifte im Haushalt)</t>
  </si>
  <si>
    <t>Bilderbuch: Pass' auf, Lisa (Gefahren im Haus)</t>
  </si>
  <si>
    <t>Mal-/Rätselheft für Vorschul-kinder (Gefahrenerkennung)</t>
  </si>
  <si>
    <t>Poster: Achtung giftig</t>
  </si>
  <si>
    <t>Management</t>
  </si>
  <si>
    <t>Ratgeber</t>
  </si>
  <si>
    <t>Hintergrund-Info</t>
  </si>
  <si>
    <t>Elterninformation Grundschule</t>
  </si>
  <si>
    <t>Elterninformation weiterführende Schulen</t>
  </si>
  <si>
    <t>Eltern/Kinder</t>
  </si>
  <si>
    <t>Rat und Hilfe bei Gewalt gegen Frauen</t>
  </si>
  <si>
    <t>Info KO-Tropfen</t>
  </si>
  <si>
    <t>Mädchen in Konfliktsituationen</t>
  </si>
  <si>
    <t>Asylbewerber-leistungsgesetz</t>
  </si>
  <si>
    <t>Recht auf Bildung für Flüchtlinge</t>
  </si>
  <si>
    <t>Ukrainisch</t>
  </si>
  <si>
    <t>Tschechisch</t>
  </si>
  <si>
    <t>Tschechien</t>
  </si>
  <si>
    <t>Twi</t>
  </si>
  <si>
    <t>Tamil</t>
  </si>
  <si>
    <t>Sri Lanka</t>
  </si>
  <si>
    <t>Slowakisch</t>
  </si>
  <si>
    <t>Slowenisch</t>
  </si>
  <si>
    <t>Kurdisch-Kurmandschi</t>
  </si>
  <si>
    <t>Kurdisch-Sorani</t>
  </si>
  <si>
    <t>Auton. Reg. Kurdistan</t>
  </si>
  <si>
    <t>Hausa</t>
  </si>
  <si>
    <t>Zaza</t>
  </si>
  <si>
    <t>Burmesisch</t>
  </si>
  <si>
    <t>Myanmar</t>
  </si>
  <si>
    <t>Georgisch</t>
  </si>
  <si>
    <t>Hindi</t>
  </si>
  <si>
    <t>Indonesisch</t>
  </si>
  <si>
    <t>Kisuaheli</t>
  </si>
  <si>
    <t>Punjabi</t>
  </si>
  <si>
    <t>Das Asylverfahren in Deutschland (Basisinfo)</t>
  </si>
  <si>
    <t>Das "Dublin-Verfahren" (Basisinfo)</t>
  </si>
  <si>
    <t>Link zu Informationen zum Asylrecht</t>
  </si>
  <si>
    <t>Plakat Mülltrennung</t>
  </si>
  <si>
    <t>Flüchtlingskinder haben Rechte</t>
  </si>
  <si>
    <t>Kinderschutz</t>
  </si>
  <si>
    <t>Kindersicherheit</t>
  </si>
  <si>
    <t>Mobbing/Cybermobbing Methodenkoffer</t>
  </si>
  <si>
    <t>Mülltrennung</t>
  </si>
  <si>
    <t>s. auch "Eltern und Kinder"    =&gt; "Kinderschutz"</t>
  </si>
  <si>
    <t>Kosovo Rückkehrprojekt   URA 2</t>
  </si>
  <si>
    <t>Info-Flyer Deutsche Bahn</t>
  </si>
  <si>
    <t>Die Sendung mit der Maus international</t>
  </si>
  <si>
    <t>Merkblatt zum Integrationskurs</t>
  </si>
  <si>
    <t>Studium und Beruf</t>
  </si>
  <si>
    <t>Studium u. Beruf</t>
  </si>
  <si>
    <t>Studium</t>
  </si>
  <si>
    <t>Informationen und Linksammlung Studium</t>
  </si>
  <si>
    <t>Arbeitsmarktzugang</t>
  </si>
  <si>
    <t>Berufsabschlüsse</t>
  </si>
  <si>
    <t>Flashcards zum RefugeePhrasebook</t>
  </si>
  <si>
    <t>Pixi-Buch: Mein großer  Freund Walter</t>
  </si>
  <si>
    <t>Hebammenbetreuung für Flüchtlinge</t>
  </si>
  <si>
    <t>Guter Start ins Leben - Wie Hebammen helfen</t>
  </si>
  <si>
    <t>Mailadresse zur Anforderung von Produktpaketen für Babys und Kinder (Weleda)</t>
  </si>
  <si>
    <t>"Best Start" Mehrsprachige Links/Infos zu Schwanger-schaft/erste Zeit mit Baby</t>
  </si>
  <si>
    <t>Familienzusammenführung syrischer Flüchtinge</t>
  </si>
  <si>
    <t>Kindergeldantrag + Anlagen</t>
  </si>
  <si>
    <t>Rundfunkbeitrag: Antrag auf Befreiung/Ermäßigung</t>
  </si>
  <si>
    <t>Flüchtlinge in Berufsausbildung</t>
  </si>
  <si>
    <t>Potenziale nutzen - geflüch-tete Menschen beschäftigen</t>
  </si>
  <si>
    <t>Praktika u. betriebl. Tätigkeiten für Flüchtlinge</t>
  </si>
  <si>
    <t>Köln</t>
  </si>
  <si>
    <t>Willkommensinitiativen Köln</t>
  </si>
  <si>
    <t>Flüchtlinge in den Arbeitsmarkt</t>
  </si>
  <si>
    <t>Antrag ALG II Ausfüllhilfen   und Übersetzungen</t>
  </si>
  <si>
    <t>Antrag auf befristeten Aufenthaltstitel</t>
  </si>
  <si>
    <t>Flyer zur Gleichberechtigung</t>
  </si>
  <si>
    <t>Erstinformationen</t>
  </si>
  <si>
    <t>Ankommen in NRW</t>
  </si>
  <si>
    <t>Zusammenstellung:</t>
  </si>
  <si>
    <t>Cornelia Meierbröker</t>
  </si>
  <si>
    <t>Kontakt:</t>
  </si>
  <si>
    <t>MigBib-come@web.de</t>
  </si>
  <si>
    <t>Diese Linksammlung kann urheberrechtlich und durch andere Gesetze geschützte Elemente enthalten, die</t>
  </si>
  <si>
    <t>dem Urheberrecht Dritter unterliegen und die für diese Dritten entsprechend urheberrechtlich geschützt sind.</t>
  </si>
  <si>
    <t>drücklich von allen Inhalten aller Seiten, die möglicherweise straf- oder haftungsrechtlich relevant sind oder ge-</t>
  </si>
  <si>
    <t>gen die guten Sitten verstoßen, und mache mir diese Inhalte nicht zu eigen.</t>
  </si>
  <si>
    <t>Da ich keinerlei Einfluss auf die Gestaltung und die Inhalte der verlinkten Seiten habe, distanziere ich mich aus-</t>
  </si>
  <si>
    <t>Für die Aktualität, Korrektheit, Vollständigkeit und Qualität der bereit gestellten Links wird keine Gewähr über-</t>
  </si>
  <si>
    <t>nommen. Jegliche Haftung für Schäden, die direkt oder indirekt aus der Benutzung dieser Linksammlung ent-</t>
  </si>
  <si>
    <t>stehen, ist ausgeschlossen.</t>
  </si>
  <si>
    <t>Bildungsserver: Junge unbegleitete Flüchtlinge</t>
  </si>
  <si>
    <t>Karikaturen gegen Angst</t>
  </si>
  <si>
    <t>Hamburg testet Hightech-Praxis für Flüchtlinge</t>
  </si>
  <si>
    <t>Filmkoffer für geflüchtete Kinder und Jugendliche</t>
  </si>
  <si>
    <t>Caritas: Ratgeber für das Ehrenamt</t>
  </si>
  <si>
    <t>Specials</t>
  </si>
  <si>
    <t>Germany from A to Z</t>
  </si>
  <si>
    <t>Online-Sprachkurse</t>
  </si>
  <si>
    <t>DaF</t>
  </si>
  <si>
    <t>400 Arbeitsblätter für Deutsch als Fremdsprache</t>
  </si>
  <si>
    <t>99 Arbeitsblätter DaF Grundstufe</t>
  </si>
  <si>
    <t>Deutsch mit Socke</t>
  </si>
  <si>
    <t>Deutsch als Fremdsprache: Bildergeschichten</t>
  </si>
  <si>
    <t>Video Sprachkurs</t>
  </si>
  <si>
    <t>Beluga "Berufsbezogenes Lern- und Grundbildungs-programm"</t>
  </si>
  <si>
    <t>International Children's Digi-tal Library (div. Sprachen)</t>
  </si>
  <si>
    <t>Netzheft NRW 2016 Adressen-liste behördenunabhängiger Beratungsstellen/Initiativen</t>
  </si>
  <si>
    <t>Tagesschau: Flüchtlinge müssen Bargeld abgeben</t>
  </si>
  <si>
    <t>Zeit online: Kolumne "Unser Sexmob"</t>
  </si>
  <si>
    <t>Medienberichte</t>
  </si>
  <si>
    <t>Informationen zum Studium    in NRW</t>
  </si>
  <si>
    <t xml:space="preserve">     Sprache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</si>
</sst>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rgb="FFFFC000"/>
      <name val="Arial"/>
      <family val="2"/>
    </font>
    <font>
      <b/>
      <sz val="11"/>
      <color rgb="FF0070C0"/>
      <name val="Arial"/>
      <family val="2"/>
    </font>
    <font>
      <b/>
      <sz val="11"/>
      <color rgb="FF7030A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C000"/>
      <name val="Arial"/>
      <family val="2"/>
    </font>
    <font>
      <b/>
      <sz val="11"/>
      <color rgb="FF009900"/>
      <name val="Arial"/>
      <family val="2"/>
    </font>
    <font>
      <sz val="11"/>
      <color rgb="FF009900"/>
      <name val="Calibri"/>
      <family val="2"/>
      <scheme val="minor"/>
    </font>
    <font>
      <b/>
      <sz val="11"/>
      <color theme="5"/>
      <name val="Arial"/>
      <family val="2"/>
    </font>
    <font>
      <sz val="11"/>
      <color theme="5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AE7FF"/>
        <bgColor indexed="64"/>
      </patternFill>
    </fill>
    <fill>
      <patternFill patternType="solid">
        <fgColor rgb="FFEDF1F9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rgb="FFFBE2D1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rgb="FFFFEDB3"/>
        <bgColor indexed="64"/>
      </patternFill>
    </fill>
    <fill>
      <patternFill patternType="solid">
        <fgColor rgb="FFD8E9CD"/>
        <bgColor indexed="64"/>
      </patternFill>
    </fill>
    <fill>
      <patternFill patternType="solid">
        <fgColor rgb="FFFDF3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08">
    <xf numFmtId="0" fontId="0" fillId="0" borderId="0" xfId="0"/>
    <xf numFmtId="0" fontId="2" fillId="2" borderId="3" xfId="0" applyFont="1" applyFill="1" applyBorder="1" applyAlignment="1" applyProtection="1">
      <protection locked="0"/>
    </xf>
    <xf numFmtId="0" fontId="0" fillId="2" borderId="10" xfId="0" applyFill="1" applyBorder="1" applyAlignment="1" applyProtection="1">
      <protection locked="0"/>
    </xf>
    <xf numFmtId="0" fontId="3" fillId="14" borderId="8" xfId="0" applyFont="1" applyFill="1" applyBorder="1" applyAlignment="1" applyProtection="1">
      <alignment horizontal="left"/>
      <protection locked="0"/>
    </xf>
    <xf numFmtId="0" fontId="3" fillId="14" borderId="12" xfId="0" applyFont="1" applyFill="1" applyBorder="1" applyAlignment="1" applyProtection="1">
      <alignment horizontal="left"/>
      <protection locked="0"/>
    </xf>
    <xf numFmtId="0" fontId="3" fillId="14" borderId="10" xfId="0" applyFont="1" applyFill="1" applyBorder="1" applyAlignment="1" applyProtection="1">
      <alignment horizontal="left"/>
      <protection locked="0"/>
    </xf>
    <xf numFmtId="0" fontId="3" fillId="14" borderId="9" xfId="0" applyFont="1" applyFill="1" applyBorder="1" applyAlignment="1" applyProtection="1">
      <alignment horizontal="left"/>
      <protection locked="0"/>
    </xf>
    <xf numFmtId="0" fontId="3" fillId="14" borderId="4" xfId="0" applyFont="1" applyFill="1" applyBorder="1" applyAlignment="1" applyProtection="1">
      <alignment horizontal="left"/>
      <protection locked="0"/>
    </xf>
    <xf numFmtId="0" fontId="5" fillId="5" borderId="8" xfId="0" applyFont="1" applyFill="1" applyBorder="1" applyAlignment="1" applyProtection="1">
      <alignment horizontal="left"/>
      <protection locked="0"/>
    </xf>
    <xf numFmtId="0" fontId="5" fillId="5" borderId="12" xfId="0" applyFont="1" applyFill="1" applyBorder="1" applyAlignment="1" applyProtection="1">
      <alignment horizontal="left"/>
      <protection locked="0"/>
    </xf>
    <xf numFmtId="0" fontId="2" fillId="12" borderId="8" xfId="0" applyFont="1" applyFill="1" applyBorder="1" applyAlignment="1" applyProtection="1">
      <alignment horizontal="left"/>
      <protection locked="0"/>
    </xf>
    <xf numFmtId="0" fontId="2" fillId="12" borderId="10" xfId="0" applyFont="1" applyFill="1" applyBorder="1" applyAlignment="1" applyProtection="1">
      <alignment horizontal="left"/>
      <protection locked="0"/>
    </xf>
    <xf numFmtId="0" fontId="2" fillId="12" borderId="12" xfId="0" applyFont="1" applyFill="1" applyBorder="1" applyAlignment="1" applyProtection="1">
      <alignment horizontal="left"/>
      <protection locked="0"/>
    </xf>
    <xf numFmtId="0" fontId="2" fillId="12" borderId="9" xfId="0" applyFont="1" applyFill="1" applyBorder="1" applyAlignment="1" applyProtection="1">
      <alignment horizontal="left"/>
      <protection locked="0"/>
    </xf>
    <xf numFmtId="0" fontId="6" fillId="4" borderId="12" xfId="0" applyFont="1" applyFill="1" applyBorder="1" applyAlignment="1" applyProtection="1">
      <alignment horizontal="left"/>
      <protection locked="0"/>
    </xf>
    <xf numFmtId="0" fontId="6" fillId="4" borderId="10" xfId="0" applyFont="1" applyFill="1" applyBorder="1" applyAlignment="1" applyProtection="1">
      <alignment horizontal="left"/>
      <protection locked="0"/>
    </xf>
    <xf numFmtId="0" fontId="6" fillId="4" borderId="9" xfId="0" applyFont="1" applyFill="1" applyBorder="1" applyAlignment="1" applyProtection="1">
      <alignment horizontal="left"/>
      <protection locked="0"/>
    </xf>
    <xf numFmtId="0" fontId="2" fillId="8" borderId="3" xfId="0" applyFont="1" applyFill="1" applyBorder="1" applyAlignment="1" applyProtection="1">
      <alignment horizontal="left"/>
      <protection locked="0"/>
    </xf>
    <xf numFmtId="0" fontId="2" fillId="8" borderId="8" xfId="0" applyFont="1" applyFill="1" applyBorder="1" applyAlignment="1" applyProtection="1">
      <alignment horizontal="left"/>
      <protection locked="0"/>
    </xf>
    <xf numFmtId="0" fontId="1" fillId="8" borderId="12" xfId="0" applyFont="1" applyFill="1" applyBorder="1" applyAlignment="1" applyProtection="1">
      <alignment horizontal="left"/>
      <protection locked="0"/>
    </xf>
    <xf numFmtId="0" fontId="11" fillId="3" borderId="8" xfId="0" applyFont="1" applyFill="1" applyBorder="1" applyAlignment="1" applyProtection="1">
      <alignment horizontal="left"/>
      <protection locked="0"/>
    </xf>
    <xf numFmtId="0" fontId="11" fillId="3" borderId="12" xfId="0" applyFont="1" applyFill="1" applyBorder="1" applyAlignment="1" applyProtection="1">
      <alignment horizontal="left"/>
      <protection locked="0"/>
    </xf>
    <xf numFmtId="0" fontId="7" fillId="3" borderId="12" xfId="1" applyFill="1" applyBorder="1" applyAlignment="1" applyProtection="1">
      <alignment horizontal="left"/>
      <protection locked="0"/>
    </xf>
    <xf numFmtId="0" fontId="11" fillId="3" borderId="9" xfId="0" applyFont="1" applyFill="1" applyBorder="1" applyAlignment="1" applyProtection="1">
      <alignment horizontal="left"/>
      <protection locked="0"/>
    </xf>
    <xf numFmtId="0" fontId="2" fillId="7" borderId="8" xfId="0" applyFont="1" applyFill="1" applyBorder="1" applyAlignment="1" applyProtection="1">
      <alignment horizontal="left"/>
      <protection locked="0"/>
    </xf>
    <xf numFmtId="0" fontId="2" fillId="7" borderId="12" xfId="0" applyFont="1" applyFill="1" applyBorder="1" applyAlignment="1" applyProtection="1">
      <alignment horizontal="left"/>
      <protection locked="0"/>
    </xf>
    <xf numFmtId="0" fontId="2" fillId="7" borderId="10" xfId="0" applyFont="1" applyFill="1" applyBorder="1" applyAlignment="1" applyProtection="1">
      <alignment horizontal="left"/>
      <protection locked="0"/>
    </xf>
    <xf numFmtId="0" fontId="13" fillId="16" borderId="3" xfId="0" applyFont="1" applyFill="1" applyBorder="1" applyAlignment="1" applyProtection="1">
      <alignment horizontal="left"/>
      <protection locked="0"/>
    </xf>
    <xf numFmtId="0" fontId="10" fillId="16" borderId="10" xfId="0" applyFont="1" applyFill="1" applyBorder="1" applyAlignment="1" applyProtection="1">
      <alignment horizontal="left"/>
      <protection locked="0"/>
    </xf>
    <xf numFmtId="0" fontId="13" fillId="16" borderId="12" xfId="0" applyFont="1" applyFill="1" applyBorder="1" applyAlignment="1" applyProtection="1">
      <alignment horizontal="left"/>
      <protection locked="0"/>
    </xf>
    <xf numFmtId="0" fontId="14" fillId="16" borderId="12" xfId="0" applyFont="1" applyFill="1" applyBorder="1" applyAlignment="1" applyProtection="1">
      <alignment horizontal="left"/>
      <protection locked="0"/>
    </xf>
    <xf numFmtId="0" fontId="10" fillId="16" borderId="12" xfId="0" applyFont="1" applyFill="1" applyBorder="1" applyAlignment="1" applyProtection="1">
      <alignment horizontal="left"/>
      <protection locked="0"/>
    </xf>
    <xf numFmtId="0" fontId="2" fillId="17" borderId="3" xfId="0" applyFont="1" applyFill="1" applyBorder="1" applyAlignment="1" applyProtection="1">
      <alignment horizontal="left"/>
      <protection locked="0"/>
    </xf>
    <xf numFmtId="0" fontId="1" fillId="17" borderId="10" xfId="0" applyFont="1" applyFill="1" applyBorder="1" applyAlignment="1" applyProtection="1">
      <alignment horizontal="left"/>
      <protection locked="0"/>
    </xf>
    <xf numFmtId="0" fontId="1" fillId="17" borderId="12" xfId="0" applyFont="1" applyFill="1" applyBorder="1" applyAlignment="1" applyProtection="1">
      <alignment horizontal="left"/>
      <protection locked="0"/>
    </xf>
    <xf numFmtId="0" fontId="11" fillId="17" borderId="12" xfId="0" applyFont="1" applyFill="1" applyBorder="1" applyAlignment="1" applyProtection="1">
      <alignment horizontal="left"/>
      <protection locked="0"/>
    </xf>
    <xf numFmtId="0" fontId="1" fillId="17" borderId="9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2" fillId="2" borderId="7" xfId="0" applyFont="1" applyFill="1" applyBorder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0" fontId="3" fillId="13" borderId="8" xfId="0" applyFont="1" applyFill="1" applyBorder="1" applyAlignment="1" applyProtection="1">
      <alignment horizontal="left"/>
      <protection locked="0"/>
    </xf>
    <xf numFmtId="0" fontId="3" fillId="13" borderId="12" xfId="0" applyFont="1" applyFill="1" applyBorder="1" applyAlignment="1" applyProtection="1">
      <alignment horizontal="left"/>
      <protection locked="0"/>
    </xf>
    <xf numFmtId="0" fontId="3" fillId="13" borderId="9" xfId="0" applyFont="1" applyFill="1" applyBorder="1" applyAlignment="1" applyProtection="1">
      <alignment horizontal="left"/>
      <protection locked="0"/>
    </xf>
    <xf numFmtId="0" fontId="5" fillId="5" borderId="9" xfId="0" applyFont="1" applyFill="1" applyBorder="1" applyAlignment="1" applyProtection="1">
      <alignment horizontal="left"/>
      <protection locked="0"/>
    </xf>
    <xf numFmtId="0" fontId="5" fillId="9" borderId="8" xfId="0" applyFont="1" applyFill="1" applyBorder="1" applyAlignment="1" applyProtection="1">
      <alignment horizontal="left"/>
      <protection locked="0"/>
    </xf>
    <xf numFmtId="0" fontId="5" fillId="9" borderId="12" xfId="0" applyFont="1" applyFill="1" applyBorder="1" applyAlignment="1" applyProtection="1">
      <alignment horizontal="left"/>
      <protection locked="0"/>
    </xf>
    <xf numFmtId="0" fontId="5" fillId="9" borderId="9" xfId="0" applyFont="1" applyFill="1" applyBorder="1" applyAlignment="1" applyProtection="1">
      <alignment horizontal="left"/>
      <protection locked="0"/>
    </xf>
    <xf numFmtId="0" fontId="2" fillId="11" borderId="8" xfId="0" applyFont="1" applyFill="1" applyBorder="1" applyAlignment="1" applyProtection="1">
      <alignment horizontal="left"/>
      <protection locked="0"/>
    </xf>
    <xf numFmtId="0" fontId="2" fillId="11" borderId="12" xfId="0" applyFont="1" applyFill="1" applyBorder="1" applyAlignment="1" applyProtection="1">
      <alignment horizontal="left"/>
      <protection locked="0"/>
    </xf>
    <xf numFmtId="0" fontId="2" fillId="11" borderId="9" xfId="0" applyFont="1" applyFill="1" applyBorder="1" applyAlignment="1" applyProtection="1">
      <alignment horizontal="left"/>
      <protection locked="0"/>
    </xf>
    <xf numFmtId="0" fontId="6" fillId="4" borderId="8" xfId="0" applyFont="1" applyFill="1" applyBorder="1" applyAlignment="1" applyProtection="1">
      <alignment horizontal="left"/>
      <protection locked="0"/>
    </xf>
    <xf numFmtId="0" fontId="6" fillId="6" borderId="12" xfId="0" applyFont="1" applyFill="1" applyBorder="1" applyAlignment="1" applyProtection="1">
      <alignment horizontal="left"/>
      <protection locked="0"/>
    </xf>
    <xf numFmtId="0" fontId="1" fillId="8" borderId="9" xfId="0" applyFont="1" applyFill="1" applyBorder="1" applyAlignment="1" applyProtection="1">
      <alignment horizontal="left"/>
      <protection locked="0"/>
    </xf>
    <xf numFmtId="0" fontId="2" fillId="18" borderId="8" xfId="0" applyFont="1" applyFill="1" applyBorder="1" applyAlignment="1" applyProtection="1">
      <alignment horizontal="left"/>
      <protection locked="0"/>
    </xf>
    <xf numFmtId="0" fontId="2" fillId="18" borderId="12" xfId="0" applyFont="1" applyFill="1" applyBorder="1" applyAlignment="1" applyProtection="1">
      <alignment horizontal="left"/>
      <protection locked="0"/>
    </xf>
    <xf numFmtId="0" fontId="2" fillId="18" borderId="9" xfId="0" applyFont="1" applyFill="1" applyBorder="1" applyAlignment="1" applyProtection="1">
      <alignment horizontal="left"/>
      <protection locked="0"/>
    </xf>
    <xf numFmtId="0" fontId="2" fillId="8" borderId="12" xfId="0" applyFont="1" applyFill="1" applyBorder="1" applyAlignment="1" applyProtection="1">
      <alignment horizontal="left"/>
      <protection locked="0"/>
    </xf>
    <xf numFmtId="0" fontId="11" fillId="10" borderId="12" xfId="0" applyFont="1" applyFill="1" applyBorder="1" applyAlignment="1" applyProtection="1">
      <alignment horizontal="left"/>
      <protection locked="0"/>
    </xf>
    <xf numFmtId="0" fontId="11" fillId="10" borderId="9" xfId="0" applyFont="1" applyFill="1" applyBorder="1" applyAlignment="1" applyProtection="1">
      <alignment horizontal="left"/>
      <protection locked="0"/>
    </xf>
    <xf numFmtId="0" fontId="11" fillId="10" borderId="8" xfId="0" applyFont="1" applyFill="1" applyBorder="1" applyAlignment="1" applyProtection="1">
      <alignment horizontal="left"/>
      <protection locked="0"/>
    </xf>
    <xf numFmtId="0" fontId="2" fillId="7" borderId="11" xfId="0" applyFont="1" applyFill="1" applyBorder="1" applyAlignment="1" applyProtection="1">
      <alignment horizontal="left"/>
      <protection locked="0"/>
    </xf>
    <xf numFmtId="0" fontId="2" fillId="7" borderId="6" xfId="0" applyFont="1" applyFill="1" applyBorder="1" applyAlignment="1" applyProtection="1">
      <alignment horizontal="left"/>
      <protection locked="0"/>
    </xf>
    <xf numFmtId="0" fontId="2" fillId="2" borderId="5" xfId="0" applyFont="1" applyFill="1" applyBorder="1" applyAlignment="1" applyProtection="1">
      <alignment horizontal="left"/>
      <protection locked="0"/>
    </xf>
    <xf numFmtId="0" fontId="2" fillId="2" borderId="11" xfId="0" applyFont="1" applyFill="1" applyBorder="1" applyAlignment="1" applyProtection="1">
      <alignment horizontal="left"/>
      <protection locked="0"/>
    </xf>
    <xf numFmtId="0" fontId="2" fillId="7" borderId="9" xfId="0" applyFont="1" applyFill="1" applyBorder="1" applyAlignment="1" applyProtection="1">
      <alignment horizontal="left"/>
      <protection locked="0"/>
    </xf>
    <xf numFmtId="0" fontId="2" fillId="2" borderId="12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left"/>
      <protection locked="0"/>
    </xf>
    <xf numFmtId="0" fontId="13" fillId="16" borderId="8" xfId="0" applyFont="1" applyFill="1" applyBorder="1" applyAlignment="1" applyProtection="1">
      <alignment horizontal="left"/>
      <protection locked="0"/>
    </xf>
    <xf numFmtId="0" fontId="13" fillId="16" borderId="9" xfId="0" applyFont="1" applyFill="1" applyBorder="1" applyAlignment="1" applyProtection="1">
      <alignment horizontal="left"/>
      <protection locked="0"/>
    </xf>
    <xf numFmtId="0" fontId="13" fillId="15" borderId="12" xfId="0" applyFont="1" applyFill="1" applyBorder="1" applyAlignment="1" applyProtection="1">
      <alignment horizontal="left"/>
      <protection locked="0"/>
    </xf>
    <xf numFmtId="0" fontId="13" fillId="15" borderId="9" xfId="0" applyFont="1" applyFill="1" applyBorder="1" applyAlignment="1" applyProtection="1">
      <alignment horizontal="left"/>
      <protection locked="0"/>
    </xf>
    <xf numFmtId="0" fontId="2" fillId="17" borderId="8" xfId="0" applyFont="1" applyFill="1" applyBorder="1" applyAlignment="1" applyProtection="1">
      <alignment horizontal="left"/>
      <protection locked="0"/>
    </xf>
    <xf numFmtId="0" fontId="2" fillId="3" borderId="8" xfId="0" applyFont="1" applyFill="1" applyBorder="1" applyAlignment="1" applyProtection="1">
      <alignment horizontal="left"/>
      <protection locked="0"/>
    </xf>
    <xf numFmtId="0" fontId="2" fillId="3" borderId="12" xfId="0" applyFont="1" applyFill="1" applyBorder="1" applyAlignment="1" applyProtection="1">
      <alignment horizontal="left"/>
      <protection locked="0"/>
    </xf>
    <xf numFmtId="0" fontId="2" fillId="3" borderId="9" xfId="0" applyFont="1" applyFill="1" applyBorder="1" applyAlignment="1" applyProtection="1">
      <alignment horizontal="left"/>
      <protection locked="0"/>
    </xf>
    <xf numFmtId="0" fontId="2" fillId="17" borderId="12" xfId="0" applyFont="1" applyFill="1" applyBorder="1" applyAlignment="1" applyProtection="1">
      <alignment horizontal="left"/>
      <protection locked="0"/>
    </xf>
    <xf numFmtId="0" fontId="2" fillId="17" borderId="9" xfId="0" applyFont="1" applyFill="1" applyBorder="1" applyAlignment="1" applyProtection="1">
      <alignment horizontal="left"/>
      <protection locked="0"/>
    </xf>
    <xf numFmtId="0" fontId="2" fillId="2" borderId="7" xfId="0" applyFont="1" applyFill="1" applyBorder="1" applyAlignment="1" applyProtection="1">
      <alignment horizontal="left" vertical="top"/>
      <protection locked="0"/>
    </xf>
    <xf numFmtId="0" fontId="1" fillId="0" borderId="0" xfId="0" applyFont="1" applyFill="1" applyProtection="1">
      <protection locked="0"/>
    </xf>
    <xf numFmtId="0" fontId="3" fillId="14" borderId="0" xfId="0" applyFont="1" applyFill="1" applyBorder="1" applyAlignment="1" applyProtection="1">
      <alignment horizontal="right"/>
      <protection locked="0"/>
    </xf>
    <xf numFmtId="0" fontId="5" fillId="5" borderId="0" xfId="0" applyFont="1" applyFill="1" applyBorder="1" applyAlignment="1" applyProtection="1">
      <alignment horizontal="left"/>
      <protection locked="0"/>
    </xf>
    <xf numFmtId="0" fontId="5" fillId="5" borderId="0" xfId="0" applyFont="1" applyFill="1" applyBorder="1" applyAlignment="1" applyProtection="1">
      <alignment horizontal="right"/>
      <protection locked="0"/>
    </xf>
    <xf numFmtId="0" fontId="2" fillId="12" borderId="0" xfId="0" applyFont="1" applyFill="1" applyBorder="1" applyAlignment="1" applyProtection="1">
      <alignment horizontal="left"/>
      <protection locked="0"/>
    </xf>
    <xf numFmtId="0" fontId="2" fillId="12" borderId="0" xfId="0" applyFont="1" applyFill="1" applyBorder="1" applyAlignment="1" applyProtection="1">
      <alignment horizontal="right"/>
      <protection locked="0"/>
    </xf>
    <xf numFmtId="0" fontId="6" fillId="4" borderId="0" xfId="0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right"/>
      <protection locked="0"/>
    </xf>
    <xf numFmtId="0" fontId="2" fillId="8" borderId="0" xfId="0" applyFont="1" applyFill="1" applyBorder="1" applyAlignment="1" applyProtection="1">
      <alignment horizontal="right"/>
      <protection locked="0"/>
    </xf>
    <xf numFmtId="0" fontId="0" fillId="2" borderId="0" xfId="0" applyFill="1" applyAlignment="1" applyProtection="1">
      <alignment horizontal="left"/>
      <protection locked="0"/>
    </xf>
    <xf numFmtId="0" fontId="11" fillId="3" borderId="0" xfId="0" applyFont="1" applyFill="1" applyBorder="1" applyAlignment="1" applyProtection="1">
      <alignment horizontal="left"/>
      <protection locked="0"/>
    </xf>
    <xf numFmtId="0" fontId="11" fillId="3" borderId="0" xfId="0" applyFont="1" applyFill="1" applyBorder="1" applyAlignment="1" applyProtection="1">
      <alignment horizontal="right"/>
      <protection locked="0"/>
    </xf>
    <xf numFmtId="0" fontId="2" fillId="7" borderId="0" xfId="0" applyFont="1" applyFill="1" applyBorder="1" applyAlignment="1" applyProtection="1">
      <alignment horizontal="right"/>
      <protection locked="0"/>
    </xf>
    <xf numFmtId="0" fontId="10" fillId="16" borderId="0" xfId="0" applyFont="1" applyFill="1" applyBorder="1" applyAlignment="1" applyProtection="1">
      <alignment horizontal="right"/>
      <protection locked="0"/>
    </xf>
    <xf numFmtId="0" fontId="4" fillId="16" borderId="0" xfId="0" applyFont="1" applyFill="1" applyBorder="1" applyAlignment="1" applyProtection="1">
      <alignment horizontal="right"/>
      <protection locked="0"/>
    </xf>
    <xf numFmtId="0" fontId="2" fillId="2" borderId="5" xfId="0" applyFont="1" applyFill="1" applyBorder="1" applyAlignment="1" applyProtection="1">
      <alignment horizontal="left" vertical="top"/>
      <protection locked="0"/>
    </xf>
    <xf numFmtId="0" fontId="0" fillId="2" borderId="11" xfId="0" applyFill="1" applyBorder="1" applyAlignment="1" applyProtection="1">
      <protection locked="0"/>
    </xf>
    <xf numFmtId="0" fontId="2" fillId="17" borderId="0" xfId="0" applyFont="1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2" borderId="8" xfId="0" applyFont="1" applyFill="1" applyBorder="1" applyProtection="1">
      <protection locked="0"/>
    </xf>
    <xf numFmtId="0" fontId="2" fillId="2" borderId="12" xfId="0" applyFont="1" applyFill="1" applyBorder="1" applyProtection="1">
      <protection locked="0"/>
    </xf>
    <xf numFmtId="0" fontId="2" fillId="2" borderId="9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7" fillId="2" borderId="1" xfId="1" applyFill="1" applyBorder="1" applyAlignment="1" applyProtection="1">
      <alignment horizontal="center"/>
      <protection locked="0"/>
    </xf>
    <xf numFmtId="0" fontId="1" fillId="2" borderId="8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1" fillId="2" borderId="9" xfId="0" applyFont="1" applyFill="1" applyBorder="1" applyAlignment="1" applyProtection="1">
      <alignment horizontal="center"/>
      <protection locked="0"/>
    </xf>
    <xf numFmtId="0" fontId="9" fillId="0" borderId="0" xfId="0" applyFont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7" fillId="0" borderId="1" xfId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7" fillId="0" borderId="8" xfId="1" applyBorder="1" applyAlignment="1" applyProtection="1">
      <alignment horizontal="center"/>
      <protection locked="0"/>
    </xf>
    <xf numFmtId="0" fontId="7" fillId="0" borderId="1" xfId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7" fillId="0" borderId="9" xfId="1" applyBorder="1" applyAlignment="1" applyProtection="1">
      <alignment horizontal="center"/>
      <protection locked="0"/>
    </xf>
    <xf numFmtId="0" fontId="1" fillId="0" borderId="9" xfId="0" applyFont="1" applyBorder="1" applyAlignment="1" applyProtection="1">
      <alignment horizontal="center"/>
      <protection locked="0"/>
    </xf>
    <xf numFmtId="0" fontId="2" fillId="2" borderId="5" xfId="0" applyFont="1" applyFill="1" applyBorder="1" applyProtection="1">
      <protection locked="0"/>
    </xf>
    <xf numFmtId="0" fontId="2" fillId="2" borderId="11" xfId="0" applyFont="1" applyFill="1" applyBorder="1" applyProtection="1">
      <protection locked="0"/>
    </xf>
    <xf numFmtId="0" fontId="2" fillId="2" borderId="6" xfId="0" applyFont="1" applyFill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2" borderId="1" xfId="0" applyFont="1" applyFill="1" applyBorder="1" applyProtection="1">
      <protection locked="0"/>
    </xf>
    <xf numFmtId="0" fontId="1" fillId="2" borderId="2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2" borderId="0" xfId="0" applyFont="1" applyFill="1" applyBorder="1" applyAlignment="1" applyProtection="1">
      <alignment horizontal="left" vertical="top"/>
      <protection locked="0"/>
    </xf>
    <xf numFmtId="0" fontId="1" fillId="2" borderId="5" xfId="0" applyFont="1" applyFill="1" applyBorder="1" applyProtection="1">
      <protection locked="0"/>
    </xf>
    <xf numFmtId="0" fontId="16" fillId="2" borderId="3" xfId="0" applyFont="1" applyFill="1" applyBorder="1" applyAlignment="1" applyProtection="1">
      <protection locked="0"/>
    </xf>
    <xf numFmtId="0" fontId="2" fillId="2" borderId="10" xfId="0" applyFont="1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0" fontId="0" fillId="2" borderId="15" xfId="0" applyFill="1" applyBorder="1" applyAlignment="1" applyProtection="1">
      <protection locked="0"/>
    </xf>
    <xf numFmtId="0" fontId="0" fillId="2" borderId="7" xfId="0" applyFill="1" applyBorder="1" applyAlignment="1" applyProtection="1">
      <protection locked="0"/>
    </xf>
    <xf numFmtId="0" fontId="3" fillId="14" borderId="15" xfId="0" applyFont="1" applyFill="1" applyBorder="1" applyAlignment="1" applyProtection="1">
      <alignment horizontal="right"/>
      <protection locked="0"/>
    </xf>
    <xf numFmtId="0" fontId="5" fillId="5" borderId="15" xfId="0" applyFont="1" applyFill="1" applyBorder="1" applyAlignment="1" applyProtection="1">
      <alignment horizontal="right"/>
      <protection locked="0"/>
    </xf>
    <xf numFmtId="0" fontId="2" fillId="12" borderId="15" xfId="0" applyFont="1" applyFill="1" applyBorder="1" applyAlignment="1" applyProtection="1">
      <alignment horizontal="right"/>
      <protection locked="0"/>
    </xf>
    <xf numFmtId="0" fontId="6" fillId="4" borderId="15" xfId="0" applyFont="1" applyFill="1" applyBorder="1" applyAlignment="1" applyProtection="1">
      <alignment horizontal="right"/>
      <protection locked="0"/>
    </xf>
    <xf numFmtId="0" fontId="2" fillId="8" borderId="15" xfId="0" applyFont="1" applyFill="1" applyBorder="1" applyAlignment="1" applyProtection="1">
      <alignment horizontal="right"/>
      <protection locked="0"/>
    </xf>
    <xf numFmtId="0" fontId="0" fillId="2" borderId="7" xfId="0" applyFill="1" applyBorder="1" applyAlignment="1" applyProtection="1">
      <alignment horizontal="left"/>
      <protection locked="0"/>
    </xf>
    <xf numFmtId="0" fontId="11" fillId="3" borderId="15" xfId="0" applyFont="1" applyFill="1" applyBorder="1" applyAlignment="1" applyProtection="1">
      <alignment horizontal="right"/>
      <protection locked="0"/>
    </xf>
    <xf numFmtId="0" fontId="2" fillId="7" borderId="15" xfId="0" applyFont="1" applyFill="1" applyBorder="1" applyAlignment="1" applyProtection="1">
      <alignment horizontal="right"/>
      <protection locked="0"/>
    </xf>
    <xf numFmtId="0" fontId="4" fillId="16" borderId="15" xfId="0" applyFont="1" applyFill="1" applyBorder="1" applyAlignment="1" applyProtection="1">
      <alignment horizontal="right"/>
      <protection locked="0"/>
    </xf>
    <xf numFmtId="0" fontId="0" fillId="2" borderId="5" xfId="0" applyFill="1" applyBorder="1" applyAlignment="1" applyProtection="1">
      <protection locked="0"/>
    </xf>
    <xf numFmtId="0" fontId="2" fillId="2" borderId="11" xfId="0" applyFont="1" applyFill="1" applyBorder="1" applyAlignment="1" applyProtection="1">
      <alignment horizontal="left" vertical="top"/>
      <protection locked="0"/>
    </xf>
    <xf numFmtId="0" fontId="2" fillId="17" borderId="11" xfId="0" applyFont="1" applyFill="1" applyBorder="1" applyAlignment="1" applyProtection="1">
      <alignment horizontal="right"/>
      <protection locked="0"/>
    </xf>
    <xf numFmtId="0" fontId="2" fillId="17" borderId="6" xfId="0" applyFont="1" applyFill="1" applyBorder="1" applyAlignment="1" applyProtection="1">
      <alignment horizontal="right"/>
      <protection locked="0"/>
    </xf>
    <xf numFmtId="0" fontId="3" fillId="14" borderId="2" xfId="0" applyFont="1" applyFill="1" applyBorder="1" applyAlignment="1" applyProtection="1">
      <alignment horizontal="center" textRotation="90" wrapText="1"/>
      <protection locked="0"/>
    </xf>
    <xf numFmtId="0" fontId="3" fillId="14" borderId="1" xfId="0" applyFont="1" applyFill="1" applyBorder="1" applyAlignment="1" applyProtection="1">
      <alignment horizontal="center" textRotation="90" wrapText="1"/>
      <protection locked="0"/>
    </xf>
    <xf numFmtId="0" fontId="5" fillId="9" borderId="1" xfId="0" applyFont="1" applyFill="1" applyBorder="1" applyAlignment="1" applyProtection="1">
      <alignment horizontal="center" textRotation="90" wrapText="1"/>
      <protection locked="0"/>
    </xf>
    <xf numFmtId="0" fontId="5" fillId="5" borderId="1" xfId="0" applyFont="1" applyFill="1" applyBorder="1" applyAlignment="1" applyProtection="1">
      <alignment horizontal="center" textRotation="90" wrapText="1"/>
      <protection locked="0"/>
    </xf>
    <xf numFmtId="0" fontId="2" fillId="17" borderId="2" xfId="0" applyFont="1" applyFill="1" applyBorder="1" applyAlignment="1" applyProtection="1">
      <alignment horizontal="center" textRotation="90" wrapText="1"/>
      <protection locked="0"/>
    </xf>
    <xf numFmtId="0" fontId="2" fillId="17" borderId="1" xfId="0" applyFont="1" applyFill="1" applyBorder="1" applyAlignment="1" applyProtection="1">
      <alignment horizontal="center" textRotation="90" wrapText="1"/>
      <protection locked="0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2" fillId="8" borderId="13" xfId="0" applyFont="1" applyFill="1" applyBorder="1" applyAlignment="1" applyProtection="1">
      <alignment horizontal="center" textRotation="90" wrapText="1"/>
      <protection locked="0"/>
    </xf>
    <xf numFmtId="0" fontId="2" fillId="8" borderId="14" xfId="0" applyFont="1" applyFill="1" applyBorder="1" applyAlignment="1" applyProtection="1">
      <alignment horizontal="center" textRotation="90" wrapText="1"/>
      <protection locked="0"/>
    </xf>
    <xf numFmtId="0" fontId="2" fillId="8" borderId="2" xfId="0" applyFont="1" applyFill="1" applyBorder="1" applyAlignment="1" applyProtection="1">
      <alignment horizontal="center" textRotation="90" wrapText="1"/>
      <protection locked="0"/>
    </xf>
    <xf numFmtId="0" fontId="6" fillId="4" borderId="2" xfId="0" applyFont="1" applyFill="1" applyBorder="1" applyAlignment="1" applyProtection="1">
      <alignment horizontal="center" textRotation="90" wrapText="1"/>
      <protection locked="0"/>
    </xf>
    <xf numFmtId="0" fontId="6" fillId="4" borderId="1" xfId="0" applyFont="1" applyFill="1" applyBorder="1" applyAlignment="1" applyProtection="1">
      <alignment horizontal="center" textRotation="90" wrapText="1"/>
      <protection locked="0"/>
    </xf>
    <xf numFmtId="0" fontId="13" fillId="16" borderId="2" xfId="0" applyFont="1" applyFill="1" applyBorder="1" applyAlignment="1" applyProtection="1">
      <alignment horizontal="center" textRotation="90" wrapText="1"/>
      <protection locked="0"/>
    </xf>
    <xf numFmtId="0" fontId="13" fillId="16" borderId="1" xfId="0" applyFont="1" applyFill="1" applyBorder="1" applyAlignment="1" applyProtection="1">
      <alignment horizontal="center" textRotation="90" wrapText="1"/>
      <protection locked="0"/>
    </xf>
    <xf numFmtId="0" fontId="3" fillId="13" borderId="2" xfId="0" applyFont="1" applyFill="1" applyBorder="1" applyAlignment="1" applyProtection="1">
      <alignment horizontal="center" textRotation="90" wrapText="1"/>
      <protection locked="0"/>
    </xf>
    <xf numFmtId="0" fontId="3" fillId="13" borderId="1" xfId="0" applyFont="1" applyFill="1" applyBorder="1" applyAlignment="1" applyProtection="1">
      <alignment horizontal="center" textRotation="90" wrapText="1"/>
      <protection locked="0"/>
    </xf>
    <xf numFmtId="0" fontId="11" fillId="3" borderId="2" xfId="0" applyFont="1" applyFill="1" applyBorder="1" applyAlignment="1" applyProtection="1">
      <alignment horizontal="center" textRotation="90" wrapText="1"/>
      <protection locked="0"/>
    </xf>
    <xf numFmtId="0" fontId="11" fillId="3" borderId="1" xfId="0" applyFont="1" applyFill="1" applyBorder="1" applyAlignment="1" applyProtection="1">
      <alignment horizontal="center" textRotation="90" wrapText="1"/>
      <protection locked="0"/>
    </xf>
    <xf numFmtId="0" fontId="11" fillId="10" borderId="2" xfId="0" applyFont="1" applyFill="1" applyBorder="1" applyAlignment="1" applyProtection="1">
      <alignment horizontal="center" textRotation="90" wrapText="1"/>
      <protection locked="0"/>
    </xf>
    <xf numFmtId="0" fontId="11" fillId="10" borderId="1" xfId="0" applyFont="1" applyFill="1" applyBorder="1" applyAlignment="1" applyProtection="1">
      <alignment horizontal="center" textRotation="90" wrapText="1"/>
      <protection locked="0"/>
    </xf>
    <xf numFmtId="0" fontId="0" fillId="0" borderId="0" xfId="0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Alignment="1" applyProtection="1">
      <alignment horizontal="center"/>
    </xf>
    <xf numFmtId="0" fontId="7" fillId="0" borderId="0" xfId="1" applyAlignment="1" applyProtection="1">
      <alignment horizontal="left"/>
    </xf>
    <xf numFmtId="0" fontId="2" fillId="11" borderId="2" xfId="0" applyFont="1" applyFill="1" applyBorder="1" applyAlignment="1" applyProtection="1">
      <alignment horizontal="center" textRotation="90" wrapText="1"/>
      <protection locked="0"/>
    </xf>
    <xf numFmtId="0" fontId="2" fillId="11" borderId="1" xfId="0" applyFont="1" applyFill="1" applyBorder="1" applyAlignment="1" applyProtection="1">
      <alignment horizontal="center" textRotation="90" wrapText="1"/>
      <protection locked="0"/>
    </xf>
    <xf numFmtId="0" fontId="2" fillId="12" borderId="2" xfId="0" applyFont="1" applyFill="1" applyBorder="1" applyAlignment="1" applyProtection="1">
      <alignment horizontal="center" textRotation="90" wrapText="1"/>
      <protection locked="0"/>
    </xf>
    <xf numFmtId="0" fontId="2" fillId="12" borderId="1" xfId="0" applyFont="1" applyFill="1" applyBorder="1" applyAlignment="1" applyProtection="1">
      <alignment horizontal="center" textRotation="90" wrapText="1"/>
      <protection locked="0"/>
    </xf>
    <xf numFmtId="0" fontId="5" fillId="5" borderId="8" xfId="0" applyFont="1" applyFill="1" applyBorder="1" applyAlignment="1" applyProtection="1">
      <alignment horizontal="center" textRotation="90" wrapText="1"/>
      <protection locked="0"/>
    </xf>
    <xf numFmtId="0" fontId="6" fillId="6" borderId="2" xfId="0" applyFont="1" applyFill="1" applyBorder="1" applyAlignment="1" applyProtection="1">
      <alignment horizontal="center" textRotation="90" wrapText="1"/>
      <protection locked="0"/>
    </xf>
    <xf numFmtId="0" fontId="6" fillId="6" borderId="1" xfId="0" applyFont="1" applyFill="1" applyBorder="1" applyAlignment="1" applyProtection="1">
      <alignment horizontal="center" textRotation="90" wrapText="1"/>
      <protection locked="0"/>
    </xf>
    <xf numFmtId="0" fontId="2" fillId="2" borderId="2" xfId="0" applyFont="1" applyFill="1" applyBorder="1" applyAlignment="1" applyProtection="1">
      <alignment horizontal="center" textRotation="90" wrapText="1"/>
      <protection locked="0"/>
    </xf>
    <xf numFmtId="0" fontId="2" fillId="2" borderId="1" xfId="0" applyFont="1" applyFill="1" applyBorder="1" applyAlignment="1" applyProtection="1">
      <alignment horizontal="center" textRotation="90" wrapText="1"/>
      <protection locked="0"/>
    </xf>
    <xf numFmtId="0" fontId="13" fillId="15" borderId="2" xfId="0" applyFont="1" applyFill="1" applyBorder="1" applyAlignment="1" applyProtection="1">
      <alignment horizontal="center" textRotation="90" wrapText="1"/>
      <protection locked="0"/>
    </xf>
    <xf numFmtId="0" fontId="13" fillId="15" borderId="1" xfId="0" applyFont="1" applyFill="1" applyBorder="1" applyAlignment="1" applyProtection="1">
      <alignment horizontal="center" textRotation="90" wrapText="1"/>
      <protection locked="0"/>
    </xf>
    <xf numFmtId="0" fontId="2" fillId="3" borderId="2" xfId="0" applyFont="1" applyFill="1" applyBorder="1" applyAlignment="1" applyProtection="1">
      <alignment horizontal="center" textRotation="90" wrapText="1"/>
      <protection locked="0"/>
    </xf>
    <xf numFmtId="0" fontId="2" fillId="3" borderId="1" xfId="0" applyFont="1" applyFill="1" applyBorder="1" applyAlignment="1" applyProtection="1">
      <alignment horizontal="center" textRotation="90" wrapText="1"/>
      <protection locked="0"/>
    </xf>
    <xf numFmtId="0" fontId="12" fillId="3" borderId="1" xfId="0" applyFont="1" applyFill="1" applyBorder="1" applyAlignment="1" applyProtection="1">
      <alignment horizontal="center"/>
      <protection locked="0"/>
    </xf>
    <xf numFmtId="0" fontId="2" fillId="7" borderId="13" xfId="0" applyFont="1" applyFill="1" applyBorder="1" applyAlignment="1" applyProtection="1">
      <alignment horizontal="center" textRotation="90" wrapText="1"/>
      <protection locked="0"/>
    </xf>
    <xf numFmtId="0" fontId="2" fillId="7" borderId="14" xfId="0" applyFont="1" applyFill="1" applyBorder="1" applyAlignment="1" applyProtection="1">
      <alignment horizontal="center" textRotation="90" wrapText="1"/>
      <protection locked="0"/>
    </xf>
    <xf numFmtId="0" fontId="2" fillId="7" borderId="2" xfId="0" applyFont="1" applyFill="1" applyBorder="1" applyAlignment="1" applyProtection="1">
      <alignment horizontal="center" textRotation="90" wrapText="1"/>
      <protection locked="0"/>
    </xf>
    <xf numFmtId="0" fontId="2" fillId="7" borderId="1" xfId="0" applyFont="1" applyFill="1" applyBorder="1" applyAlignment="1" applyProtection="1">
      <alignment horizontal="center" textRotation="90" wrapText="1"/>
      <protection locked="0"/>
    </xf>
    <xf numFmtId="0" fontId="6" fillId="4" borderId="13" xfId="0" applyFont="1" applyFill="1" applyBorder="1" applyAlignment="1" applyProtection="1">
      <alignment horizontal="center" textRotation="90" wrapText="1"/>
      <protection locked="0"/>
    </xf>
    <xf numFmtId="0" fontId="6" fillId="4" borderId="14" xfId="0" applyFont="1" applyFill="1" applyBorder="1" applyAlignment="1" applyProtection="1">
      <alignment horizontal="center" textRotation="90" wrapText="1"/>
      <protection locked="0"/>
    </xf>
    <xf numFmtId="0" fontId="2" fillId="18" borderId="1" xfId="0" applyFont="1" applyFill="1" applyBorder="1" applyAlignment="1" applyProtection="1">
      <alignment horizontal="center" textRotation="90" wrapText="1"/>
      <protection locked="0"/>
    </xf>
    <xf numFmtId="0" fontId="2" fillId="8" borderId="1" xfId="0" applyFont="1" applyFill="1" applyBorder="1" applyAlignment="1" applyProtection="1">
      <alignment horizontal="center" textRotation="90" wrapText="1"/>
      <protection locked="0"/>
    </xf>
    <xf numFmtId="0" fontId="11" fillId="3" borderId="14" xfId="0" applyFont="1" applyFill="1" applyBorder="1" applyAlignment="1" applyProtection="1">
      <alignment horizontal="center" textRotation="90" wrapText="1"/>
      <protection locked="0"/>
    </xf>
    <xf numFmtId="0" fontId="12" fillId="3" borderId="14" xfId="0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 applyProtection="1">
      <alignment horizontal="center"/>
      <protection locked="0"/>
    </xf>
    <xf numFmtId="0" fontId="11" fillId="3" borderId="6" xfId="0" applyFont="1" applyFill="1" applyBorder="1" applyAlignment="1" applyProtection="1">
      <alignment horizontal="center" textRotation="90" wrapText="1"/>
      <protection locked="0"/>
    </xf>
    <xf numFmtId="0" fontId="11" fillId="3" borderId="9" xfId="0" applyFont="1" applyFill="1" applyBorder="1" applyAlignment="1" applyProtection="1">
      <alignment horizontal="center" textRotation="90" wrapText="1"/>
      <protection locked="0"/>
    </xf>
    <xf numFmtId="0" fontId="12" fillId="3" borderId="9" xfId="0" applyFont="1" applyFill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3" fillId="14" borderId="9" xfId="0" applyFont="1" applyFill="1" applyBorder="1" applyAlignment="1" applyProtection="1">
      <alignment horizontal="center" textRotation="90" wrapText="1"/>
      <protection locked="0"/>
    </xf>
    <xf numFmtId="0" fontId="3" fillId="14" borderId="6" xfId="0" applyFont="1" applyFill="1" applyBorder="1" applyAlignment="1" applyProtection="1">
      <alignment horizontal="center" textRotation="90" wrapText="1"/>
      <protection locked="0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colors>
    <mruColors>
      <color rgb="FFFDF3FF"/>
      <color rgb="FFFCEFFF"/>
      <color rgb="FFD8E9CD"/>
      <color rgb="FFFFEDB3"/>
      <color rgb="FFFFF6DD"/>
      <color rgb="FFFFF9E7"/>
      <color rgb="FFFBE2D1"/>
      <color rgb="FFFCE9DC"/>
      <color rgb="FFFADBC6"/>
      <color rgb="FFFEF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13</xdr:row>
      <xdr:rowOff>1</xdr:rowOff>
    </xdr:to>
    <xdr:cxnSp macro="">
      <xdr:nvCxnSpPr>
        <xdr:cNvPr id="4" name="Gerader Verbinder 3"/>
        <xdr:cNvCxnSpPr/>
      </xdr:nvCxnSpPr>
      <xdr:spPr>
        <a:xfrm flipV="1">
          <a:off x="0" y="0"/>
          <a:ext cx="1702594" cy="241697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13</xdr:row>
      <xdr:rowOff>1</xdr:rowOff>
    </xdr:to>
    <xdr:cxnSp macro="">
      <xdr:nvCxnSpPr>
        <xdr:cNvPr id="2" name="Gerader Verbinder 1"/>
        <xdr:cNvCxnSpPr/>
      </xdr:nvCxnSpPr>
      <xdr:spPr>
        <a:xfrm flipV="1">
          <a:off x="0" y="0"/>
          <a:ext cx="1771650" cy="24765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gBib-come@web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igBib-come@web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N303"/>
  <sheetViews>
    <sheetView zoomScale="80" zoomScaleNormal="80" workbookViewId="0">
      <pane xSplit="10" ySplit="13" topLeftCell="K14" activePane="bottomRight" state="frozen"/>
      <selection pane="topRight" activeCell="E1" sqref="E1"/>
      <selection pane="bottomLeft" activeCell="A12" sqref="A12"/>
      <selection pane="bottomRight" activeCell="V16" sqref="V16"/>
    </sheetView>
  </sheetViews>
  <sheetFormatPr baseColWidth="10" defaultRowHeight="15" x14ac:dyDescent="0.25"/>
  <cols>
    <col min="1" max="1" width="4.5703125" style="123" customWidth="1"/>
    <col min="2" max="2" width="3.85546875" style="123" customWidth="1"/>
    <col min="3" max="3" width="2.28515625" style="123" customWidth="1"/>
    <col min="4" max="4" width="1.7109375" style="123" customWidth="1"/>
    <col min="5" max="8" width="2.28515625" style="123" customWidth="1"/>
    <col min="9" max="9" width="2.42578125" style="123" customWidth="1"/>
    <col min="10" max="10" width="2.5703125" style="123" customWidth="1"/>
    <col min="11" max="16" width="3.7109375" style="124" customWidth="1"/>
    <col min="17" max="18" width="6.7109375" style="124" customWidth="1"/>
    <col min="19" max="20" width="3.7109375" style="124" customWidth="1"/>
    <col min="21" max="23" width="6.7109375" style="124" customWidth="1"/>
    <col min="24" max="25" width="3.7109375" style="124" customWidth="1"/>
    <col min="26" max="26" width="6.7109375" style="124" customWidth="1"/>
    <col min="27" max="27" width="9.7109375" style="124" customWidth="1"/>
    <col min="28" max="28" width="6.7109375" style="124" customWidth="1"/>
    <col min="29" max="30" width="3.7109375" style="124" customWidth="1"/>
    <col min="31" max="31" width="6.7109375" style="124" customWidth="1"/>
    <col min="32" max="33" width="3.7109375" style="124" customWidth="1"/>
    <col min="34" max="34" width="6.7109375" style="124" customWidth="1"/>
    <col min="35" max="35" width="3.7109375" style="124" customWidth="1"/>
    <col min="36" max="36" width="6.7109375" style="124" customWidth="1"/>
    <col min="37" max="37" width="3.7109375" style="124" customWidth="1"/>
    <col min="38" max="38" width="6.7109375" style="124" customWidth="1"/>
    <col min="39" max="39" width="3.7109375" style="124" customWidth="1"/>
    <col min="40" max="42" width="3.7109375" style="38" customWidth="1"/>
    <col min="43" max="46" width="6.7109375" style="38" customWidth="1"/>
    <col min="47" max="49" width="3.7109375" style="124" customWidth="1"/>
    <col min="50" max="50" width="3.7109375" style="38" customWidth="1"/>
    <col min="51" max="51" width="3.7109375" style="124" customWidth="1"/>
    <col min="52" max="52" width="3.7109375" style="38" customWidth="1"/>
    <col min="53" max="53" width="6.7109375" style="38" customWidth="1"/>
    <col min="54" max="57" width="6.7109375" style="124" customWidth="1"/>
    <col min="58" max="59" width="3.7109375" style="124" customWidth="1"/>
    <col min="60" max="61" width="6.7109375" style="124" customWidth="1"/>
    <col min="62" max="62" width="9.7109375" style="38" customWidth="1"/>
    <col min="63" max="65" width="6.7109375" style="38" customWidth="1"/>
    <col min="66" max="67" width="3.7109375" style="38" customWidth="1"/>
    <col min="68" max="69" width="6.7109375" style="38" customWidth="1"/>
    <col min="70" max="70" width="3.7109375" style="38" customWidth="1"/>
    <col min="71" max="71" width="9.7109375" style="38" customWidth="1"/>
    <col min="72" max="74" width="3.7109375" style="38" customWidth="1"/>
    <col min="75" max="75" width="6.7109375" style="38" customWidth="1"/>
    <col min="76" max="77" width="3.7109375" style="38" customWidth="1"/>
    <col min="78" max="82" width="6.7109375" style="38" customWidth="1"/>
    <col min="83" max="83" width="9.7109375" style="38" customWidth="1"/>
    <col min="84" max="86" width="6.7109375" style="38" customWidth="1"/>
    <col min="87" max="87" width="3.7109375" style="38" customWidth="1"/>
    <col min="88" max="91" width="6.7109375" style="38" customWidth="1"/>
    <col min="92" max="93" width="3.7109375" style="38" customWidth="1"/>
    <col min="94" max="95" width="6.7109375" style="38" customWidth="1"/>
    <col min="96" max="97" width="9.7109375" style="38" customWidth="1"/>
    <col min="98" max="102" width="3.7109375" style="38" customWidth="1"/>
    <col min="103" max="103" width="6.7109375" style="124" customWidth="1"/>
    <col min="104" max="108" width="6.7109375" style="38" customWidth="1"/>
    <col min="109" max="109" width="3.7109375" style="124" customWidth="1"/>
    <col min="110" max="110" width="6.7109375" style="38" customWidth="1"/>
    <col min="111" max="113" width="3.7109375" style="38" customWidth="1"/>
    <col min="114" max="116" width="6.7109375" style="38" customWidth="1"/>
    <col min="117" max="117" width="3.7109375" style="38" customWidth="1"/>
    <col min="118" max="118" width="6.7109375" style="38" customWidth="1"/>
    <col min="119" max="119" width="3.7109375" style="124" customWidth="1"/>
    <col min="120" max="121" width="3.7109375" style="38" customWidth="1"/>
    <col min="122" max="130" width="6.7109375" style="38" customWidth="1"/>
    <col min="131" max="131" width="3.7109375" style="38" customWidth="1"/>
    <col min="132" max="132" width="6.7109375" style="38" customWidth="1"/>
    <col min="133" max="133" width="9.7109375" style="38" customWidth="1"/>
    <col min="134" max="140" width="6.7109375" style="38" customWidth="1"/>
    <col min="141" max="141" width="3.7109375" style="38" customWidth="1"/>
    <col min="142" max="142" width="9.7109375" style="38" customWidth="1"/>
    <col min="143" max="143" width="3.7109375" style="38" customWidth="1"/>
    <col min="144" max="145" width="6.7109375" style="124" customWidth="1"/>
    <col min="146" max="146" width="3.7109375" style="124" customWidth="1"/>
    <col min="147" max="147" width="6.7109375" style="124" customWidth="1"/>
    <col min="148" max="152" width="3.7109375" style="124" customWidth="1"/>
    <col min="153" max="153" width="6.7109375" style="124" customWidth="1"/>
    <col min="154" max="154" width="3.7109375" style="38" customWidth="1"/>
    <col min="155" max="155" width="3.7109375" style="124" customWidth="1"/>
    <col min="156" max="156" width="6.7109375" style="124" customWidth="1"/>
    <col min="157" max="157" width="6.7109375" style="38" customWidth="1"/>
    <col min="158" max="158" width="3.7109375" style="38" customWidth="1"/>
    <col min="159" max="159" width="9.7109375" style="124" customWidth="1"/>
    <col min="160" max="160" width="6.7109375" style="124" customWidth="1"/>
    <col min="161" max="161" width="6.7109375" style="38" customWidth="1"/>
    <col min="162" max="163" width="3.7109375" style="124" customWidth="1"/>
    <col min="164" max="164" width="6.7109375" style="124" customWidth="1"/>
    <col min="165" max="165" width="6.7109375" style="38" customWidth="1"/>
    <col min="166" max="168" width="3.7109375" style="124" customWidth="1"/>
    <col min="169" max="170" width="3.7109375" style="38" customWidth="1"/>
    <col min="171" max="171" width="6.7109375" style="124" customWidth="1"/>
    <col min="172" max="172" width="3.7109375" style="124" customWidth="1"/>
    <col min="173" max="174" width="3.7109375" style="38" customWidth="1"/>
    <col min="175" max="176" width="6.7109375" style="38" customWidth="1"/>
    <col min="177" max="177" width="9.7109375" style="38" customWidth="1"/>
    <col min="178" max="178" width="6.7109375" style="38" customWidth="1"/>
    <col min="179" max="179" width="3.7109375" style="38" customWidth="1"/>
    <col min="180" max="181" width="3.7109375" style="124" customWidth="1"/>
    <col min="182" max="192" width="3.7109375" style="38" customWidth="1"/>
    <col min="193" max="193" width="3.7109375" style="124" customWidth="1"/>
    <col min="194" max="196" width="3.7109375" style="38" customWidth="1"/>
    <col min="197" max="200" width="3.7109375" style="124" customWidth="1"/>
    <col min="201" max="210" width="3.7109375" style="38" customWidth="1"/>
    <col min="211" max="212" width="6.7109375" style="124" customWidth="1"/>
    <col min="213" max="213" width="3.7109375" style="124" customWidth="1"/>
    <col min="214" max="215" width="6.7109375" style="124" customWidth="1"/>
    <col min="216" max="217" width="3.7109375" style="124" customWidth="1"/>
    <col min="218" max="220" width="3.7109375" style="38" customWidth="1"/>
    <col min="221" max="221" width="6.7109375" style="38" customWidth="1"/>
    <col min="222" max="223" width="3.7109375" style="38" customWidth="1"/>
    <col min="224" max="225" width="6.7109375" style="38" customWidth="1"/>
    <col min="226" max="226" width="3.7109375" style="38" customWidth="1"/>
    <col min="227" max="227" width="6.7109375" style="38" customWidth="1"/>
    <col min="228" max="228" width="3.7109375" style="38" customWidth="1"/>
    <col min="229" max="229" width="6.7109375" style="38" customWidth="1"/>
    <col min="230" max="231" width="3.7109375" style="38" customWidth="1"/>
    <col min="232" max="233" width="6.7109375" style="38" customWidth="1"/>
    <col min="234" max="234" width="3.7109375" style="38" customWidth="1"/>
    <col min="235" max="235" width="6.7109375" style="38" customWidth="1"/>
    <col min="236" max="238" width="3.7109375" style="38" customWidth="1"/>
    <col min="239" max="239" width="6.7109375" style="38" customWidth="1"/>
    <col min="240" max="242" width="3.7109375" style="38" customWidth="1"/>
    <col min="243" max="243" width="9.7109375" style="38" customWidth="1"/>
    <col min="244" max="244" width="3.7109375" style="38" customWidth="1"/>
    <col min="245" max="245" width="6.7109375" style="124" customWidth="1"/>
    <col min="246" max="246" width="3.7109375" style="38" customWidth="1"/>
    <col min="247" max="248" width="3.7109375" style="124" customWidth="1"/>
    <col min="249" max="249" width="9.7109375" style="38" customWidth="1"/>
    <col min="250" max="251" width="3.7109375" style="38" customWidth="1"/>
    <col min="252" max="252" width="3.7109375" style="124" customWidth="1"/>
    <col min="253" max="253" width="6.7109375" style="38" customWidth="1"/>
    <col min="254" max="254" width="6.7109375" style="124" customWidth="1"/>
    <col min="255" max="255" width="3.7109375" style="38" customWidth="1"/>
    <col min="256" max="258" width="6.7109375" style="38" customWidth="1"/>
    <col min="259" max="261" width="3.7109375" style="38" customWidth="1"/>
    <col min="262" max="262" width="6.7109375" style="38" customWidth="1"/>
    <col min="263" max="265" width="3.7109375" style="38" customWidth="1"/>
    <col min="266" max="270" width="6.7109375" style="38" customWidth="1"/>
    <col min="271" max="271" width="3.7109375" style="38" customWidth="1"/>
    <col min="272" max="272" width="6.7109375" style="38" customWidth="1"/>
    <col min="273" max="274" width="3.7109375" style="38" customWidth="1"/>
    <col min="275" max="275" width="6.7109375" style="38" customWidth="1"/>
    <col min="276" max="276" width="3.7109375" style="38" customWidth="1"/>
    <col min="277" max="277" width="6.7109375" style="38" customWidth="1"/>
    <col min="278" max="278" width="3.7109375" style="38" customWidth="1"/>
    <col min="279" max="279" width="3.7109375" style="124" customWidth="1"/>
    <col min="280" max="280" width="6.7109375" style="124" customWidth="1"/>
    <col min="281" max="281" width="3.7109375" style="124" customWidth="1"/>
    <col min="282" max="283" width="3.7109375" style="38" customWidth="1"/>
    <col min="284" max="285" width="3.7109375" style="124" customWidth="1"/>
    <col min="286" max="286" width="6.7109375" style="124" customWidth="1"/>
    <col min="287" max="290" width="3.7109375" style="124" customWidth="1"/>
    <col min="291" max="291" width="9.7109375" style="124" customWidth="1"/>
    <col min="292" max="292" width="6.7109375" style="124" customWidth="1"/>
    <col min="293" max="295" width="3.7109375" style="124" customWidth="1"/>
    <col min="296" max="297" width="6.7109375" style="124" customWidth="1"/>
    <col min="298" max="298" width="3.7109375" style="124" customWidth="1"/>
    <col min="299" max="301" width="6.7109375" style="124" customWidth="1"/>
    <col min="302" max="303" width="3.7109375" style="124" customWidth="1"/>
    <col min="304" max="305" width="6.7109375" style="124" customWidth="1"/>
    <col min="306" max="306" width="3.7109375" style="124" customWidth="1"/>
    <col min="307" max="307" width="6.7109375" style="124" customWidth="1"/>
    <col min="308" max="309" width="3.7109375" style="124" customWidth="1"/>
    <col min="310" max="310" width="6.7109375" style="124" customWidth="1"/>
    <col min="311" max="311" width="3.7109375" style="124" customWidth="1"/>
    <col min="312" max="313" width="6.7109375" style="124" customWidth="1"/>
    <col min="314" max="314" width="6.7109375" style="38" customWidth="1"/>
    <col min="315" max="315" width="3.7109375" style="38" customWidth="1"/>
    <col min="316" max="326" width="6.7109375" style="38" customWidth="1"/>
    <col min="327" max="329" width="3.7109375" style="38" customWidth="1"/>
    <col min="330" max="335" width="6.7109375" style="38" customWidth="1"/>
    <col min="336" max="336" width="3.7109375" style="38" customWidth="1"/>
    <col min="337" max="338" width="6.7109375" style="38" customWidth="1"/>
    <col min="339" max="342" width="9.7109375" style="38" customWidth="1"/>
    <col min="343" max="346" width="3.7109375" style="38" customWidth="1"/>
    <col min="347" max="352" width="11.42578125" style="38"/>
    <col min="353" max="363" width="11.42578125" style="81"/>
    <col min="364" max="16384" width="11.42578125" style="38"/>
  </cols>
  <sheetData>
    <row r="1" spans="1:404" ht="15" customHeight="1" x14ac:dyDescent="0.25">
      <c r="A1" s="1" t="s">
        <v>13</v>
      </c>
      <c r="B1" s="2"/>
      <c r="C1" s="2"/>
      <c r="D1" s="2"/>
      <c r="E1" s="2"/>
      <c r="F1" s="2"/>
      <c r="G1" s="2"/>
      <c r="H1" s="2"/>
      <c r="I1" s="2"/>
      <c r="J1" s="2"/>
      <c r="K1" s="3" t="s">
        <v>99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4"/>
      <c r="AG1" s="4"/>
      <c r="AH1" s="6"/>
      <c r="AI1" s="3" t="s">
        <v>302</v>
      </c>
      <c r="AJ1" s="4"/>
      <c r="AK1" s="4"/>
      <c r="AL1" s="4"/>
      <c r="AM1" s="4"/>
      <c r="AN1" s="5"/>
      <c r="AO1" s="5"/>
      <c r="AP1" s="5"/>
      <c r="AQ1" s="5"/>
      <c r="AR1" s="5"/>
      <c r="AS1" s="5"/>
      <c r="AT1" s="7"/>
      <c r="AU1" s="8" t="s">
        <v>333</v>
      </c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10" t="s">
        <v>243</v>
      </c>
      <c r="CF1" s="11"/>
      <c r="CG1" s="11"/>
      <c r="CH1" s="11"/>
      <c r="CI1" s="11"/>
      <c r="CJ1" s="11"/>
      <c r="CK1" s="11"/>
      <c r="CL1" s="11"/>
      <c r="CM1" s="11"/>
      <c r="CN1" s="11"/>
      <c r="CO1" s="12"/>
      <c r="CP1" s="12"/>
      <c r="CQ1" s="12"/>
      <c r="CR1" s="12"/>
      <c r="CS1" s="12"/>
      <c r="CT1" s="12"/>
      <c r="CU1" s="12"/>
      <c r="CV1" s="12"/>
      <c r="CW1" s="12"/>
      <c r="CX1" s="13"/>
      <c r="CY1" s="14" t="s">
        <v>455</v>
      </c>
      <c r="CZ1" s="14"/>
      <c r="DA1" s="14"/>
      <c r="DB1" s="14"/>
      <c r="DC1" s="14"/>
      <c r="DD1" s="14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4"/>
      <c r="DP1" s="14"/>
      <c r="DQ1" s="14"/>
      <c r="DR1" s="14"/>
      <c r="DS1" s="14"/>
      <c r="DT1" s="14"/>
      <c r="DU1" s="16"/>
      <c r="DV1" s="17" t="s">
        <v>506</v>
      </c>
      <c r="DW1" s="17"/>
      <c r="DX1" s="18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20" t="s">
        <v>94</v>
      </c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2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3"/>
      <c r="IJ1" s="24" t="s">
        <v>276</v>
      </c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5"/>
      <c r="JT1" s="25"/>
      <c r="JU1" s="25"/>
      <c r="JV1" s="25"/>
      <c r="JW1" s="25"/>
      <c r="JX1" s="27" t="s">
        <v>283</v>
      </c>
      <c r="JY1" s="28"/>
      <c r="JZ1" s="28"/>
      <c r="KA1" s="29"/>
      <c r="KB1" s="30"/>
      <c r="KC1" s="30"/>
      <c r="KD1" s="30"/>
      <c r="KE1" s="30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2" t="s">
        <v>300</v>
      </c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4"/>
      <c r="MB1" s="35"/>
      <c r="MC1" s="35"/>
      <c r="MD1" s="34"/>
      <c r="ME1" s="34"/>
      <c r="MF1" s="34"/>
      <c r="MG1" s="34"/>
      <c r="MH1" s="36"/>
      <c r="MI1" s="125"/>
      <c r="MJ1" s="125"/>
      <c r="MK1" s="125"/>
      <c r="ML1" s="125"/>
      <c r="MM1" s="125"/>
      <c r="MN1" s="125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125"/>
      <c r="NA1" s="125"/>
      <c r="NB1" s="125"/>
      <c r="NC1" s="125"/>
      <c r="ND1" s="125"/>
      <c r="NE1" s="125"/>
      <c r="NF1" s="125"/>
      <c r="NG1" s="125"/>
      <c r="NH1" s="125"/>
      <c r="NI1" s="125"/>
      <c r="NJ1" s="125"/>
      <c r="NK1" s="125"/>
      <c r="NL1" s="125"/>
      <c r="NM1" s="125"/>
      <c r="NN1" s="125"/>
      <c r="NO1" s="125"/>
      <c r="NP1" s="125"/>
      <c r="NQ1" s="125"/>
      <c r="NR1" s="125"/>
      <c r="NS1" s="125"/>
      <c r="NT1" s="125"/>
      <c r="NU1" s="125"/>
      <c r="NV1" s="125"/>
      <c r="NW1" s="125"/>
      <c r="NX1" s="125"/>
      <c r="NY1" s="125"/>
      <c r="NZ1" s="125"/>
      <c r="OA1" s="125"/>
      <c r="OB1" s="125"/>
      <c r="OC1" s="125"/>
      <c r="OD1" s="125"/>
      <c r="OE1" s="125"/>
      <c r="OF1" s="125"/>
      <c r="OG1" s="125"/>
      <c r="OH1" s="125"/>
      <c r="OI1" s="125"/>
      <c r="OJ1" s="125"/>
      <c r="OK1" s="125"/>
      <c r="OL1" s="125"/>
      <c r="OM1" s="125"/>
      <c r="ON1" s="125"/>
    </row>
    <row r="2" spans="1:404" x14ac:dyDescent="0.25">
      <c r="A2" s="39"/>
      <c r="B2" s="40" t="s">
        <v>23</v>
      </c>
      <c r="C2" s="41"/>
      <c r="D2" s="41"/>
      <c r="E2" s="41"/>
      <c r="F2" s="41"/>
      <c r="G2" s="41"/>
      <c r="H2" s="41"/>
      <c r="I2" s="41"/>
      <c r="J2" s="42"/>
      <c r="K2" s="3" t="s">
        <v>304</v>
      </c>
      <c r="L2" s="6"/>
      <c r="M2" s="43" t="s">
        <v>239</v>
      </c>
      <c r="N2" s="44"/>
      <c r="O2" s="44"/>
      <c r="P2" s="45"/>
      <c r="Q2" s="3" t="s">
        <v>305</v>
      </c>
      <c r="R2" s="4"/>
      <c r="S2" s="4"/>
      <c r="T2" s="4"/>
      <c r="U2" s="4"/>
      <c r="V2" s="4"/>
      <c r="W2" s="43" t="s">
        <v>267</v>
      </c>
      <c r="X2" s="44"/>
      <c r="Y2" s="44"/>
      <c r="Z2" s="44"/>
      <c r="AA2" s="44"/>
      <c r="AB2" s="44"/>
      <c r="AC2" s="44"/>
      <c r="AD2" s="44"/>
      <c r="AE2" s="45"/>
      <c r="AF2" s="4" t="s">
        <v>241</v>
      </c>
      <c r="AG2" s="4"/>
      <c r="AH2" s="6"/>
      <c r="AI2" s="43" t="s">
        <v>238</v>
      </c>
      <c r="AJ2" s="44"/>
      <c r="AK2" s="44"/>
      <c r="AL2" s="44"/>
      <c r="AM2" s="44"/>
      <c r="AN2" s="3" t="s">
        <v>524</v>
      </c>
      <c r="AO2" s="4"/>
      <c r="AP2" s="4"/>
      <c r="AQ2" s="4"/>
      <c r="AR2" s="4"/>
      <c r="AS2" s="4"/>
      <c r="AT2" s="6"/>
      <c r="AU2" s="8" t="s">
        <v>258</v>
      </c>
      <c r="AV2" s="9"/>
      <c r="AW2" s="9"/>
      <c r="AX2" s="9"/>
      <c r="AY2" s="9"/>
      <c r="AZ2" s="9"/>
      <c r="BA2" s="9"/>
      <c r="BB2" s="9"/>
      <c r="BC2" s="9"/>
      <c r="BD2" s="9"/>
      <c r="BE2" s="46"/>
      <c r="BF2" s="47" t="s">
        <v>278</v>
      </c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9"/>
      <c r="BU2" s="8" t="s">
        <v>551</v>
      </c>
      <c r="BV2" s="9"/>
      <c r="BW2" s="9"/>
      <c r="BX2" s="9"/>
      <c r="BY2" s="9"/>
      <c r="BZ2" s="9"/>
      <c r="CA2" s="9"/>
      <c r="CB2" s="46"/>
      <c r="CC2" s="48" t="s">
        <v>552</v>
      </c>
      <c r="CD2" s="49"/>
      <c r="CE2" s="10" t="s">
        <v>13</v>
      </c>
      <c r="CF2" s="50" t="s">
        <v>332</v>
      </c>
      <c r="CG2" s="51"/>
      <c r="CH2" s="51"/>
      <c r="CI2" s="51"/>
      <c r="CJ2" s="51"/>
      <c r="CK2" s="51"/>
      <c r="CL2" s="51"/>
      <c r="CM2" s="51"/>
      <c r="CN2" s="52"/>
      <c r="CO2" s="12" t="s">
        <v>374</v>
      </c>
      <c r="CP2" s="12"/>
      <c r="CQ2" s="12"/>
      <c r="CR2" s="12"/>
      <c r="CS2" s="12"/>
      <c r="CT2" s="12"/>
      <c r="CU2" s="12"/>
      <c r="CV2" s="12"/>
      <c r="CW2" s="12"/>
      <c r="CX2" s="13"/>
      <c r="CY2" s="53" t="s">
        <v>497</v>
      </c>
      <c r="CZ2" s="14"/>
      <c r="DA2" s="16"/>
      <c r="DB2" s="54" t="s">
        <v>498</v>
      </c>
      <c r="DC2" s="54"/>
      <c r="DD2" s="54"/>
      <c r="DE2" s="53" t="s">
        <v>13</v>
      </c>
      <c r="DF2" s="14"/>
      <c r="DG2" s="14"/>
      <c r="DH2" s="14"/>
      <c r="DI2" s="14"/>
      <c r="DJ2" s="14"/>
      <c r="DK2" s="14"/>
      <c r="DL2" s="14"/>
      <c r="DM2" s="14"/>
      <c r="DN2" s="16"/>
      <c r="DO2" s="54" t="s">
        <v>242</v>
      </c>
      <c r="DP2" s="54"/>
      <c r="DQ2" s="54"/>
      <c r="DR2" s="54"/>
      <c r="DS2" s="54"/>
      <c r="DT2" s="54"/>
      <c r="DU2" s="54"/>
      <c r="DV2" s="18" t="s">
        <v>508</v>
      </c>
      <c r="DW2" s="55"/>
      <c r="DX2" s="56" t="s">
        <v>511</v>
      </c>
      <c r="DY2" s="57"/>
      <c r="DZ2" s="57"/>
      <c r="EA2" s="58"/>
      <c r="EB2" s="59" t="s">
        <v>510</v>
      </c>
      <c r="EC2" s="59"/>
      <c r="ED2" s="59"/>
      <c r="EE2" s="59"/>
      <c r="EF2" s="59"/>
      <c r="EG2" s="59"/>
      <c r="EH2" s="59"/>
      <c r="EI2" s="59"/>
      <c r="EJ2" s="19"/>
      <c r="EK2" s="20" t="s">
        <v>281</v>
      </c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3"/>
      <c r="FA2" s="60" t="s">
        <v>245</v>
      </c>
      <c r="FB2" s="60"/>
      <c r="FC2" s="60"/>
      <c r="FD2" s="60"/>
      <c r="FE2" s="60"/>
      <c r="FF2" s="60"/>
      <c r="FG2" s="60"/>
      <c r="FH2" s="60"/>
      <c r="FI2" s="61"/>
      <c r="FJ2" s="20" t="s">
        <v>244</v>
      </c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62" t="s">
        <v>280</v>
      </c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1"/>
      <c r="HB2" s="20" t="s">
        <v>123</v>
      </c>
      <c r="HC2" s="21"/>
      <c r="HD2" s="21"/>
      <c r="HE2" s="21"/>
      <c r="HF2" s="23"/>
      <c r="HG2" s="62" t="s">
        <v>446</v>
      </c>
      <c r="HH2" s="60"/>
      <c r="HI2" s="60"/>
      <c r="HJ2" s="20" t="s">
        <v>324</v>
      </c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62" t="s">
        <v>326</v>
      </c>
      <c r="HX2" s="60"/>
      <c r="HY2" s="60"/>
      <c r="HZ2" s="60"/>
      <c r="IA2" s="60"/>
      <c r="IB2" s="60"/>
      <c r="IC2" s="60"/>
      <c r="ID2" s="20" t="s">
        <v>345</v>
      </c>
      <c r="IE2" s="21"/>
      <c r="IF2" s="21"/>
      <c r="IG2" s="21"/>
      <c r="IH2" s="21"/>
      <c r="II2" s="23"/>
      <c r="IJ2" s="63" t="s">
        <v>530</v>
      </c>
      <c r="IK2" s="63"/>
      <c r="IL2" s="63"/>
      <c r="IM2" s="63"/>
      <c r="IN2" s="63"/>
      <c r="IO2" s="63"/>
      <c r="IP2" s="64"/>
      <c r="IQ2" s="65" t="s">
        <v>334</v>
      </c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24" t="s">
        <v>335</v>
      </c>
      <c r="JJ2" s="25"/>
      <c r="JK2" s="25"/>
      <c r="JL2" s="25"/>
      <c r="JM2" s="25"/>
      <c r="JN2" s="25"/>
      <c r="JO2" s="25"/>
      <c r="JP2" s="25"/>
      <c r="JQ2" s="25"/>
      <c r="JR2" s="67"/>
      <c r="JS2" s="68" t="s">
        <v>423</v>
      </c>
      <c r="JT2" s="68"/>
      <c r="JU2" s="68"/>
      <c r="JV2" s="69"/>
      <c r="JW2" s="69"/>
      <c r="JX2" s="70" t="s">
        <v>304</v>
      </c>
      <c r="JY2" s="29"/>
      <c r="JZ2" s="71"/>
      <c r="KA2" s="72" t="s">
        <v>336</v>
      </c>
      <c r="KB2" s="72"/>
      <c r="KC2" s="72"/>
      <c r="KD2" s="72"/>
      <c r="KE2" s="73"/>
      <c r="KF2" s="70" t="s">
        <v>337</v>
      </c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74" t="s">
        <v>462</v>
      </c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75" t="s">
        <v>463</v>
      </c>
      <c r="LQ2" s="76"/>
      <c r="LR2" s="76"/>
      <c r="LS2" s="77"/>
      <c r="LT2" s="78" t="s">
        <v>563</v>
      </c>
      <c r="LU2" s="78"/>
      <c r="LV2" s="78"/>
      <c r="LW2" s="75" t="s">
        <v>549</v>
      </c>
      <c r="LX2" s="21"/>
      <c r="LY2" s="21"/>
      <c r="LZ2" s="23"/>
      <c r="MA2" s="74" t="s">
        <v>461</v>
      </c>
      <c r="MB2" s="78"/>
      <c r="MC2" s="78"/>
      <c r="MD2" s="78"/>
      <c r="ME2" s="78"/>
      <c r="MF2" s="78"/>
      <c r="MG2" s="78"/>
      <c r="MH2" s="79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125"/>
      <c r="NA2" s="125"/>
      <c r="NB2" s="125"/>
      <c r="NC2" s="125"/>
      <c r="ND2" s="125"/>
      <c r="NE2" s="125"/>
      <c r="NF2" s="125"/>
      <c r="NG2" s="125"/>
      <c r="NH2" s="125"/>
      <c r="NI2" s="125"/>
      <c r="NJ2" s="125"/>
      <c r="NK2" s="125"/>
      <c r="NL2" s="125"/>
      <c r="NM2" s="125"/>
      <c r="NN2" s="125"/>
      <c r="NO2" s="125"/>
      <c r="NP2" s="125"/>
      <c r="NQ2" s="125"/>
      <c r="NR2" s="125"/>
      <c r="NS2" s="125"/>
      <c r="NT2" s="125"/>
      <c r="NU2" s="125"/>
      <c r="NV2" s="125"/>
      <c r="NW2" s="125"/>
      <c r="NX2" s="125"/>
      <c r="NY2" s="125"/>
      <c r="NZ2" s="125"/>
      <c r="OA2" s="125"/>
      <c r="OB2" s="125"/>
      <c r="OC2" s="125"/>
      <c r="OD2" s="125"/>
      <c r="OE2" s="125"/>
      <c r="OF2" s="125"/>
      <c r="OG2" s="125"/>
      <c r="OH2" s="125"/>
      <c r="OI2" s="125"/>
      <c r="OJ2" s="125"/>
      <c r="OK2" s="125"/>
      <c r="OL2" s="125"/>
      <c r="OM2" s="125"/>
      <c r="ON2" s="125"/>
    </row>
    <row r="3" spans="1:404" ht="15" customHeight="1" x14ac:dyDescent="0.25">
      <c r="A3" s="80"/>
      <c r="B3" s="41"/>
      <c r="C3" s="41"/>
      <c r="D3" s="41"/>
      <c r="E3" s="41"/>
      <c r="F3" s="41"/>
      <c r="G3" s="41"/>
      <c r="H3" s="41"/>
      <c r="I3" s="41"/>
      <c r="J3" s="42"/>
      <c r="K3" s="151" t="s">
        <v>166</v>
      </c>
      <c r="L3" s="150" t="s">
        <v>15</v>
      </c>
      <c r="M3" s="166" t="s">
        <v>213</v>
      </c>
      <c r="N3" s="166" t="s">
        <v>215</v>
      </c>
      <c r="O3" s="166" t="s">
        <v>500</v>
      </c>
      <c r="P3" s="166" t="s">
        <v>214</v>
      </c>
      <c r="Q3" s="150" t="s">
        <v>233</v>
      </c>
      <c r="R3" s="150" t="s">
        <v>260</v>
      </c>
      <c r="S3" s="150" t="s">
        <v>234</v>
      </c>
      <c r="T3" s="150" t="s">
        <v>250</v>
      </c>
      <c r="U3" s="150" t="s">
        <v>442</v>
      </c>
      <c r="V3" s="150" t="s">
        <v>274</v>
      </c>
      <c r="W3" s="166" t="s">
        <v>232</v>
      </c>
      <c r="X3" s="166" t="s">
        <v>240</v>
      </c>
      <c r="Y3" s="166" t="s">
        <v>259</v>
      </c>
      <c r="Z3" s="166" t="s">
        <v>262</v>
      </c>
      <c r="AA3" s="166" t="s">
        <v>263</v>
      </c>
      <c r="AB3" s="166" t="s">
        <v>261</v>
      </c>
      <c r="AC3" s="166" t="s">
        <v>268</v>
      </c>
      <c r="AD3" s="166" t="s">
        <v>269</v>
      </c>
      <c r="AE3" s="166" t="s">
        <v>520</v>
      </c>
      <c r="AF3" s="150" t="s">
        <v>29</v>
      </c>
      <c r="AG3" s="150" t="s">
        <v>161</v>
      </c>
      <c r="AH3" s="150" t="s">
        <v>163</v>
      </c>
      <c r="AI3" s="166" t="s">
        <v>303</v>
      </c>
      <c r="AJ3" s="166" t="s">
        <v>188</v>
      </c>
      <c r="AK3" s="166" t="s">
        <v>189</v>
      </c>
      <c r="AL3" s="166" t="s">
        <v>299</v>
      </c>
      <c r="AM3" s="166" t="s">
        <v>503</v>
      </c>
      <c r="AN3" s="150" t="s">
        <v>450</v>
      </c>
      <c r="AO3" s="150" t="s">
        <v>451</v>
      </c>
      <c r="AP3" s="150" t="s">
        <v>525</v>
      </c>
      <c r="AQ3" s="150" t="s">
        <v>449</v>
      </c>
      <c r="AR3" s="150" t="s">
        <v>277</v>
      </c>
      <c r="AS3" s="150" t="s">
        <v>330</v>
      </c>
      <c r="AT3" s="150" t="s">
        <v>331</v>
      </c>
      <c r="AU3" s="180" t="s">
        <v>257</v>
      </c>
      <c r="AV3" s="180" t="s">
        <v>176</v>
      </c>
      <c r="AW3" s="180" t="s">
        <v>177</v>
      </c>
      <c r="AX3" s="153" t="s">
        <v>95</v>
      </c>
      <c r="AY3" s="153" t="s">
        <v>110</v>
      </c>
      <c r="AZ3" s="153" t="s">
        <v>147</v>
      </c>
      <c r="BA3" s="153" t="s">
        <v>273</v>
      </c>
      <c r="BB3" s="153" t="s">
        <v>264</v>
      </c>
      <c r="BC3" s="153" t="s">
        <v>113</v>
      </c>
      <c r="BD3" s="153" t="s">
        <v>125</v>
      </c>
      <c r="BE3" s="153" t="s">
        <v>126</v>
      </c>
      <c r="BF3" s="152" t="s">
        <v>115</v>
      </c>
      <c r="BG3" s="152" t="s">
        <v>92</v>
      </c>
      <c r="BH3" s="152" t="s">
        <v>512</v>
      </c>
      <c r="BI3" s="152" t="s">
        <v>42</v>
      </c>
      <c r="BJ3" s="152" t="s">
        <v>180</v>
      </c>
      <c r="BK3" s="152" t="s">
        <v>118</v>
      </c>
      <c r="BL3" s="152" t="s">
        <v>121</v>
      </c>
      <c r="BM3" s="152" t="s">
        <v>119</v>
      </c>
      <c r="BN3" s="152" t="s">
        <v>170</v>
      </c>
      <c r="BO3" s="152" t="s">
        <v>127</v>
      </c>
      <c r="BP3" s="152" t="s">
        <v>171</v>
      </c>
      <c r="BQ3" s="152" t="s">
        <v>172</v>
      </c>
      <c r="BR3" s="152" t="s">
        <v>368</v>
      </c>
      <c r="BS3" s="152" t="s">
        <v>369</v>
      </c>
      <c r="BT3" s="152" t="s">
        <v>120</v>
      </c>
      <c r="BU3" s="153" t="s">
        <v>272</v>
      </c>
      <c r="BV3" s="153" t="s">
        <v>301</v>
      </c>
      <c r="BW3" s="153" t="s">
        <v>309</v>
      </c>
      <c r="BX3" s="153" t="s">
        <v>367</v>
      </c>
      <c r="BY3" s="153" t="s">
        <v>557</v>
      </c>
      <c r="BZ3" s="153" t="s">
        <v>322</v>
      </c>
      <c r="CA3" s="153" t="s">
        <v>323</v>
      </c>
      <c r="CB3" s="153" t="s">
        <v>366</v>
      </c>
      <c r="CC3" s="152" t="s">
        <v>553</v>
      </c>
      <c r="CD3" s="152" t="s">
        <v>554</v>
      </c>
      <c r="CE3" s="178" t="s">
        <v>181</v>
      </c>
      <c r="CF3" s="176" t="s">
        <v>186</v>
      </c>
      <c r="CG3" s="176" t="s">
        <v>467</v>
      </c>
      <c r="CH3" s="176" t="s">
        <v>199</v>
      </c>
      <c r="CI3" s="176" t="s">
        <v>201</v>
      </c>
      <c r="CJ3" s="176" t="s">
        <v>255</v>
      </c>
      <c r="CK3" s="176" t="s">
        <v>256</v>
      </c>
      <c r="CL3" s="176" t="s">
        <v>375</v>
      </c>
      <c r="CM3" s="176" t="s">
        <v>373</v>
      </c>
      <c r="CN3" s="176" t="s">
        <v>468</v>
      </c>
      <c r="CO3" s="178" t="s">
        <v>422</v>
      </c>
      <c r="CP3" s="178" t="s">
        <v>514</v>
      </c>
      <c r="CQ3" s="178" t="s">
        <v>515</v>
      </c>
      <c r="CR3" s="178" t="s">
        <v>517</v>
      </c>
      <c r="CS3" s="178" t="s">
        <v>516</v>
      </c>
      <c r="CT3" s="178" t="s">
        <v>421</v>
      </c>
      <c r="CU3" s="178" t="s">
        <v>208</v>
      </c>
      <c r="CV3" s="178" t="s">
        <v>209</v>
      </c>
      <c r="CW3" s="178" t="s">
        <v>207</v>
      </c>
      <c r="CX3" s="178" t="s">
        <v>206</v>
      </c>
      <c r="CY3" s="162" t="s">
        <v>456</v>
      </c>
      <c r="CZ3" s="162" t="s">
        <v>496</v>
      </c>
      <c r="DA3" s="162" t="s">
        <v>499</v>
      </c>
      <c r="DB3" s="181" t="s">
        <v>457</v>
      </c>
      <c r="DC3" s="181" t="s">
        <v>458</v>
      </c>
      <c r="DD3" s="181" t="s">
        <v>459</v>
      </c>
      <c r="DE3" s="162" t="s">
        <v>179</v>
      </c>
      <c r="DF3" s="162" t="s">
        <v>271</v>
      </c>
      <c r="DG3" s="162" t="s">
        <v>220</v>
      </c>
      <c r="DH3" s="162" t="s">
        <v>318</v>
      </c>
      <c r="DI3" s="162" t="s">
        <v>221</v>
      </c>
      <c r="DJ3" s="162" t="s">
        <v>559</v>
      </c>
      <c r="DK3" s="194" t="s">
        <v>513</v>
      </c>
      <c r="DL3" s="162" t="s">
        <v>556</v>
      </c>
      <c r="DM3" s="162" t="s">
        <v>555</v>
      </c>
      <c r="DN3" s="162" t="s">
        <v>504</v>
      </c>
      <c r="DO3" s="181" t="s">
        <v>116</v>
      </c>
      <c r="DP3" s="181" t="s">
        <v>114</v>
      </c>
      <c r="DQ3" s="181" t="s">
        <v>160</v>
      </c>
      <c r="DR3" s="181" t="s">
        <v>464</v>
      </c>
      <c r="DS3" s="181" t="s">
        <v>465</v>
      </c>
      <c r="DT3" s="181" t="s">
        <v>471</v>
      </c>
      <c r="DU3" s="181" t="s">
        <v>235</v>
      </c>
      <c r="DV3" s="161" t="s">
        <v>509</v>
      </c>
      <c r="DW3" s="161" t="s">
        <v>564</v>
      </c>
      <c r="DX3" s="196" t="s">
        <v>195</v>
      </c>
      <c r="DY3" s="196" t="s">
        <v>196</v>
      </c>
      <c r="DZ3" s="196" t="s">
        <v>197</v>
      </c>
      <c r="EA3" s="196" t="s">
        <v>251</v>
      </c>
      <c r="EB3" s="197" t="s">
        <v>200</v>
      </c>
      <c r="EC3" s="159" t="s">
        <v>558</v>
      </c>
      <c r="ED3" s="159" t="s">
        <v>521</v>
      </c>
      <c r="EE3" s="197" t="s">
        <v>522</v>
      </c>
      <c r="EF3" s="197" t="s">
        <v>523</v>
      </c>
      <c r="EG3" s="159" t="s">
        <v>526</v>
      </c>
      <c r="EH3" s="159" t="s">
        <v>162</v>
      </c>
      <c r="EI3" s="197" t="s">
        <v>275</v>
      </c>
      <c r="EJ3" s="197" t="s">
        <v>353</v>
      </c>
      <c r="EK3" s="168" t="s">
        <v>266</v>
      </c>
      <c r="EL3" s="198" t="s">
        <v>279</v>
      </c>
      <c r="EM3" s="168" t="s">
        <v>100</v>
      </c>
      <c r="EN3" s="168" t="s">
        <v>270</v>
      </c>
      <c r="EO3" s="201" t="s">
        <v>249</v>
      </c>
      <c r="EP3" s="201" t="s">
        <v>21</v>
      </c>
      <c r="EQ3" s="168" t="s">
        <v>178</v>
      </c>
      <c r="ER3" s="198" t="s">
        <v>184</v>
      </c>
      <c r="ES3" s="198" t="s">
        <v>431</v>
      </c>
      <c r="ET3" s="168" t="s">
        <v>168</v>
      </c>
      <c r="EU3" s="168" t="s">
        <v>428</v>
      </c>
      <c r="EV3" s="168" t="s">
        <v>437</v>
      </c>
      <c r="EW3" s="168" t="s">
        <v>174</v>
      </c>
      <c r="EX3" s="168" t="s">
        <v>104</v>
      </c>
      <c r="EY3" s="168" t="s">
        <v>173</v>
      </c>
      <c r="EZ3" s="168" t="s">
        <v>443</v>
      </c>
      <c r="FA3" s="171" t="s">
        <v>96</v>
      </c>
      <c r="FB3" s="171" t="s">
        <v>124</v>
      </c>
      <c r="FC3" s="171" t="s">
        <v>349</v>
      </c>
      <c r="FD3" s="171" t="s">
        <v>167</v>
      </c>
      <c r="FE3" s="171" t="s">
        <v>117</v>
      </c>
      <c r="FF3" s="171" t="s">
        <v>16</v>
      </c>
      <c r="FG3" s="171" t="s">
        <v>108</v>
      </c>
      <c r="FH3" s="171" t="s">
        <v>448</v>
      </c>
      <c r="FI3" s="171" t="s">
        <v>202</v>
      </c>
      <c r="FJ3" s="169" t="s">
        <v>40</v>
      </c>
      <c r="FK3" s="169" t="s">
        <v>105</v>
      </c>
      <c r="FL3" s="169" t="s">
        <v>432</v>
      </c>
      <c r="FM3" s="169" t="s">
        <v>230</v>
      </c>
      <c r="FN3" s="169" t="s">
        <v>441</v>
      </c>
      <c r="FO3" s="169" t="s">
        <v>237</v>
      </c>
      <c r="FP3" s="169" t="s">
        <v>236</v>
      </c>
      <c r="FQ3" s="169" t="s">
        <v>192</v>
      </c>
      <c r="FR3" s="169" t="s">
        <v>193</v>
      </c>
      <c r="FS3" s="169" t="s">
        <v>194</v>
      </c>
      <c r="FT3" s="169" t="s">
        <v>282</v>
      </c>
      <c r="FU3" s="169" t="s">
        <v>246</v>
      </c>
      <c r="FV3" s="169" t="s">
        <v>229</v>
      </c>
      <c r="FW3" s="170" t="s">
        <v>222</v>
      </c>
      <c r="FX3" s="170" t="s">
        <v>190</v>
      </c>
      <c r="FY3" s="170" t="s">
        <v>191</v>
      </c>
      <c r="FZ3" s="170" t="s">
        <v>223</v>
      </c>
      <c r="GA3" s="170" t="s">
        <v>224</v>
      </c>
      <c r="GB3" s="170" t="s">
        <v>225</v>
      </c>
      <c r="GC3" s="170" t="s">
        <v>98</v>
      </c>
      <c r="GD3" s="170" t="s">
        <v>226</v>
      </c>
      <c r="GE3" s="170" t="s">
        <v>430</v>
      </c>
      <c r="GF3" s="170" t="s">
        <v>228</v>
      </c>
      <c r="GG3" s="170" t="s">
        <v>231</v>
      </c>
      <c r="GH3" s="170" t="s">
        <v>101</v>
      </c>
      <c r="GI3" s="170" t="s">
        <v>102</v>
      </c>
      <c r="GJ3" s="170" t="s">
        <v>103</v>
      </c>
      <c r="GK3" s="170" t="s">
        <v>109</v>
      </c>
      <c r="GL3" s="170" t="s">
        <v>198</v>
      </c>
      <c r="GM3" s="170" t="s">
        <v>227</v>
      </c>
      <c r="GN3" s="170" t="s">
        <v>308</v>
      </c>
      <c r="GO3" s="170" t="s">
        <v>19</v>
      </c>
      <c r="GP3" s="170" t="s">
        <v>433</v>
      </c>
      <c r="GQ3" s="170" t="s">
        <v>22</v>
      </c>
      <c r="GR3" s="170" t="s">
        <v>20</v>
      </c>
      <c r="GS3" s="170" t="s">
        <v>265</v>
      </c>
      <c r="GT3" s="170" t="s">
        <v>338</v>
      </c>
      <c r="GU3" s="170" t="s">
        <v>339</v>
      </c>
      <c r="GV3" s="170" t="s">
        <v>340</v>
      </c>
      <c r="GW3" s="170" t="s">
        <v>341</v>
      </c>
      <c r="GX3" s="170" t="s">
        <v>342</v>
      </c>
      <c r="GY3" s="170" t="s">
        <v>343</v>
      </c>
      <c r="GZ3" s="170" t="s">
        <v>344</v>
      </c>
      <c r="HA3" s="170" t="s">
        <v>436</v>
      </c>
      <c r="HB3" s="169" t="s">
        <v>151</v>
      </c>
      <c r="HC3" s="169" t="s">
        <v>148</v>
      </c>
      <c r="HD3" s="169" t="s">
        <v>149</v>
      </c>
      <c r="HE3" s="169" t="s">
        <v>150</v>
      </c>
      <c r="HF3" s="169" t="s">
        <v>158</v>
      </c>
      <c r="HG3" s="171" t="s">
        <v>447</v>
      </c>
      <c r="HH3" s="171" t="s">
        <v>452</v>
      </c>
      <c r="HI3" s="171" t="s">
        <v>453</v>
      </c>
      <c r="HJ3" s="198" t="s">
        <v>310</v>
      </c>
      <c r="HK3" s="168" t="s">
        <v>97</v>
      </c>
      <c r="HL3" s="168" t="s">
        <v>311</v>
      </c>
      <c r="HM3" s="168" t="s">
        <v>312</v>
      </c>
      <c r="HN3" s="168" t="s">
        <v>313</v>
      </c>
      <c r="HO3" s="168" t="s">
        <v>314</v>
      </c>
      <c r="HP3" s="168" t="s">
        <v>315</v>
      </c>
      <c r="HQ3" s="168" t="s">
        <v>316</v>
      </c>
      <c r="HR3" s="168" t="s">
        <v>319</v>
      </c>
      <c r="HS3" s="168" t="s">
        <v>317</v>
      </c>
      <c r="HT3" s="168" t="s">
        <v>320</v>
      </c>
      <c r="HU3" s="168" t="s">
        <v>321</v>
      </c>
      <c r="HV3" s="168" t="s">
        <v>325</v>
      </c>
      <c r="HW3" s="171" t="s">
        <v>454</v>
      </c>
      <c r="HX3" s="171" t="s">
        <v>328</v>
      </c>
      <c r="HY3" s="171" t="s">
        <v>327</v>
      </c>
      <c r="HZ3" s="171" t="s">
        <v>329</v>
      </c>
      <c r="IA3" s="171" t="s">
        <v>378</v>
      </c>
      <c r="IB3" s="171" t="s">
        <v>417</v>
      </c>
      <c r="IC3" s="171" t="s">
        <v>418</v>
      </c>
      <c r="ID3" s="169" t="s">
        <v>346</v>
      </c>
      <c r="IE3" s="169" t="s">
        <v>347</v>
      </c>
      <c r="IF3" s="169" t="s">
        <v>348</v>
      </c>
      <c r="IG3" s="169" t="s">
        <v>107</v>
      </c>
      <c r="IH3" s="169" t="s">
        <v>377</v>
      </c>
      <c r="II3" s="169" t="s">
        <v>376</v>
      </c>
      <c r="IJ3" s="190" t="s">
        <v>252</v>
      </c>
      <c r="IK3" s="190" t="s">
        <v>37</v>
      </c>
      <c r="IL3" s="190" t="s">
        <v>165</v>
      </c>
      <c r="IM3" s="190" t="s">
        <v>112</v>
      </c>
      <c r="IN3" s="190" t="s">
        <v>531</v>
      </c>
      <c r="IO3" s="190" t="s">
        <v>560</v>
      </c>
      <c r="IP3" s="190" t="s">
        <v>254</v>
      </c>
      <c r="IQ3" s="183" t="s">
        <v>204</v>
      </c>
      <c r="IR3" s="183" t="s">
        <v>111</v>
      </c>
      <c r="IS3" s="183" t="s">
        <v>164</v>
      </c>
      <c r="IT3" s="183" t="s">
        <v>358</v>
      </c>
      <c r="IU3" s="183" t="s">
        <v>203</v>
      </c>
      <c r="IV3" s="183" t="s">
        <v>360</v>
      </c>
      <c r="IW3" s="183" t="s">
        <v>528</v>
      </c>
      <c r="IX3" s="183" t="s">
        <v>218</v>
      </c>
      <c r="IY3" s="183" t="s">
        <v>159</v>
      </c>
      <c r="IZ3" s="183" t="s">
        <v>356</v>
      </c>
      <c r="JA3" s="183" t="s">
        <v>354</v>
      </c>
      <c r="JB3" s="183" t="s">
        <v>502</v>
      </c>
      <c r="JC3" s="183" t="s">
        <v>355</v>
      </c>
      <c r="JD3" s="183" t="s">
        <v>219</v>
      </c>
      <c r="JE3" s="183" t="s">
        <v>365</v>
      </c>
      <c r="JF3" s="183" t="s">
        <v>217</v>
      </c>
      <c r="JG3" s="183" t="s">
        <v>518</v>
      </c>
      <c r="JH3" s="183" t="s">
        <v>122</v>
      </c>
      <c r="JI3" s="192" t="s">
        <v>470</v>
      </c>
      <c r="JJ3" s="192" t="s">
        <v>247</v>
      </c>
      <c r="JK3" s="190" t="s">
        <v>519</v>
      </c>
      <c r="JL3" s="190" t="s">
        <v>527</v>
      </c>
      <c r="JM3" s="190" t="s">
        <v>361</v>
      </c>
      <c r="JN3" s="192" t="s">
        <v>362</v>
      </c>
      <c r="JO3" s="192" t="s">
        <v>363</v>
      </c>
      <c r="JP3" s="192" t="s">
        <v>364</v>
      </c>
      <c r="JQ3" s="192" t="s">
        <v>505</v>
      </c>
      <c r="JR3" s="192" t="s">
        <v>370</v>
      </c>
      <c r="JS3" s="183" t="s">
        <v>43</v>
      </c>
      <c r="JT3" s="183" t="s">
        <v>544</v>
      </c>
      <c r="JU3" s="183" t="s">
        <v>357</v>
      </c>
      <c r="JV3" s="183" t="s">
        <v>424</v>
      </c>
      <c r="JW3" s="183" t="s">
        <v>248</v>
      </c>
      <c r="JX3" s="164" t="s">
        <v>427</v>
      </c>
      <c r="JY3" s="164" t="s">
        <v>550</v>
      </c>
      <c r="JZ3" s="164" t="s">
        <v>429</v>
      </c>
      <c r="KA3" s="185" t="s">
        <v>14</v>
      </c>
      <c r="KB3" s="185" t="s">
        <v>36</v>
      </c>
      <c r="KC3" s="185" t="s">
        <v>445</v>
      </c>
      <c r="KD3" s="185" t="s">
        <v>529</v>
      </c>
      <c r="KE3" s="185" t="s">
        <v>185</v>
      </c>
      <c r="KF3" s="164" t="s">
        <v>307</v>
      </c>
      <c r="KG3" s="164" t="s">
        <v>293</v>
      </c>
      <c r="KH3" s="164" t="s">
        <v>284</v>
      </c>
      <c r="KI3" s="164" t="s">
        <v>425</v>
      </c>
      <c r="KJ3" s="164" t="s">
        <v>426</v>
      </c>
      <c r="KK3" s="164" t="s">
        <v>435</v>
      </c>
      <c r="KL3" s="164" t="s">
        <v>438</v>
      </c>
      <c r="KM3" s="164" t="s">
        <v>444</v>
      </c>
      <c r="KN3" s="164" t="s">
        <v>289</v>
      </c>
      <c r="KO3" s="164" t="s">
        <v>297</v>
      </c>
      <c r="KP3" s="164" t="s">
        <v>288</v>
      </c>
      <c r="KQ3" s="164" t="s">
        <v>287</v>
      </c>
      <c r="KR3" s="164" t="s">
        <v>298</v>
      </c>
      <c r="KS3" s="164" t="s">
        <v>295</v>
      </c>
      <c r="KT3" s="164" t="s">
        <v>292</v>
      </c>
      <c r="KU3" s="164" t="s">
        <v>285</v>
      </c>
      <c r="KV3" s="164" t="s">
        <v>291</v>
      </c>
      <c r="KW3" s="164" t="s">
        <v>294</v>
      </c>
      <c r="KX3" s="164" t="s">
        <v>296</v>
      </c>
      <c r="KY3" s="164" t="s">
        <v>290</v>
      </c>
      <c r="KZ3" s="164" t="s">
        <v>286</v>
      </c>
      <c r="LA3" s="164" t="s">
        <v>434</v>
      </c>
      <c r="LB3" s="154" t="s">
        <v>169</v>
      </c>
      <c r="LC3" s="154" t="s">
        <v>359</v>
      </c>
      <c r="LD3" s="154" t="s">
        <v>216</v>
      </c>
      <c r="LE3" s="154" t="s">
        <v>492</v>
      </c>
      <c r="LF3" s="154" t="s">
        <v>494</v>
      </c>
      <c r="LG3" s="154" t="s">
        <v>493</v>
      </c>
      <c r="LH3" s="154" t="s">
        <v>205</v>
      </c>
      <c r="LI3" s="154" t="s">
        <v>210</v>
      </c>
      <c r="LJ3" s="154" t="s">
        <v>548</v>
      </c>
      <c r="LK3" s="154" t="s">
        <v>501</v>
      </c>
      <c r="LL3" s="154" t="s">
        <v>439</v>
      </c>
      <c r="LM3" s="154" t="s">
        <v>469</v>
      </c>
      <c r="LN3" s="154" t="s">
        <v>350</v>
      </c>
      <c r="LO3" s="154" t="s">
        <v>351</v>
      </c>
      <c r="LP3" s="187" t="s">
        <v>253</v>
      </c>
      <c r="LQ3" s="187" t="s">
        <v>372</v>
      </c>
      <c r="LR3" s="187" t="s">
        <v>212</v>
      </c>
      <c r="LS3" s="187" t="s">
        <v>440</v>
      </c>
      <c r="LT3" s="154" t="s">
        <v>561</v>
      </c>
      <c r="LU3" s="154" t="s">
        <v>562</v>
      </c>
      <c r="LV3" s="154" t="s">
        <v>546</v>
      </c>
      <c r="LW3" s="187" t="s">
        <v>371</v>
      </c>
      <c r="LX3" s="187" t="s">
        <v>545</v>
      </c>
      <c r="LY3" s="187" t="s">
        <v>547</v>
      </c>
      <c r="LZ3" s="187" t="s">
        <v>352</v>
      </c>
      <c r="MA3" s="154" t="s">
        <v>211</v>
      </c>
      <c r="MB3" s="154" t="s">
        <v>183</v>
      </c>
      <c r="MC3" s="154" t="s">
        <v>175</v>
      </c>
      <c r="MD3" s="154" t="s">
        <v>187</v>
      </c>
      <c r="ME3" s="154" t="s">
        <v>419</v>
      </c>
      <c r="MF3" s="154" t="s">
        <v>420</v>
      </c>
      <c r="MG3" s="154" t="s">
        <v>495</v>
      </c>
      <c r="MH3" s="154" t="s">
        <v>460</v>
      </c>
    </row>
    <row r="4" spans="1:404" ht="15" customHeight="1" x14ac:dyDescent="0.25">
      <c r="A4" s="80"/>
      <c r="B4" s="41"/>
      <c r="C4" s="41"/>
      <c r="D4" s="41"/>
      <c r="E4" s="41"/>
      <c r="F4" s="41"/>
      <c r="G4" s="41"/>
      <c r="H4" s="41"/>
      <c r="I4" s="41"/>
      <c r="J4" s="42"/>
      <c r="K4" s="150"/>
      <c r="L4" s="150"/>
      <c r="M4" s="166"/>
      <c r="N4" s="166"/>
      <c r="O4" s="166"/>
      <c r="P4" s="166"/>
      <c r="Q4" s="150"/>
      <c r="R4" s="150"/>
      <c r="S4" s="150"/>
      <c r="T4" s="150"/>
      <c r="U4" s="150"/>
      <c r="V4" s="150"/>
      <c r="W4" s="166"/>
      <c r="X4" s="166"/>
      <c r="Y4" s="166"/>
      <c r="Z4" s="166"/>
      <c r="AA4" s="166"/>
      <c r="AB4" s="166"/>
      <c r="AC4" s="166"/>
      <c r="AD4" s="166"/>
      <c r="AE4" s="166"/>
      <c r="AF4" s="150"/>
      <c r="AG4" s="150"/>
      <c r="AH4" s="150"/>
      <c r="AI4" s="166"/>
      <c r="AJ4" s="166"/>
      <c r="AK4" s="166"/>
      <c r="AL4" s="166"/>
      <c r="AM4" s="166"/>
      <c r="AN4" s="150"/>
      <c r="AO4" s="150"/>
      <c r="AP4" s="150"/>
      <c r="AQ4" s="150"/>
      <c r="AR4" s="150"/>
      <c r="AS4" s="150"/>
      <c r="AT4" s="150"/>
      <c r="AU4" s="180"/>
      <c r="AV4" s="180"/>
      <c r="AW4" s="180"/>
      <c r="AX4" s="153"/>
      <c r="AY4" s="153"/>
      <c r="AZ4" s="153"/>
      <c r="BA4" s="153"/>
      <c r="BB4" s="153"/>
      <c r="BC4" s="153"/>
      <c r="BD4" s="153"/>
      <c r="BE4" s="153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3"/>
      <c r="BV4" s="153"/>
      <c r="BW4" s="153"/>
      <c r="BX4" s="153"/>
      <c r="BY4" s="153"/>
      <c r="BZ4" s="153"/>
      <c r="CA4" s="153"/>
      <c r="CB4" s="153"/>
      <c r="CC4" s="152"/>
      <c r="CD4" s="152"/>
      <c r="CE4" s="178"/>
      <c r="CF4" s="176"/>
      <c r="CG4" s="176"/>
      <c r="CH4" s="176"/>
      <c r="CI4" s="176"/>
      <c r="CJ4" s="176"/>
      <c r="CK4" s="176"/>
      <c r="CL4" s="176"/>
      <c r="CM4" s="176"/>
      <c r="CN4" s="176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62"/>
      <c r="CZ4" s="162"/>
      <c r="DA4" s="162"/>
      <c r="DB4" s="181"/>
      <c r="DC4" s="181"/>
      <c r="DD4" s="181"/>
      <c r="DE4" s="162"/>
      <c r="DF4" s="162"/>
      <c r="DG4" s="162"/>
      <c r="DH4" s="162"/>
      <c r="DI4" s="162"/>
      <c r="DJ4" s="162"/>
      <c r="DK4" s="195"/>
      <c r="DL4" s="162"/>
      <c r="DM4" s="162"/>
      <c r="DN4" s="162"/>
      <c r="DO4" s="181"/>
      <c r="DP4" s="181"/>
      <c r="DQ4" s="181"/>
      <c r="DR4" s="181"/>
      <c r="DS4" s="181"/>
      <c r="DT4" s="181"/>
      <c r="DU4" s="181"/>
      <c r="DV4" s="197"/>
      <c r="DW4" s="197"/>
      <c r="DX4" s="196"/>
      <c r="DY4" s="196"/>
      <c r="DZ4" s="196"/>
      <c r="EA4" s="196"/>
      <c r="EB4" s="197"/>
      <c r="EC4" s="160"/>
      <c r="ED4" s="160"/>
      <c r="EE4" s="197"/>
      <c r="EF4" s="197"/>
      <c r="EG4" s="160"/>
      <c r="EH4" s="160"/>
      <c r="EI4" s="197"/>
      <c r="EJ4" s="197"/>
      <c r="EK4" s="168"/>
      <c r="EL4" s="198"/>
      <c r="EM4" s="168"/>
      <c r="EN4" s="168"/>
      <c r="EO4" s="201"/>
      <c r="EP4" s="201"/>
      <c r="EQ4" s="168"/>
      <c r="ER4" s="198"/>
      <c r="ES4" s="198"/>
      <c r="ET4" s="168"/>
      <c r="EU4" s="168"/>
      <c r="EV4" s="168"/>
      <c r="EW4" s="168"/>
      <c r="EX4" s="168"/>
      <c r="EY4" s="168"/>
      <c r="EZ4" s="168"/>
      <c r="FA4" s="171"/>
      <c r="FB4" s="171"/>
      <c r="FC4" s="171"/>
      <c r="FD4" s="171"/>
      <c r="FE4" s="171"/>
      <c r="FF4" s="171"/>
      <c r="FG4" s="171"/>
      <c r="FH4" s="171"/>
      <c r="FI4" s="171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69"/>
      <c r="HC4" s="169"/>
      <c r="HD4" s="169"/>
      <c r="HE4" s="169"/>
      <c r="HF4" s="169"/>
      <c r="HG4" s="171"/>
      <c r="HH4" s="171"/>
      <c r="HI4" s="171"/>
      <c r="HJ4" s="198"/>
      <c r="HK4" s="16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71"/>
      <c r="HX4" s="171"/>
      <c r="HY4" s="171"/>
      <c r="HZ4" s="171"/>
      <c r="IA4" s="171"/>
      <c r="IB4" s="171"/>
      <c r="IC4" s="171"/>
      <c r="ID4" s="169"/>
      <c r="IE4" s="169"/>
      <c r="IF4" s="169"/>
      <c r="IG4" s="169"/>
      <c r="IH4" s="169"/>
      <c r="II4" s="169"/>
      <c r="IJ4" s="191"/>
      <c r="IK4" s="191"/>
      <c r="IL4" s="191"/>
      <c r="IM4" s="191"/>
      <c r="IN4" s="191"/>
      <c r="IO4" s="191"/>
      <c r="IP4" s="191"/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/>
      <c r="JD4" s="183"/>
      <c r="JE4" s="183"/>
      <c r="JF4" s="183"/>
      <c r="JG4" s="183"/>
      <c r="JH4" s="183"/>
      <c r="JI4" s="193"/>
      <c r="JJ4" s="193"/>
      <c r="JK4" s="191"/>
      <c r="JL4" s="191"/>
      <c r="JM4" s="191"/>
      <c r="JN4" s="193"/>
      <c r="JO4" s="193"/>
      <c r="JP4" s="193"/>
      <c r="JQ4" s="193"/>
      <c r="JR4" s="193"/>
      <c r="JS4" s="183"/>
      <c r="JT4" s="183"/>
      <c r="JU4" s="183"/>
      <c r="JV4" s="183"/>
      <c r="JW4" s="183"/>
      <c r="JX4" s="164"/>
      <c r="JY4" s="164"/>
      <c r="JZ4" s="164"/>
      <c r="KA4" s="185"/>
      <c r="KB4" s="185"/>
      <c r="KC4" s="185"/>
      <c r="KD4" s="185"/>
      <c r="KE4" s="185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88"/>
      <c r="LQ4" s="188"/>
      <c r="LR4" s="188"/>
      <c r="LS4" s="188"/>
      <c r="LT4" s="155"/>
      <c r="LU4" s="155"/>
      <c r="LV4" s="155"/>
      <c r="LW4" s="188"/>
      <c r="LX4" s="188"/>
      <c r="LY4" s="188"/>
      <c r="LZ4" s="188"/>
      <c r="MA4" s="155"/>
      <c r="MB4" s="155"/>
      <c r="MC4" s="155"/>
      <c r="MD4" s="155"/>
      <c r="ME4" s="155"/>
      <c r="MF4" s="155"/>
      <c r="MG4" s="155"/>
      <c r="MH4" s="155"/>
    </row>
    <row r="5" spans="1:404" ht="15" customHeight="1" x14ac:dyDescent="0.25">
      <c r="A5" s="80"/>
      <c r="B5" s="41"/>
      <c r="C5" s="41"/>
      <c r="D5" s="41"/>
      <c r="E5" s="41"/>
      <c r="F5" s="41"/>
      <c r="G5" s="41"/>
      <c r="H5" s="82"/>
      <c r="I5" s="82"/>
      <c r="J5" s="82" t="s">
        <v>99</v>
      </c>
      <c r="K5" s="150"/>
      <c r="L5" s="150"/>
      <c r="M5" s="166"/>
      <c r="N5" s="166"/>
      <c r="O5" s="166"/>
      <c r="P5" s="166"/>
      <c r="Q5" s="150"/>
      <c r="R5" s="150"/>
      <c r="S5" s="150"/>
      <c r="T5" s="150"/>
      <c r="U5" s="150"/>
      <c r="V5" s="150"/>
      <c r="W5" s="166"/>
      <c r="X5" s="166"/>
      <c r="Y5" s="166"/>
      <c r="Z5" s="166"/>
      <c r="AA5" s="166"/>
      <c r="AB5" s="166"/>
      <c r="AC5" s="166"/>
      <c r="AD5" s="166"/>
      <c r="AE5" s="166"/>
      <c r="AF5" s="150"/>
      <c r="AG5" s="150"/>
      <c r="AH5" s="150"/>
      <c r="AI5" s="166"/>
      <c r="AJ5" s="166"/>
      <c r="AK5" s="166"/>
      <c r="AL5" s="166"/>
      <c r="AM5" s="166"/>
      <c r="AN5" s="150"/>
      <c r="AO5" s="150"/>
      <c r="AP5" s="150"/>
      <c r="AQ5" s="150"/>
      <c r="AR5" s="150"/>
      <c r="AS5" s="150"/>
      <c r="AT5" s="150"/>
      <c r="AU5" s="180"/>
      <c r="AV5" s="180"/>
      <c r="AW5" s="180"/>
      <c r="AX5" s="153"/>
      <c r="AY5" s="153"/>
      <c r="AZ5" s="153"/>
      <c r="BA5" s="153"/>
      <c r="BB5" s="153"/>
      <c r="BC5" s="153"/>
      <c r="BD5" s="153"/>
      <c r="BE5" s="153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3"/>
      <c r="BV5" s="153"/>
      <c r="BW5" s="153"/>
      <c r="BX5" s="153"/>
      <c r="BY5" s="153"/>
      <c r="BZ5" s="153"/>
      <c r="CA5" s="153"/>
      <c r="CB5" s="153"/>
      <c r="CC5" s="152"/>
      <c r="CD5" s="152"/>
      <c r="CE5" s="178"/>
      <c r="CF5" s="176"/>
      <c r="CG5" s="176"/>
      <c r="CH5" s="176"/>
      <c r="CI5" s="176"/>
      <c r="CJ5" s="176"/>
      <c r="CK5" s="176"/>
      <c r="CL5" s="176"/>
      <c r="CM5" s="176"/>
      <c r="CN5" s="176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62"/>
      <c r="CZ5" s="162"/>
      <c r="DA5" s="162"/>
      <c r="DB5" s="181"/>
      <c r="DC5" s="181"/>
      <c r="DD5" s="181"/>
      <c r="DE5" s="162"/>
      <c r="DF5" s="162"/>
      <c r="DG5" s="162"/>
      <c r="DH5" s="162"/>
      <c r="DI5" s="162"/>
      <c r="DJ5" s="162"/>
      <c r="DK5" s="195"/>
      <c r="DL5" s="162"/>
      <c r="DM5" s="162"/>
      <c r="DN5" s="162"/>
      <c r="DO5" s="181"/>
      <c r="DP5" s="181"/>
      <c r="DQ5" s="181"/>
      <c r="DR5" s="181"/>
      <c r="DS5" s="181"/>
      <c r="DT5" s="181"/>
      <c r="DU5" s="181"/>
      <c r="DV5" s="197"/>
      <c r="DW5" s="197"/>
      <c r="DX5" s="196"/>
      <c r="DY5" s="196"/>
      <c r="DZ5" s="196"/>
      <c r="EA5" s="196"/>
      <c r="EB5" s="197"/>
      <c r="EC5" s="160"/>
      <c r="ED5" s="160"/>
      <c r="EE5" s="197"/>
      <c r="EF5" s="197"/>
      <c r="EG5" s="160"/>
      <c r="EH5" s="160"/>
      <c r="EI5" s="197"/>
      <c r="EJ5" s="197"/>
      <c r="EK5" s="168"/>
      <c r="EL5" s="198"/>
      <c r="EM5" s="168"/>
      <c r="EN5" s="168"/>
      <c r="EO5" s="201"/>
      <c r="EP5" s="201"/>
      <c r="EQ5" s="168"/>
      <c r="ER5" s="198"/>
      <c r="ES5" s="198"/>
      <c r="ET5" s="168"/>
      <c r="EU5" s="168"/>
      <c r="EV5" s="168"/>
      <c r="EW5" s="168"/>
      <c r="EX5" s="168"/>
      <c r="EY5" s="168"/>
      <c r="EZ5" s="168"/>
      <c r="FA5" s="171"/>
      <c r="FB5" s="171"/>
      <c r="FC5" s="171"/>
      <c r="FD5" s="171"/>
      <c r="FE5" s="171"/>
      <c r="FF5" s="171"/>
      <c r="FG5" s="171"/>
      <c r="FH5" s="171"/>
      <c r="FI5" s="171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69"/>
      <c r="HC5" s="169"/>
      <c r="HD5" s="169"/>
      <c r="HE5" s="169"/>
      <c r="HF5" s="169"/>
      <c r="HG5" s="171"/>
      <c r="HH5" s="171"/>
      <c r="HI5" s="171"/>
      <c r="HJ5" s="198"/>
      <c r="HK5" s="16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71"/>
      <c r="HX5" s="171"/>
      <c r="HY5" s="171"/>
      <c r="HZ5" s="171"/>
      <c r="IA5" s="171"/>
      <c r="IB5" s="171"/>
      <c r="IC5" s="171"/>
      <c r="ID5" s="169"/>
      <c r="IE5" s="169"/>
      <c r="IF5" s="169"/>
      <c r="IG5" s="169"/>
      <c r="IH5" s="169"/>
      <c r="II5" s="169"/>
      <c r="IJ5" s="191"/>
      <c r="IK5" s="191"/>
      <c r="IL5" s="191"/>
      <c r="IM5" s="191"/>
      <c r="IN5" s="191"/>
      <c r="IO5" s="191"/>
      <c r="IP5" s="191"/>
      <c r="IQ5" s="183"/>
      <c r="IR5" s="183"/>
      <c r="IS5" s="183"/>
      <c r="IT5" s="183"/>
      <c r="IU5" s="183"/>
      <c r="IV5" s="183"/>
      <c r="IW5" s="183"/>
      <c r="IX5" s="183"/>
      <c r="IY5" s="183"/>
      <c r="IZ5" s="183"/>
      <c r="JA5" s="183"/>
      <c r="JB5" s="183"/>
      <c r="JC5" s="183"/>
      <c r="JD5" s="183"/>
      <c r="JE5" s="183"/>
      <c r="JF5" s="183"/>
      <c r="JG5" s="183"/>
      <c r="JH5" s="183"/>
      <c r="JI5" s="193"/>
      <c r="JJ5" s="193"/>
      <c r="JK5" s="191"/>
      <c r="JL5" s="191"/>
      <c r="JM5" s="191"/>
      <c r="JN5" s="193"/>
      <c r="JO5" s="193"/>
      <c r="JP5" s="193"/>
      <c r="JQ5" s="193"/>
      <c r="JR5" s="193"/>
      <c r="JS5" s="183"/>
      <c r="JT5" s="183"/>
      <c r="JU5" s="183"/>
      <c r="JV5" s="183"/>
      <c r="JW5" s="183"/>
      <c r="JX5" s="164"/>
      <c r="JY5" s="164"/>
      <c r="JZ5" s="164"/>
      <c r="KA5" s="185"/>
      <c r="KB5" s="185"/>
      <c r="KC5" s="185"/>
      <c r="KD5" s="185"/>
      <c r="KE5" s="185"/>
      <c r="KF5" s="164"/>
      <c r="KG5" s="164"/>
      <c r="KH5" s="164"/>
      <c r="KI5" s="164"/>
      <c r="KJ5" s="164"/>
      <c r="KK5" s="164"/>
      <c r="KL5" s="164"/>
      <c r="KM5" s="164"/>
      <c r="KN5" s="164"/>
      <c r="KO5" s="164"/>
      <c r="KP5" s="164"/>
      <c r="KQ5" s="164"/>
      <c r="KR5" s="164"/>
      <c r="KS5" s="164"/>
      <c r="KT5" s="164"/>
      <c r="KU5" s="164"/>
      <c r="KV5" s="164"/>
      <c r="KW5" s="164"/>
      <c r="KX5" s="164"/>
      <c r="KY5" s="164"/>
      <c r="KZ5" s="164"/>
      <c r="LA5" s="16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88"/>
      <c r="LQ5" s="188"/>
      <c r="LR5" s="188"/>
      <c r="LS5" s="188"/>
      <c r="LT5" s="155"/>
      <c r="LU5" s="155"/>
      <c r="LV5" s="155"/>
      <c r="LW5" s="188"/>
      <c r="LX5" s="188"/>
      <c r="LY5" s="188"/>
      <c r="LZ5" s="188"/>
      <c r="MA5" s="155"/>
      <c r="MB5" s="155"/>
      <c r="MC5" s="155"/>
      <c r="MD5" s="155"/>
      <c r="ME5" s="155"/>
      <c r="MF5" s="155"/>
      <c r="MG5" s="155"/>
      <c r="MH5" s="155"/>
    </row>
    <row r="6" spans="1:404" ht="15" customHeight="1" x14ac:dyDescent="0.25">
      <c r="A6" s="80"/>
      <c r="B6" s="41"/>
      <c r="C6" s="41"/>
      <c r="D6" s="41"/>
      <c r="E6" s="41"/>
      <c r="F6" s="41"/>
      <c r="G6" s="83"/>
      <c r="H6" s="83"/>
      <c r="I6" s="83"/>
      <c r="J6" s="84" t="s">
        <v>13</v>
      </c>
      <c r="K6" s="151"/>
      <c r="L6" s="151"/>
      <c r="M6" s="167"/>
      <c r="N6" s="167"/>
      <c r="O6" s="167"/>
      <c r="P6" s="167"/>
      <c r="Q6" s="151"/>
      <c r="R6" s="151"/>
      <c r="S6" s="151"/>
      <c r="T6" s="151"/>
      <c r="U6" s="151"/>
      <c r="V6" s="151"/>
      <c r="W6" s="167"/>
      <c r="X6" s="167"/>
      <c r="Y6" s="167"/>
      <c r="Z6" s="167"/>
      <c r="AA6" s="167"/>
      <c r="AB6" s="167"/>
      <c r="AC6" s="167"/>
      <c r="AD6" s="167"/>
      <c r="AE6" s="167"/>
      <c r="AF6" s="151"/>
      <c r="AG6" s="151"/>
      <c r="AH6" s="151"/>
      <c r="AI6" s="167"/>
      <c r="AJ6" s="167"/>
      <c r="AK6" s="167"/>
      <c r="AL6" s="167"/>
      <c r="AM6" s="167"/>
      <c r="AN6" s="151"/>
      <c r="AO6" s="151"/>
      <c r="AP6" s="151"/>
      <c r="AQ6" s="151"/>
      <c r="AR6" s="151"/>
      <c r="AS6" s="151"/>
      <c r="AT6" s="151"/>
      <c r="AU6" s="180"/>
      <c r="AV6" s="180"/>
      <c r="AW6" s="180"/>
      <c r="AX6" s="153"/>
      <c r="AY6" s="153"/>
      <c r="AZ6" s="153"/>
      <c r="BA6" s="153"/>
      <c r="BB6" s="153"/>
      <c r="BC6" s="153"/>
      <c r="BD6" s="153"/>
      <c r="BE6" s="153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3"/>
      <c r="BV6" s="153"/>
      <c r="BW6" s="153"/>
      <c r="BX6" s="153"/>
      <c r="BY6" s="153"/>
      <c r="BZ6" s="153"/>
      <c r="CA6" s="153"/>
      <c r="CB6" s="153"/>
      <c r="CC6" s="152"/>
      <c r="CD6" s="152"/>
      <c r="CE6" s="179"/>
      <c r="CF6" s="177"/>
      <c r="CG6" s="177"/>
      <c r="CH6" s="177"/>
      <c r="CI6" s="177"/>
      <c r="CJ6" s="177"/>
      <c r="CK6" s="177"/>
      <c r="CL6" s="177"/>
      <c r="CM6" s="177"/>
      <c r="CN6" s="177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63"/>
      <c r="CZ6" s="163"/>
      <c r="DA6" s="163"/>
      <c r="DB6" s="182"/>
      <c r="DC6" s="182"/>
      <c r="DD6" s="182"/>
      <c r="DE6" s="163"/>
      <c r="DF6" s="163"/>
      <c r="DG6" s="163"/>
      <c r="DH6" s="163"/>
      <c r="DI6" s="163"/>
      <c r="DJ6" s="163"/>
      <c r="DK6" s="195"/>
      <c r="DL6" s="163"/>
      <c r="DM6" s="163"/>
      <c r="DN6" s="163"/>
      <c r="DO6" s="182"/>
      <c r="DP6" s="182"/>
      <c r="DQ6" s="182"/>
      <c r="DR6" s="182"/>
      <c r="DS6" s="182"/>
      <c r="DT6" s="182"/>
      <c r="DU6" s="182"/>
      <c r="DV6" s="197"/>
      <c r="DW6" s="197"/>
      <c r="DX6" s="196"/>
      <c r="DY6" s="196"/>
      <c r="DZ6" s="196"/>
      <c r="EA6" s="196"/>
      <c r="EB6" s="197"/>
      <c r="EC6" s="160"/>
      <c r="ED6" s="160"/>
      <c r="EE6" s="197"/>
      <c r="EF6" s="197"/>
      <c r="EG6" s="160"/>
      <c r="EH6" s="160"/>
      <c r="EI6" s="197"/>
      <c r="EJ6" s="197"/>
      <c r="EK6" s="169"/>
      <c r="EL6" s="198"/>
      <c r="EM6" s="169"/>
      <c r="EN6" s="169"/>
      <c r="EO6" s="202"/>
      <c r="EP6" s="202"/>
      <c r="EQ6" s="169"/>
      <c r="ER6" s="199"/>
      <c r="ES6" s="199"/>
      <c r="ET6" s="169"/>
      <c r="EU6" s="169"/>
      <c r="EV6" s="169"/>
      <c r="EW6" s="169"/>
      <c r="EX6" s="169"/>
      <c r="EY6" s="169"/>
      <c r="EZ6" s="169"/>
      <c r="FA6" s="171"/>
      <c r="FB6" s="171"/>
      <c r="FC6" s="171"/>
      <c r="FD6" s="171"/>
      <c r="FE6" s="171"/>
      <c r="FF6" s="171"/>
      <c r="FG6" s="171"/>
      <c r="FH6" s="171"/>
      <c r="FI6" s="171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69"/>
      <c r="HC6" s="169"/>
      <c r="HD6" s="169"/>
      <c r="HE6" s="169"/>
      <c r="HF6" s="169"/>
      <c r="HG6" s="171"/>
      <c r="HH6" s="171"/>
      <c r="HI6" s="171"/>
      <c r="HJ6" s="198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71"/>
      <c r="HX6" s="171"/>
      <c r="HY6" s="171"/>
      <c r="HZ6" s="171"/>
      <c r="IA6" s="171"/>
      <c r="IB6" s="171"/>
      <c r="IC6" s="171"/>
      <c r="ID6" s="169"/>
      <c r="IE6" s="169"/>
      <c r="IF6" s="169"/>
      <c r="IG6" s="169"/>
      <c r="IH6" s="169"/>
      <c r="II6" s="169"/>
      <c r="IJ6" s="191"/>
      <c r="IK6" s="191"/>
      <c r="IL6" s="191"/>
      <c r="IM6" s="191"/>
      <c r="IN6" s="191"/>
      <c r="IO6" s="191"/>
      <c r="IP6" s="191"/>
      <c r="IQ6" s="184"/>
      <c r="IR6" s="184"/>
      <c r="IS6" s="184"/>
      <c r="IT6" s="184"/>
      <c r="IU6" s="184"/>
      <c r="IV6" s="184"/>
      <c r="IW6" s="184"/>
      <c r="IX6" s="184"/>
      <c r="IY6" s="184"/>
      <c r="IZ6" s="184"/>
      <c r="JA6" s="184"/>
      <c r="JB6" s="184"/>
      <c r="JC6" s="184"/>
      <c r="JD6" s="184"/>
      <c r="JE6" s="184"/>
      <c r="JF6" s="184"/>
      <c r="JG6" s="184"/>
      <c r="JH6" s="184"/>
      <c r="JI6" s="193"/>
      <c r="JJ6" s="193"/>
      <c r="JK6" s="191"/>
      <c r="JL6" s="191"/>
      <c r="JM6" s="191"/>
      <c r="JN6" s="193"/>
      <c r="JO6" s="193"/>
      <c r="JP6" s="193"/>
      <c r="JQ6" s="193"/>
      <c r="JR6" s="193"/>
      <c r="JS6" s="184"/>
      <c r="JT6" s="184"/>
      <c r="JU6" s="184"/>
      <c r="JV6" s="184"/>
      <c r="JW6" s="184"/>
      <c r="JX6" s="165"/>
      <c r="JY6" s="165"/>
      <c r="JZ6" s="165"/>
      <c r="KA6" s="186"/>
      <c r="KB6" s="186"/>
      <c r="KC6" s="186"/>
      <c r="KD6" s="186"/>
      <c r="KE6" s="186"/>
      <c r="KF6" s="165"/>
      <c r="KG6" s="165"/>
      <c r="KH6" s="165"/>
      <c r="KI6" s="165"/>
      <c r="KJ6" s="165"/>
      <c r="KK6" s="165"/>
      <c r="KL6" s="165"/>
      <c r="KM6" s="165"/>
      <c r="KN6" s="165"/>
      <c r="KO6" s="165"/>
      <c r="KP6" s="165"/>
      <c r="KQ6" s="165"/>
      <c r="KR6" s="165"/>
      <c r="KS6" s="165"/>
      <c r="KT6" s="165"/>
      <c r="KU6" s="165"/>
      <c r="KV6" s="165"/>
      <c r="KW6" s="165"/>
      <c r="KX6" s="165"/>
      <c r="KY6" s="165"/>
      <c r="KZ6" s="165"/>
      <c r="LA6" s="165"/>
      <c r="LB6" s="15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88"/>
      <c r="LQ6" s="188"/>
      <c r="LR6" s="188"/>
      <c r="LS6" s="188"/>
      <c r="LT6" s="155"/>
      <c r="LU6" s="155"/>
      <c r="LV6" s="155"/>
      <c r="LW6" s="188"/>
      <c r="LX6" s="188"/>
      <c r="LY6" s="188"/>
      <c r="LZ6" s="188"/>
      <c r="MA6" s="155"/>
      <c r="MB6" s="155"/>
      <c r="MC6" s="155"/>
      <c r="MD6" s="155"/>
      <c r="ME6" s="155"/>
      <c r="MF6" s="155"/>
      <c r="MG6" s="155"/>
      <c r="MH6" s="155"/>
    </row>
    <row r="7" spans="1:404" ht="15" customHeight="1" x14ac:dyDescent="0.25">
      <c r="A7" s="80"/>
      <c r="B7" s="41"/>
      <c r="C7" s="41"/>
      <c r="D7" s="41"/>
      <c r="E7" s="41"/>
      <c r="F7" s="41"/>
      <c r="G7" s="85"/>
      <c r="H7" s="85"/>
      <c r="I7" s="85"/>
      <c r="J7" s="86" t="s">
        <v>243</v>
      </c>
      <c r="K7" s="151"/>
      <c r="L7" s="151"/>
      <c r="M7" s="167"/>
      <c r="N7" s="167"/>
      <c r="O7" s="167"/>
      <c r="P7" s="167"/>
      <c r="Q7" s="151"/>
      <c r="R7" s="151"/>
      <c r="S7" s="151"/>
      <c r="T7" s="151"/>
      <c r="U7" s="151"/>
      <c r="V7" s="151"/>
      <c r="W7" s="167"/>
      <c r="X7" s="167"/>
      <c r="Y7" s="167"/>
      <c r="Z7" s="167"/>
      <c r="AA7" s="167"/>
      <c r="AB7" s="167"/>
      <c r="AC7" s="167"/>
      <c r="AD7" s="167"/>
      <c r="AE7" s="167"/>
      <c r="AF7" s="151"/>
      <c r="AG7" s="151"/>
      <c r="AH7" s="151"/>
      <c r="AI7" s="167"/>
      <c r="AJ7" s="167"/>
      <c r="AK7" s="167"/>
      <c r="AL7" s="167"/>
      <c r="AM7" s="167"/>
      <c r="AN7" s="151"/>
      <c r="AO7" s="151"/>
      <c r="AP7" s="151"/>
      <c r="AQ7" s="151"/>
      <c r="AR7" s="151"/>
      <c r="AS7" s="151"/>
      <c r="AT7" s="151"/>
      <c r="AU7" s="180"/>
      <c r="AV7" s="180"/>
      <c r="AW7" s="180"/>
      <c r="AX7" s="153"/>
      <c r="AY7" s="153"/>
      <c r="AZ7" s="153"/>
      <c r="BA7" s="153"/>
      <c r="BB7" s="153"/>
      <c r="BC7" s="153"/>
      <c r="BD7" s="153"/>
      <c r="BE7" s="153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3"/>
      <c r="BV7" s="153"/>
      <c r="BW7" s="153"/>
      <c r="BX7" s="153"/>
      <c r="BY7" s="153"/>
      <c r="BZ7" s="153"/>
      <c r="CA7" s="153"/>
      <c r="CB7" s="153"/>
      <c r="CC7" s="152"/>
      <c r="CD7" s="152"/>
      <c r="CE7" s="179"/>
      <c r="CF7" s="177"/>
      <c r="CG7" s="177"/>
      <c r="CH7" s="177"/>
      <c r="CI7" s="177"/>
      <c r="CJ7" s="177"/>
      <c r="CK7" s="177"/>
      <c r="CL7" s="177"/>
      <c r="CM7" s="177"/>
      <c r="CN7" s="177"/>
      <c r="CO7" s="179"/>
      <c r="CP7" s="179"/>
      <c r="CQ7" s="179"/>
      <c r="CR7" s="179"/>
      <c r="CS7" s="179"/>
      <c r="CT7" s="179"/>
      <c r="CU7" s="179"/>
      <c r="CV7" s="179"/>
      <c r="CW7" s="179"/>
      <c r="CX7" s="179"/>
      <c r="CY7" s="163"/>
      <c r="CZ7" s="163"/>
      <c r="DA7" s="163"/>
      <c r="DB7" s="182"/>
      <c r="DC7" s="182"/>
      <c r="DD7" s="182"/>
      <c r="DE7" s="163"/>
      <c r="DF7" s="163"/>
      <c r="DG7" s="163"/>
      <c r="DH7" s="163"/>
      <c r="DI7" s="163"/>
      <c r="DJ7" s="163"/>
      <c r="DK7" s="195"/>
      <c r="DL7" s="163"/>
      <c r="DM7" s="163"/>
      <c r="DN7" s="163"/>
      <c r="DO7" s="182"/>
      <c r="DP7" s="182"/>
      <c r="DQ7" s="182"/>
      <c r="DR7" s="182"/>
      <c r="DS7" s="182"/>
      <c r="DT7" s="182"/>
      <c r="DU7" s="182"/>
      <c r="DV7" s="197"/>
      <c r="DW7" s="197"/>
      <c r="DX7" s="196"/>
      <c r="DY7" s="196"/>
      <c r="DZ7" s="196"/>
      <c r="EA7" s="196"/>
      <c r="EB7" s="197"/>
      <c r="EC7" s="160"/>
      <c r="ED7" s="160"/>
      <c r="EE7" s="197"/>
      <c r="EF7" s="197"/>
      <c r="EG7" s="160"/>
      <c r="EH7" s="160"/>
      <c r="EI7" s="197"/>
      <c r="EJ7" s="197"/>
      <c r="EK7" s="169"/>
      <c r="EL7" s="198"/>
      <c r="EM7" s="169"/>
      <c r="EN7" s="169"/>
      <c r="EO7" s="202"/>
      <c r="EP7" s="202"/>
      <c r="EQ7" s="169"/>
      <c r="ER7" s="199"/>
      <c r="ES7" s="199"/>
      <c r="ET7" s="169"/>
      <c r="EU7" s="169"/>
      <c r="EV7" s="169"/>
      <c r="EW7" s="169"/>
      <c r="EX7" s="169"/>
      <c r="EY7" s="169"/>
      <c r="EZ7" s="169"/>
      <c r="FA7" s="171"/>
      <c r="FB7" s="171"/>
      <c r="FC7" s="171"/>
      <c r="FD7" s="171"/>
      <c r="FE7" s="171"/>
      <c r="FF7" s="171"/>
      <c r="FG7" s="171"/>
      <c r="FH7" s="171"/>
      <c r="FI7" s="171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69"/>
      <c r="HC7" s="169"/>
      <c r="HD7" s="169"/>
      <c r="HE7" s="169"/>
      <c r="HF7" s="169"/>
      <c r="HG7" s="171"/>
      <c r="HH7" s="171"/>
      <c r="HI7" s="171"/>
      <c r="HJ7" s="198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71"/>
      <c r="HX7" s="171"/>
      <c r="HY7" s="171"/>
      <c r="HZ7" s="171"/>
      <c r="IA7" s="171"/>
      <c r="IB7" s="171"/>
      <c r="IC7" s="171"/>
      <c r="ID7" s="169"/>
      <c r="IE7" s="169"/>
      <c r="IF7" s="169"/>
      <c r="IG7" s="169"/>
      <c r="IH7" s="169"/>
      <c r="II7" s="169"/>
      <c r="IJ7" s="191"/>
      <c r="IK7" s="191"/>
      <c r="IL7" s="191"/>
      <c r="IM7" s="191"/>
      <c r="IN7" s="191"/>
      <c r="IO7" s="191"/>
      <c r="IP7" s="191"/>
      <c r="IQ7" s="184"/>
      <c r="IR7" s="184"/>
      <c r="IS7" s="184"/>
      <c r="IT7" s="184"/>
      <c r="IU7" s="184"/>
      <c r="IV7" s="184"/>
      <c r="IW7" s="184"/>
      <c r="IX7" s="184"/>
      <c r="IY7" s="184"/>
      <c r="IZ7" s="184"/>
      <c r="JA7" s="184"/>
      <c r="JB7" s="184"/>
      <c r="JC7" s="184"/>
      <c r="JD7" s="184"/>
      <c r="JE7" s="184"/>
      <c r="JF7" s="184"/>
      <c r="JG7" s="184"/>
      <c r="JH7" s="184"/>
      <c r="JI7" s="193"/>
      <c r="JJ7" s="193"/>
      <c r="JK7" s="191"/>
      <c r="JL7" s="191"/>
      <c r="JM7" s="191"/>
      <c r="JN7" s="193"/>
      <c r="JO7" s="193"/>
      <c r="JP7" s="193"/>
      <c r="JQ7" s="193"/>
      <c r="JR7" s="193"/>
      <c r="JS7" s="184"/>
      <c r="JT7" s="184"/>
      <c r="JU7" s="184"/>
      <c r="JV7" s="184"/>
      <c r="JW7" s="184"/>
      <c r="JX7" s="165"/>
      <c r="JY7" s="165"/>
      <c r="JZ7" s="165"/>
      <c r="KA7" s="186"/>
      <c r="KB7" s="186"/>
      <c r="KC7" s="186"/>
      <c r="KD7" s="186"/>
      <c r="KE7" s="186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55"/>
      <c r="LC7" s="155"/>
      <c r="LD7" s="155"/>
      <c r="LE7" s="155"/>
      <c r="LF7" s="155"/>
      <c r="LG7" s="155"/>
      <c r="LH7" s="155"/>
      <c r="LI7" s="155"/>
      <c r="LJ7" s="155"/>
      <c r="LK7" s="155"/>
      <c r="LL7" s="155"/>
      <c r="LM7" s="155"/>
      <c r="LN7" s="155"/>
      <c r="LO7" s="155"/>
      <c r="LP7" s="188"/>
      <c r="LQ7" s="188"/>
      <c r="LR7" s="188"/>
      <c r="LS7" s="188"/>
      <c r="LT7" s="155"/>
      <c r="LU7" s="155"/>
      <c r="LV7" s="155"/>
      <c r="LW7" s="188"/>
      <c r="LX7" s="188"/>
      <c r="LY7" s="188"/>
      <c r="LZ7" s="188"/>
      <c r="MA7" s="155"/>
      <c r="MB7" s="155"/>
      <c r="MC7" s="155"/>
      <c r="MD7" s="155"/>
      <c r="ME7" s="155"/>
      <c r="MF7" s="155"/>
      <c r="MG7" s="155"/>
      <c r="MH7" s="155"/>
    </row>
    <row r="8" spans="1:404" ht="15" customHeight="1" x14ac:dyDescent="0.25">
      <c r="A8" s="80"/>
      <c r="B8" s="41"/>
      <c r="C8" s="41"/>
      <c r="D8" s="41"/>
      <c r="E8" s="87"/>
      <c r="F8" s="87"/>
      <c r="G8" s="87"/>
      <c r="H8" s="87"/>
      <c r="I8" s="87"/>
      <c r="J8" s="87" t="s">
        <v>466</v>
      </c>
      <c r="K8" s="151"/>
      <c r="L8" s="151"/>
      <c r="M8" s="167"/>
      <c r="N8" s="167"/>
      <c r="O8" s="167"/>
      <c r="P8" s="167"/>
      <c r="Q8" s="151"/>
      <c r="R8" s="151"/>
      <c r="S8" s="151"/>
      <c r="T8" s="151"/>
      <c r="U8" s="151"/>
      <c r="V8" s="151"/>
      <c r="W8" s="167"/>
      <c r="X8" s="167"/>
      <c r="Y8" s="167"/>
      <c r="Z8" s="167"/>
      <c r="AA8" s="167"/>
      <c r="AB8" s="167"/>
      <c r="AC8" s="167"/>
      <c r="AD8" s="167"/>
      <c r="AE8" s="167"/>
      <c r="AF8" s="151"/>
      <c r="AG8" s="151"/>
      <c r="AH8" s="151"/>
      <c r="AI8" s="167"/>
      <c r="AJ8" s="167"/>
      <c r="AK8" s="167"/>
      <c r="AL8" s="167"/>
      <c r="AM8" s="167"/>
      <c r="AN8" s="151"/>
      <c r="AO8" s="151"/>
      <c r="AP8" s="151"/>
      <c r="AQ8" s="151"/>
      <c r="AR8" s="151"/>
      <c r="AS8" s="151"/>
      <c r="AT8" s="151"/>
      <c r="AU8" s="180"/>
      <c r="AV8" s="180"/>
      <c r="AW8" s="180"/>
      <c r="AX8" s="153"/>
      <c r="AY8" s="153"/>
      <c r="AZ8" s="153"/>
      <c r="BA8" s="153"/>
      <c r="BB8" s="153"/>
      <c r="BC8" s="153"/>
      <c r="BD8" s="153"/>
      <c r="BE8" s="153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3"/>
      <c r="BV8" s="153"/>
      <c r="BW8" s="153"/>
      <c r="BX8" s="153"/>
      <c r="BY8" s="153"/>
      <c r="BZ8" s="153"/>
      <c r="CA8" s="153"/>
      <c r="CB8" s="153"/>
      <c r="CC8" s="152"/>
      <c r="CD8" s="152"/>
      <c r="CE8" s="179"/>
      <c r="CF8" s="177"/>
      <c r="CG8" s="177"/>
      <c r="CH8" s="177"/>
      <c r="CI8" s="177"/>
      <c r="CJ8" s="177"/>
      <c r="CK8" s="177"/>
      <c r="CL8" s="177"/>
      <c r="CM8" s="177"/>
      <c r="CN8" s="177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63"/>
      <c r="CZ8" s="163"/>
      <c r="DA8" s="163"/>
      <c r="DB8" s="182"/>
      <c r="DC8" s="182"/>
      <c r="DD8" s="182"/>
      <c r="DE8" s="163"/>
      <c r="DF8" s="163"/>
      <c r="DG8" s="163"/>
      <c r="DH8" s="163"/>
      <c r="DI8" s="163"/>
      <c r="DJ8" s="163"/>
      <c r="DK8" s="195"/>
      <c r="DL8" s="163"/>
      <c r="DM8" s="163"/>
      <c r="DN8" s="163"/>
      <c r="DO8" s="182"/>
      <c r="DP8" s="182"/>
      <c r="DQ8" s="182"/>
      <c r="DR8" s="182"/>
      <c r="DS8" s="182"/>
      <c r="DT8" s="182"/>
      <c r="DU8" s="182"/>
      <c r="DV8" s="197"/>
      <c r="DW8" s="197"/>
      <c r="DX8" s="196"/>
      <c r="DY8" s="196"/>
      <c r="DZ8" s="196"/>
      <c r="EA8" s="196"/>
      <c r="EB8" s="197"/>
      <c r="EC8" s="160"/>
      <c r="ED8" s="160"/>
      <c r="EE8" s="197"/>
      <c r="EF8" s="197"/>
      <c r="EG8" s="160"/>
      <c r="EH8" s="160"/>
      <c r="EI8" s="197"/>
      <c r="EJ8" s="197"/>
      <c r="EK8" s="169"/>
      <c r="EL8" s="198"/>
      <c r="EM8" s="169"/>
      <c r="EN8" s="169"/>
      <c r="EO8" s="202"/>
      <c r="EP8" s="202"/>
      <c r="EQ8" s="169"/>
      <c r="ER8" s="199"/>
      <c r="ES8" s="199"/>
      <c r="ET8" s="169"/>
      <c r="EU8" s="169"/>
      <c r="EV8" s="169"/>
      <c r="EW8" s="169"/>
      <c r="EX8" s="169"/>
      <c r="EY8" s="169"/>
      <c r="EZ8" s="169"/>
      <c r="FA8" s="171"/>
      <c r="FB8" s="171"/>
      <c r="FC8" s="171"/>
      <c r="FD8" s="171"/>
      <c r="FE8" s="171"/>
      <c r="FF8" s="171"/>
      <c r="FG8" s="171"/>
      <c r="FH8" s="171"/>
      <c r="FI8" s="171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69"/>
      <c r="HC8" s="169"/>
      <c r="HD8" s="169"/>
      <c r="HE8" s="169"/>
      <c r="HF8" s="169"/>
      <c r="HG8" s="171"/>
      <c r="HH8" s="171"/>
      <c r="HI8" s="171"/>
      <c r="HJ8" s="198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71"/>
      <c r="HX8" s="171"/>
      <c r="HY8" s="171"/>
      <c r="HZ8" s="171"/>
      <c r="IA8" s="171"/>
      <c r="IB8" s="171"/>
      <c r="IC8" s="171"/>
      <c r="ID8" s="169"/>
      <c r="IE8" s="169"/>
      <c r="IF8" s="169"/>
      <c r="IG8" s="169"/>
      <c r="IH8" s="169"/>
      <c r="II8" s="169"/>
      <c r="IJ8" s="191"/>
      <c r="IK8" s="191"/>
      <c r="IL8" s="191"/>
      <c r="IM8" s="191"/>
      <c r="IN8" s="191"/>
      <c r="IO8" s="191"/>
      <c r="IP8" s="191"/>
      <c r="IQ8" s="184"/>
      <c r="IR8" s="184"/>
      <c r="IS8" s="184"/>
      <c r="IT8" s="184"/>
      <c r="IU8" s="184"/>
      <c r="IV8" s="184"/>
      <c r="IW8" s="184"/>
      <c r="IX8" s="184"/>
      <c r="IY8" s="184"/>
      <c r="IZ8" s="184"/>
      <c r="JA8" s="184"/>
      <c r="JB8" s="184"/>
      <c r="JC8" s="184"/>
      <c r="JD8" s="184"/>
      <c r="JE8" s="184"/>
      <c r="JF8" s="184"/>
      <c r="JG8" s="184"/>
      <c r="JH8" s="184"/>
      <c r="JI8" s="193"/>
      <c r="JJ8" s="193"/>
      <c r="JK8" s="191"/>
      <c r="JL8" s="191"/>
      <c r="JM8" s="191"/>
      <c r="JN8" s="193"/>
      <c r="JO8" s="193"/>
      <c r="JP8" s="193"/>
      <c r="JQ8" s="193"/>
      <c r="JR8" s="193"/>
      <c r="JS8" s="184"/>
      <c r="JT8" s="184"/>
      <c r="JU8" s="184"/>
      <c r="JV8" s="184"/>
      <c r="JW8" s="184"/>
      <c r="JX8" s="165"/>
      <c r="JY8" s="165"/>
      <c r="JZ8" s="165"/>
      <c r="KA8" s="186"/>
      <c r="KB8" s="186"/>
      <c r="KC8" s="186"/>
      <c r="KD8" s="186"/>
      <c r="KE8" s="186"/>
      <c r="KF8" s="165"/>
      <c r="KG8" s="165"/>
      <c r="KH8" s="165"/>
      <c r="KI8" s="165"/>
      <c r="KJ8" s="165"/>
      <c r="KK8" s="165"/>
      <c r="KL8" s="165"/>
      <c r="KM8" s="165"/>
      <c r="KN8" s="165"/>
      <c r="KO8" s="165"/>
      <c r="KP8" s="165"/>
      <c r="KQ8" s="165"/>
      <c r="KR8" s="165"/>
      <c r="KS8" s="165"/>
      <c r="KT8" s="165"/>
      <c r="KU8" s="165"/>
      <c r="KV8" s="165"/>
      <c r="KW8" s="165"/>
      <c r="KX8" s="165"/>
      <c r="KY8" s="165"/>
      <c r="KZ8" s="165"/>
      <c r="LA8" s="165"/>
      <c r="LB8" s="155"/>
      <c r="LC8" s="155"/>
      <c r="LD8" s="155"/>
      <c r="LE8" s="155"/>
      <c r="LF8" s="155"/>
      <c r="LG8" s="155"/>
      <c r="LH8" s="155"/>
      <c r="LI8" s="155"/>
      <c r="LJ8" s="155"/>
      <c r="LK8" s="155"/>
      <c r="LL8" s="155"/>
      <c r="LM8" s="155"/>
      <c r="LN8" s="155"/>
      <c r="LO8" s="155"/>
      <c r="LP8" s="188"/>
      <c r="LQ8" s="188"/>
      <c r="LR8" s="188"/>
      <c r="LS8" s="188"/>
      <c r="LT8" s="155"/>
      <c r="LU8" s="155"/>
      <c r="LV8" s="155"/>
      <c r="LW8" s="188"/>
      <c r="LX8" s="188"/>
      <c r="LY8" s="188"/>
      <c r="LZ8" s="188"/>
      <c r="MA8" s="155"/>
      <c r="MB8" s="155"/>
      <c r="MC8" s="155"/>
      <c r="MD8" s="155"/>
      <c r="ME8" s="155"/>
      <c r="MF8" s="155"/>
      <c r="MG8" s="155"/>
      <c r="MH8" s="155"/>
    </row>
    <row r="9" spans="1:404" ht="15" customHeight="1" x14ac:dyDescent="0.25">
      <c r="A9" s="80"/>
      <c r="B9" s="41"/>
      <c r="C9" s="88"/>
      <c r="D9" s="89"/>
      <c r="E9" s="89"/>
      <c r="F9" s="89"/>
      <c r="G9" s="89"/>
      <c r="H9" s="89"/>
      <c r="I9" s="89"/>
      <c r="J9" s="89" t="s">
        <v>507</v>
      </c>
      <c r="K9" s="151"/>
      <c r="L9" s="151"/>
      <c r="M9" s="167"/>
      <c r="N9" s="167"/>
      <c r="O9" s="167"/>
      <c r="P9" s="167"/>
      <c r="Q9" s="151"/>
      <c r="R9" s="151"/>
      <c r="S9" s="151"/>
      <c r="T9" s="151"/>
      <c r="U9" s="151"/>
      <c r="V9" s="151"/>
      <c r="W9" s="167"/>
      <c r="X9" s="167"/>
      <c r="Y9" s="167"/>
      <c r="Z9" s="167"/>
      <c r="AA9" s="167"/>
      <c r="AB9" s="167"/>
      <c r="AC9" s="167"/>
      <c r="AD9" s="167"/>
      <c r="AE9" s="167"/>
      <c r="AF9" s="151"/>
      <c r="AG9" s="151"/>
      <c r="AH9" s="151"/>
      <c r="AI9" s="167"/>
      <c r="AJ9" s="167"/>
      <c r="AK9" s="167"/>
      <c r="AL9" s="167"/>
      <c r="AM9" s="167"/>
      <c r="AN9" s="151"/>
      <c r="AO9" s="151"/>
      <c r="AP9" s="151"/>
      <c r="AQ9" s="151"/>
      <c r="AR9" s="151"/>
      <c r="AS9" s="151"/>
      <c r="AT9" s="151"/>
      <c r="AU9" s="180"/>
      <c r="AV9" s="180"/>
      <c r="AW9" s="180"/>
      <c r="AX9" s="153"/>
      <c r="AY9" s="153"/>
      <c r="AZ9" s="153"/>
      <c r="BA9" s="153"/>
      <c r="BB9" s="153"/>
      <c r="BC9" s="153"/>
      <c r="BD9" s="153"/>
      <c r="BE9" s="153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3"/>
      <c r="BV9" s="153"/>
      <c r="BW9" s="153"/>
      <c r="BX9" s="153"/>
      <c r="BY9" s="153"/>
      <c r="BZ9" s="153"/>
      <c r="CA9" s="153"/>
      <c r="CB9" s="153"/>
      <c r="CC9" s="152"/>
      <c r="CD9" s="152"/>
      <c r="CE9" s="179"/>
      <c r="CF9" s="177"/>
      <c r="CG9" s="177"/>
      <c r="CH9" s="177"/>
      <c r="CI9" s="177"/>
      <c r="CJ9" s="177"/>
      <c r="CK9" s="177"/>
      <c r="CL9" s="177"/>
      <c r="CM9" s="177"/>
      <c r="CN9" s="177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63"/>
      <c r="CZ9" s="163"/>
      <c r="DA9" s="163"/>
      <c r="DB9" s="182"/>
      <c r="DC9" s="182"/>
      <c r="DD9" s="182"/>
      <c r="DE9" s="163"/>
      <c r="DF9" s="163"/>
      <c r="DG9" s="163"/>
      <c r="DH9" s="163"/>
      <c r="DI9" s="163"/>
      <c r="DJ9" s="163"/>
      <c r="DK9" s="195"/>
      <c r="DL9" s="163"/>
      <c r="DM9" s="163"/>
      <c r="DN9" s="163"/>
      <c r="DO9" s="182"/>
      <c r="DP9" s="182"/>
      <c r="DQ9" s="182"/>
      <c r="DR9" s="182"/>
      <c r="DS9" s="182"/>
      <c r="DT9" s="182"/>
      <c r="DU9" s="182"/>
      <c r="DV9" s="197"/>
      <c r="DW9" s="197"/>
      <c r="DX9" s="196"/>
      <c r="DY9" s="196"/>
      <c r="DZ9" s="196"/>
      <c r="EA9" s="196"/>
      <c r="EB9" s="197"/>
      <c r="EC9" s="160"/>
      <c r="ED9" s="160"/>
      <c r="EE9" s="197"/>
      <c r="EF9" s="197"/>
      <c r="EG9" s="160"/>
      <c r="EH9" s="160"/>
      <c r="EI9" s="197"/>
      <c r="EJ9" s="197"/>
      <c r="EK9" s="169"/>
      <c r="EL9" s="198"/>
      <c r="EM9" s="169"/>
      <c r="EN9" s="169"/>
      <c r="EO9" s="202"/>
      <c r="EP9" s="202"/>
      <c r="EQ9" s="169"/>
      <c r="ER9" s="199"/>
      <c r="ES9" s="199"/>
      <c r="ET9" s="169"/>
      <c r="EU9" s="169"/>
      <c r="EV9" s="169"/>
      <c r="EW9" s="169"/>
      <c r="EX9" s="169"/>
      <c r="EY9" s="169"/>
      <c r="EZ9" s="169"/>
      <c r="FA9" s="171"/>
      <c r="FB9" s="171"/>
      <c r="FC9" s="171"/>
      <c r="FD9" s="171"/>
      <c r="FE9" s="171"/>
      <c r="FF9" s="171"/>
      <c r="FG9" s="171"/>
      <c r="FH9" s="171"/>
      <c r="FI9" s="171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69"/>
      <c r="HC9" s="169"/>
      <c r="HD9" s="169"/>
      <c r="HE9" s="169"/>
      <c r="HF9" s="169"/>
      <c r="HG9" s="171"/>
      <c r="HH9" s="171"/>
      <c r="HI9" s="171"/>
      <c r="HJ9" s="198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71"/>
      <c r="HX9" s="171"/>
      <c r="HY9" s="171"/>
      <c r="HZ9" s="171"/>
      <c r="IA9" s="171"/>
      <c r="IB9" s="171"/>
      <c r="IC9" s="171"/>
      <c r="ID9" s="169"/>
      <c r="IE9" s="169"/>
      <c r="IF9" s="169"/>
      <c r="IG9" s="169"/>
      <c r="IH9" s="169"/>
      <c r="II9" s="169"/>
      <c r="IJ9" s="191"/>
      <c r="IK9" s="191"/>
      <c r="IL9" s="191"/>
      <c r="IM9" s="191"/>
      <c r="IN9" s="191"/>
      <c r="IO9" s="191"/>
      <c r="IP9" s="191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93"/>
      <c r="JJ9" s="193"/>
      <c r="JK9" s="191"/>
      <c r="JL9" s="191"/>
      <c r="JM9" s="191"/>
      <c r="JN9" s="193"/>
      <c r="JO9" s="193"/>
      <c r="JP9" s="193"/>
      <c r="JQ9" s="193"/>
      <c r="JR9" s="193"/>
      <c r="JS9" s="184"/>
      <c r="JT9" s="184"/>
      <c r="JU9" s="184"/>
      <c r="JV9" s="184"/>
      <c r="JW9" s="184"/>
      <c r="JX9" s="165"/>
      <c r="JY9" s="165"/>
      <c r="JZ9" s="165"/>
      <c r="KA9" s="186"/>
      <c r="KB9" s="186"/>
      <c r="KC9" s="186"/>
      <c r="KD9" s="186"/>
      <c r="KE9" s="186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55"/>
      <c r="LC9" s="155"/>
      <c r="LD9" s="155"/>
      <c r="LE9" s="155"/>
      <c r="LF9" s="155"/>
      <c r="LG9" s="155"/>
      <c r="LH9" s="155"/>
      <c r="LI9" s="155"/>
      <c r="LJ9" s="155"/>
      <c r="LK9" s="155"/>
      <c r="LL9" s="155"/>
      <c r="LM9" s="155"/>
      <c r="LN9" s="155"/>
      <c r="LO9" s="155"/>
      <c r="LP9" s="188"/>
      <c r="LQ9" s="188"/>
      <c r="LR9" s="188"/>
      <c r="LS9" s="188"/>
      <c r="LT9" s="155"/>
      <c r="LU9" s="155"/>
      <c r="LV9" s="155"/>
      <c r="LW9" s="188"/>
      <c r="LX9" s="188"/>
      <c r="LY9" s="188"/>
      <c r="LZ9" s="188"/>
      <c r="MA9" s="155"/>
      <c r="MB9" s="155"/>
      <c r="MC9" s="155"/>
      <c r="MD9" s="155"/>
      <c r="ME9" s="155"/>
      <c r="MF9" s="155"/>
      <c r="MG9" s="155"/>
      <c r="MH9" s="155"/>
    </row>
    <row r="10" spans="1:404" ht="15" customHeight="1" x14ac:dyDescent="0.25">
      <c r="A10" s="80"/>
      <c r="B10" s="90"/>
      <c r="C10" s="88"/>
      <c r="D10" s="88"/>
      <c r="E10" s="88"/>
      <c r="F10" s="91"/>
      <c r="G10" s="91"/>
      <c r="H10" s="91"/>
      <c r="I10" s="91"/>
      <c r="J10" s="92" t="s">
        <v>94</v>
      </c>
      <c r="K10" s="151"/>
      <c r="L10" s="151"/>
      <c r="M10" s="167"/>
      <c r="N10" s="167"/>
      <c r="O10" s="167"/>
      <c r="P10" s="167"/>
      <c r="Q10" s="151"/>
      <c r="R10" s="151"/>
      <c r="S10" s="151"/>
      <c r="T10" s="151"/>
      <c r="U10" s="151"/>
      <c r="V10" s="151"/>
      <c r="W10" s="167"/>
      <c r="X10" s="167"/>
      <c r="Y10" s="167"/>
      <c r="Z10" s="167"/>
      <c r="AA10" s="167"/>
      <c r="AB10" s="167"/>
      <c r="AC10" s="167"/>
      <c r="AD10" s="167"/>
      <c r="AE10" s="167"/>
      <c r="AF10" s="151"/>
      <c r="AG10" s="151"/>
      <c r="AH10" s="151"/>
      <c r="AI10" s="167"/>
      <c r="AJ10" s="167"/>
      <c r="AK10" s="167"/>
      <c r="AL10" s="167"/>
      <c r="AM10" s="167"/>
      <c r="AN10" s="151"/>
      <c r="AO10" s="151"/>
      <c r="AP10" s="151"/>
      <c r="AQ10" s="151"/>
      <c r="AR10" s="151"/>
      <c r="AS10" s="151"/>
      <c r="AT10" s="151"/>
      <c r="AU10" s="180"/>
      <c r="AV10" s="180"/>
      <c r="AW10" s="180"/>
      <c r="AX10" s="153"/>
      <c r="AY10" s="153"/>
      <c r="AZ10" s="153"/>
      <c r="BA10" s="153"/>
      <c r="BB10" s="153"/>
      <c r="BC10" s="153"/>
      <c r="BD10" s="153"/>
      <c r="BE10" s="153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3"/>
      <c r="BV10" s="153"/>
      <c r="BW10" s="153"/>
      <c r="BX10" s="153"/>
      <c r="BY10" s="153"/>
      <c r="BZ10" s="153"/>
      <c r="CA10" s="153"/>
      <c r="CB10" s="153"/>
      <c r="CC10" s="152"/>
      <c r="CD10" s="152"/>
      <c r="CE10" s="179"/>
      <c r="CF10" s="177"/>
      <c r="CG10" s="177"/>
      <c r="CH10" s="177"/>
      <c r="CI10" s="177"/>
      <c r="CJ10" s="177"/>
      <c r="CK10" s="177"/>
      <c r="CL10" s="177"/>
      <c r="CM10" s="177"/>
      <c r="CN10" s="177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63"/>
      <c r="CZ10" s="163"/>
      <c r="DA10" s="163"/>
      <c r="DB10" s="182"/>
      <c r="DC10" s="182"/>
      <c r="DD10" s="182"/>
      <c r="DE10" s="163"/>
      <c r="DF10" s="163"/>
      <c r="DG10" s="163"/>
      <c r="DH10" s="163"/>
      <c r="DI10" s="163"/>
      <c r="DJ10" s="163"/>
      <c r="DK10" s="195"/>
      <c r="DL10" s="163"/>
      <c r="DM10" s="163"/>
      <c r="DN10" s="163"/>
      <c r="DO10" s="182"/>
      <c r="DP10" s="182"/>
      <c r="DQ10" s="182"/>
      <c r="DR10" s="182"/>
      <c r="DS10" s="182"/>
      <c r="DT10" s="182"/>
      <c r="DU10" s="182"/>
      <c r="DV10" s="197"/>
      <c r="DW10" s="197"/>
      <c r="DX10" s="196"/>
      <c r="DY10" s="196"/>
      <c r="DZ10" s="196"/>
      <c r="EA10" s="196"/>
      <c r="EB10" s="197"/>
      <c r="EC10" s="160"/>
      <c r="ED10" s="160"/>
      <c r="EE10" s="197"/>
      <c r="EF10" s="197"/>
      <c r="EG10" s="160"/>
      <c r="EH10" s="160"/>
      <c r="EI10" s="197"/>
      <c r="EJ10" s="197"/>
      <c r="EK10" s="169"/>
      <c r="EL10" s="198"/>
      <c r="EM10" s="169"/>
      <c r="EN10" s="169"/>
      <c r="EO10" s="202"/>
      <c r="EP10" s="202"/>
      <c r="EQ10" s="169"/>
      <c r="ER10" s="199"/>
      <c r="ES10" s="199"/>
      <c r="ET10" s="169"/>
      <c r="EU10" s="169"/>
      <c r="EV10" s="169"/>
      <c r="EW10" s="169"/>
      <c r="EX10" s="169"/>
      <c r="EY10" s="169"/>
      <c r="EZ10" s="169"/>
      <c r="FA10" s="171"/>
      <c r="FB10" s="171"/>
      <c r="FC10" s="171"/>
      <c r="FD10" s="171"/>
      <c r="FE10" s="171"/>
      <c r="FF10" s="171"/>
      <c r="FG10" s="171"/>
      <c r="FH10" s="171"/>
      <c r="FI10" s="171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69"/>
      <c r="HC10" s="169"/>
      <c r="HD10" s="169"/>
      <c r="HE10" s="169"/>
      <c r="HF10" s="169"/>
      <c r="HG10" s="171"/>
      <c r="HH10" s="171"/>
      <c r="HI10" s="171"/>
      <c r="HJ10" s="198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71"/>
      <c r="HX10" s="171"/>
      <c r="HY10" s="171"/>
      <c r="HZ10" s="171"/>
      <c r="IA10" s="171"/>
      <c r="IB10" s="171"/>
      <c r="IC10" s="171"/>
      <c r="ID10" s="169"/>
      <c r="IE10" s="169"/>
      <c r="IF10" s="169"/>
      <c r="IG10" s="169"/>
      <c r="IH10" s="169"/>
      <c r="II10" s="169"/>
      <c r="IJ10" s="191"/>
      <c r="IK10" s="191"/>
      <c r="IL10" s="191"/>
      <c r="IM10" s="191"/>
      <c r="IN10" s="191"/>
      <c r="IO10" s="191"/>
      <c r="IP10" s="191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93"/>
      <c r="JJ10" s="193"/>
      <c r="JK10" s="191"/>
      <c r="JL10" s="191"/>
      <c r="JM10" s="191"/>
      <c r="JN10" s="193"/>
      <c r="JO10" s="193"/>
      <c r="JP10" s="193"/>
      <c r="JQ10" s="193"/>
      <c r="JR10" s="193"/>
      <c r="JS10" s="184"/>
      <c r="JT10" s="184"/>
      <c r="JU10" s="184"/>
      <c r="JV10" s="184"/>
      <c r="JW10" s="184"/>
      <c r="JX10" s="165"/>
      <c r="JY10" s="165"/>
      <c r="JZ10" s="165"/>
      <c r="KA10" s="186"/>
      <c r="KB10" s="186"/>
      <c r="KC10" s="186"/>
      <c r="KD10" s="186"/>
      <c r="KE10" s="186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55"/>
      <c r="LC10" s="155"/>
      <c r="LD10" s="155"/>
      <c r="LE10" s="155"/>
      <c r="LF10" s="155"/>
      <c r="LG10" s="155"/>
      <c r="LH10" s="155"/>
      <c r="LI10" s="155"/>
      <c r="LJ10" s="155"/>
      <c r="LK10" s="155"/>
      <c r="LL10" s="155"/>
      <c r="LM10" s="155"/>
      <c r="LN10" s="155"/>
      <c r="LO10" s="155"/>
      <c r="LP10" s="188"/>
      <c r="LQ10" s="188"/>
      <c r="LR10" s="188"/>
      <c r="LS10" s="188"/>
      <c r="LT10" s="155"/>
      <c r="LU10" s="155"/>
      <c r="LV10" s="155"/>
      <c r="LW10" s="188"/>
      <c r="LX10" s="188"/>
      <c r="LY10" s="188"/>
      <c r="LZ10" s="188"/>
      <c r="MA10" s="155"/>
      <c r="MB10" s="155"/>
      <c r="MC10" s="155"/>
      <c r="MD10" s="155"/>
      <c r="ME10" s="155"/>
      <c r="MF10" s="155"/>
      <c r="MG10" s="155"/>
      <c r="MH10" s="155"/>
    </row>
    <row r="11" spans="1:404" ht="15" customHeight="1" x14ac:dyDescent="0.25">
      <c r="A11" s="80"/>
      <c r="B11" s="41"/>
      <c r="C11" s="41"/>
      <c r="D11" s="41"/>
      <c r="E11" s="41"/>
      <c r="F11" s="41"/>
      <c r="G11" s="41"/>
      <c r="H11" s="41"/>
      <c r="I11" s="93"/>
      <c r="J11" s="93" t="s">
        <v>276</v>
      </c>
      <c r="K11" s="151"/>
      <c r="L11" s="151"/>
      <c r="M11" s="167"/>
      <c r="N11" s="167"/>
      <c r="O11" s="167"/>
      <c r="P11" s="167"/>
      <c r="Q11" s="151"/>
      <c r="R11" s="151"/>
      <c r="S11" s="151"/>
      <c r="T11" s="151"/>
      <c r="U11" s="151"/>
      <c r="V11" s="151"/>
      <c r="W11" s="167"/>
      <c r="X11" s="167"/>
      <c r="Y11" s="167"/>
      <c r="Z11" s="167"/>
      <c r="AA11" s="167"/>
      <c r="AB11" s="167"/>
      <c r="AC11" s="167"/>
      <c r="AD11" s="167"/>
      <c r="AE11" s="167"/>
      <c r="AF11" s="151"/>
      <c r="AG11" s="151"/>
      <c r="AH11" s="151"/>
      <c r="AI11" s="167"/>
      <c r="AJ11" s="167"/>
      <c r="AK11" s="167"/>
      <c r="AL11" s="167"/>
      <c r="AM11" s="167"/>
      <c r="AN11" s="151"/>
      <c r="AO11" s="151"/>
      <c r="AP11" s="151"/>
      <c r="AQ11" s="151"/>
      <c r="AR11" s="151"/>
      <c r="AS11" s="151"/>
      <c r="AT11" s="151"/>
      <c r="AU11" s="180"/>
      <c r="AV11" s="180"/>
      <c r="AW11" s="180"/>
      <c r="AX11" s="153"/>
      <c r="AY11" s="153"/>
      <c r="AZ11" s="153"/>
      <c r="BA11" s="153"/>
      <c r="BB11" s="153"/>
      <c r="BC11" s="153"/>
      <c r="BD11" s="153"/>
      <c r="BE11" s="153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3"/>
      <c r="BV11" s="153"/>
      <c r="BW11" s="153"/>
      <c r="BX11" s="153"/>
      <c r="BY11" s="153"/>
      <c r="BZ11" s="153"/>
      <c r="CA11" s="153"/>
      <c r="CB11" s="153"/>
      <c r="CC11" s="152"/>
      <c r="CD11" s="152"/>
      <c r="CE11" s="179"/>
      <c r="CF11" s="177"/>
      <c r="CG11" s="177"/>
      <c r="CH11" s="177"/>
      <c r="CI11" s="177"/>
      <c r="CJ11" s="177"/>
      <c r="CK11" s="177"/>
      <c r="CL11" s="177"/>
      <c r="CM11" s="177"/>
      <c r="CN11" s="177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63"/>
      <c r="CZ11" s="163"/>
      <c r="DA11" s="163"/>
      <c r="DB11" s="182"/>
      <c r="DC11" s="182"/>
      <c r="DD11" s="182"/>
      <c r="DE11" s="163"/>
      <c r="DF11" s="163"/>
      <c r="DG11" s="163"/>
      <c r="DH11" s="163"/>
      <c r="DI11" s="163"/>
      <c r="DJ11" s="163"/>
      <c r="DK11" s="195"/>
      <c r="DL11" s="163"/>
      <c r="DM11" s="163"/>
      <c r="DN11" s="163"/>
      <c r="DO11" s="182"/>
      <c r="DP11" s="182"/>
      <c r="DQ11" s="182"/>
      <c r="DR11" s="182"/>
      <c r="DS11" s="182"/>
      <c r="DT11" s="182"/>
      <c r="DU11" s="182"/>
      <c r="DV11" s="197"/>
      <c r="DW11" s="197"/>
      <c r="DX11" s="196"/>
      <c r="DY11" s="196"/>
      <c r="DZ11" s="196"/>
      <c r="EA11" s="196"/>
      <c r="EB11" s="197"/>
      <c r="EC11" s="160"/>
      <c r="ED11" s="160"/>
      <c r="EE11" s="197"/>
      <c r="EF11" s="197"/>
      <c r="EG11" s="160"/>
      <c r="EH11" s="160"/>
      <c r="EI11" s="197"/>
      <c r="EJ11" s="197"/>
      <c r="EK11" s="169"/>
      <c r="EL11" s="198"/>
      <c r="EM11" s="169"/>
      <c r="EN11" s="169"/>
      <c r="EO11" s="202"/>
      <c r="EP11" s="202"/>
      <c r="EQ11" s="169"/>
      <c r="ER11" s="199"/>
      <c r="ES11" s="199"/>
      <c r="ET11" s="169"/>
      <c r="EU11" s="169"/>
      <c r="EV11" s="169"/>
      <c r="EW11" s="169"/>
      <c r="EX11" s="169"/>
      <c r="EY11" s="169"/>
      <c r="EZ11" s="169"/>
      <c r="FA11" s="171"/>
      <c r="FB11" s="171"/>
      <c r="FC11" s="171"/>
      <c r="FD11" s="171"/>
      <c r="FE11" s="171"/>
      <c r="FF11" s="171"/>
      <c r="FG11" s="171"/>
      <c r="FH11" s="171"/>
      <c r="FI11" s="171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69"/>
      <c r="HC11" s="169"/>
      <c r="HD11" s="169"/>
      <c r="HE11" s="169"/>
      <c r="HF11" s="169"/>
      <c r="HG11" s="171"/>
      <c r="HH11" s="171"/>
      <c r="HI11" s="171"/>
      <c r="HJ11" s="198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71"/>
      <c r="HX11" s="171"/>
      <c r="HY11" s="171"/>
      <c r="HZ11" s="171"/>
      <c r="IA11" s="171"/>
      <c r="IB11" s="171"/>
      <c r="IC11" s="171"/>
      <c r="ID11" s="169"/>
      <c r="IE11" s="169"/>
      <c r="IF11" s="169"/>
      <c r="IG11" s="169"/>
      <c r="IH11" s="169"/>
      <c r="II11" s="169"/>
      <c r="IJ11" s="191"/>
      <c r="IK11" s="191"/>
      <c r="IL11" s="191"/>
      <c r="IM11" s="191"/>
      <c r="IN11" s="191"/>
      <c r="IO11" s="191"/>
      <c r="IP11" s="191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93"/>
      <c r="JJ11" s="193"/>
      <c r="JK11" s="191"/>
      <c r="JL11" s="191"/>
      <c r="JM11" s="191"/>
      <c r="JN11" s="193"/>
      <c r="JO11" s="193"/>
      <c r="JP11" s="193"/>
      <c r="JQ11" s="193"/>
      <c r="JR11" s="193"/>
      <c r="JS11" s="184"/>
      <c r="JT11" s="184"/>
      <c r="JU11" s="184"/>
      <c r="JV11" s="184"/>
      <c r="JW11" s="184"/>
      <c r="JX11" s="165"/>
      <c r="JY11" s="165"/>
      <c r="JZ11" s="165"/>
      <c r="KA11" s="186"/>
      <c r="KB11" s="186"/>
      <c r="KC11" s="186"/>
      <c r="KD11" s="186"/>
      <c r="KE11" s="186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55"/>
      <c r="LC11" s="155"/>
      <c r="LD11" s="155"/>
      <c r="LE11" s="155"/>
      <c r="LF11" s="155"/>
      <c r="LG11" s="155"/>
      <c r="LH11" s="155"/>
      <c r="LI11" s="155"/>
      <c r="LJ11" s="155"/>
      <c r="LK11" s="155"/>
      <c r="LL11" s="155"/>
      <c r="LM11" s="155"/>
      <c r="LN11" s="155"/>
      <c r="LO11" s="155"/>
      <c r="LP11" s="188"/>
      <c r="LQ11" s="188"/>
      <c r="LR11" s="188"/>
      <c r="LS11" s="188"/>
      <c r="LT11" s="155"/>
      <c r="LU11" s="155"/>
      <c r="LV11" s="155"/>
      <c r="LW11" s="188"/>
      <c r="LX11" s="188"/>
      <c r="LY11" s="188"/>
      <c r="LZ11" s="188"/>
      <c r="MA11" s="155"/>
      <c r="MB11" s="155"/>
      <c r="MC11" s="155"/>
      <c r="MD11" s="155"/>
      <c r="ME11" s="155"/>
      <c r="MF11" s="155"/>
      <c r="MG11" s="155"/>
      <c r="MH11" s="155"/>
    </row>
    <row r="12" spans="1:404" ht="15" customHeight="1" x14ac:dyDescent="0.25">
      <c r="A12" s="80"/>
      <c r="B12" s="94"/>
      <c r="C12" s="94"/>
      <c r="D12" s="94"/>
      <c r="E12" s="94"/>
      <c r="F12" s="94"/>
      <c r="G12" s="94"/>
      <c r="H12" s="94"/>
      <c r="I12" s="94"/>
      <c r="J12" s="95" t="s">
        <v>306</v>
      </c>
      <c r="K12" s="151"/>
      <c r="L12" s="151"/>
      <c r="M12" s="167"/>
      <c r="N12" s="167"/>
      <c r="O12" s="167"/>
      <c r="P12" s="167"/>
      <c r="Q12" s="151"/>
      <c r="R12" s="151"/>
      <c r="S12" s="151"/>
      <c r="T12" s="151"/>
      <c r="U12" s="151"/>
      <c r="V12" s="151"/>
      <c r="W12" s="167"/>
      <c r="X12" s="167"/>
      <c r="Y12" s="167"/>
      <c r="Z12" s="167"/>
      <c r="AA12" s="167"/>
      <c r="AB12" s="167"/>
      <c r="AC12" s="167"/>
      <c r="AD12" s="167"/>
      <c r="AE12" s="167"/>
      <c r="AF12" s="151"/>
      <c r="AG12" s="151"/>
      <c r="AH12" s="151"/>
      <c r="AI12" s="167"/>
      <c r="AJ12" s="167"/>
      <c r="AK12" s="167"/>
      <c r="AL12" s="167"/>
      <c r="AM12" s="167"/>
      <c r="AN12" s="151"/>
      <c r="AO12" s="151"/>
      <c r="AP12" s="151"/>
      <c r="AQ12" s="151"/>
      <c r="AR12" s="151"/>
      <c r="AS12" s="151"/>
      <c r="AT12" s="151"/>
      <c r="AU12" s="180"/>
      <c r="AV12" s="180"/>
      <c r="AW12" s="180"/>
      <c r="AX12" s="153"/>
      <c r="AY12" s="153"/>
      <c r="AZ12" s="153"/>
      <c r="BA12" s="153"/>
      <c r="BB12" s="153"/>
      <c r="BC12" s="153"/>
      <c r="BD12" s="153"/>
      <c r="BE12" s="153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3"/>
      <c r="BV12" s="153"/>
      <c r="BW12" s="153"/>
      <c r="BX12" s="153"/>
      <c r="BY12" s="153"/>
      <c r="BZ12" s="153"/>
      <c r="CA12" s="153"/>
      <c r="CB12" s="153"/>
      <c r="CC12" s="152"/>
      <c r="CD12" s="152"/>
      <c r="CE12" s="179"/>
      <c r="CF12" s="177"/>
      <c r="CG12" s="177"/>
      <c r="CH12" s="177"/>
      <c r="CI12" s="177"/>
      <c r="CJ12" s="177"/>
      <c r="CK12" s="177"/>
      <c r="CL12" s="177"/>
      <c r="CM12" s="177"/>
      <c r="CN12" s="177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63"/>
      <c r="CZ12" s="163"/>
      <c r="DA12" s="163"/>
      <c r="DB12" s="182"/>
      <c r="DC12" s="182"/>
      <c r="DD12" s="182"/>
      <c r="DE12" s="163"/>
      <c r="DF12" s="163"/>
      <c r="DG12" s="163"/>
      <c r="DH12" s="163"/>
      <c r="DI12" s="163"/>
      <c r="DJ12" s="163"/>
      <c r="DK12" s="195"/>
      <c r="DL12" s="163"/>
      <c r="DM12" s="163"/>
      <c r="DN12" s="163"/>
      <c r="DO12" s="182"/>
      <c r="DP12" s="182"/>
      <c r="DQ12" s="182"/>
      <c r="DR12" s="182"/>
      <c r="DS12" s="182"/>
      <c r="DT12" s="182"/>
      <c r="DU12" s="182"/>
      <c r="DV12" s="197"/>
      <c r="DW12" s="197"/>
      <c r="DX12" s="196"/>
      <c r="DY12" s="196"/>
      <c r="DZ12" s="196"/>
      <c r="EA12" s="196"/>
      <c r="EB12" s="197"/>
      <c r="EC12" s="160"/>
      <c r="ED12" s="160"/>
      <c r="EE12" s="197"/>
      <c r="EF12" s="197"/>
      <c r="EG12" s="160"/>
      <c r="EH12" s="160"/>
      <c r="EI12" s="197"/>
      <c r="EJ12" s="197"/>
      <c r="EK12" s="169"/>
      <c r="EL12" s="198"/>
      <c r="EM12" s="169"/>
      <c r="EN12" s="169"/>
      <c r="EO12" s="202"/>
      <c r="EP12" s="202"/>
      <c r="EQ12" s="169"/>
      <c r="ER12" s="199"/>
      <c r="ES12" s="199"/>
      <c r="ET12" s="169"/>
      <c r="EU12" s="169"/>
      <c r="EV12" s="169"/>
      <c r="EW12" s="169"/>
      <c r="EX12" s="169"/>
      <c r="EY12" s="169"/>
      <c r="EZ12" s="169"/>
      <c r="FA12" s="171"/>
      <c r="FB12" s="171"/>
      <c r="FC12" s="171"/>
      <c r="FD12" s="171"/>
      <c r="FE12" s="171"/>
      <c r="FF12" s="171"/>
      <c r="FG12" s="171"/>
      <c r="FH12" s="171"/>
      <c r="FI12" s="171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69"/>
      <c r="HC12" s="169"/>
      <c r="HD12" s="169"/>
      <c r="HE12" s="169"/>
      <c r="HF12" s="169"/>
      <c r="HG12" s="171"/>
      <c r="HH12" s="171"/>
      <c r="HI12" s="171"/>
      <c r="HJ12" s="198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71"/>
      <c r="HX12" s="171"/>
      <c r="HY12" s="171"/>
      <c r="HZ12" s="171"/>
      <c r="IA12" s="171"/>
      <c r="IB12" s="171"/>
      <c r="IC12" s="171"/>
      <c r="ID12" s="169"/>
      <c r="IE12" s="169"/>
      <c r="IF12" s="169"/>
      <c r="IG12" s="169"/>
      <c r="IH12" s="169"/>
      <c r="II12" s="169"/>
      <c r="IJ12" s="191"/>
      <c r="IK12" s="191"/>
      <c r="IL12" s="191"/>
      <c r="IM12" s="191"/>
      <c r="IN12" s="191"/>
      <c r="IO12" s="191"/>
      <c r="IP12" s="191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93"/>
      <c r="JJ12" s="193"/>
      <c r="JK12" s="191"/>
      <c r="JL12" s="191"/>
      <c r="JM12" s="191"/>
      <c r="JN12" s="193"/>
      <c r="JO12" s="193"/>
      <c r="JP12" s="193"/>
      <c r="JQ12" s="193"/>
      <c r="JR12" s="193"/>
      <c r="JS12" s="184"/>
      <c r="JT12" s="184"/>
      <c r="JU12" s="184"/>
      <c r="JV12" s="184"/>
      <c r="JW12" s="184"/>
      <c r="JX12" s="165"/>
      <c r="JY12" s="165"/>
      <c r="JZ12" s="165"/>
      <c r="KA12" s="186"/>
      <c r="KB12" s="186"/>
      <c r="KC12" s="186"/>
      <c r="KD12" s="186"/>
      <c r="KE12" s="186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55"/>
      <c r="LC12" s="155"/>
      <c r="LD12" s="155"/>
      <c r="LE12" s="155"/>
      <c r="LF12" s="155"/>
      <c r="LG12" s="155"/>
      <c r="LH12" s="155"/>
      <c r="LI12" s="155"/>
      <c r="LJ12" s="155"/>
      <c r="LK12" s="155"/>
      <c r="LL12" s="155"/>
      <c r="LM12" s="155"/>
      <c r="LN12" s="155"/>
      <c r="LO12" s="155"/>
      <c r="LP12" s="188"/>
      <c r="LQ12" s="188"/>
      <c r="LR12" s="188"/>
      <c r="LS12" s="188"/>
      <c r="LT12" s="155"/>
      <c r="LU12" s="155"/>
      <c r="LV12" s="155"/>
      <c r="LW12" s="188"/>
      <c r="LX12" s="188"/>
      <c r="LY12" s="188"/>
      <c r="LZ12" s="188"/>
      <c r="MA12" s="155"/>
      <c r="MB12" s="155"/>
      <c r="MC12" s="155"/>
      <c r="MD12" s="155"/>
      <c r="ME12" s="155"/>
      <c r="MF12" s="155"/>
      <c r="MG12" s="155"/>
      <c r="MH12" s="155"/>
    </row>
    <row r="13" spans="1:404" s="99" customFormat="1" ht="15" customHeight="1" x14ac:dyDescent="0.25">
      <c r="A13" s="96"/>
      <c r="B13" s="97"/>
      <c r="C13" s="97"/>
      <c r="D13" s="42"/>
      <c r="E13" s="42"/>
      <c r="F13" s="98"/>
      <c r="G13" s="98"/>
      <c r="H13" s="98"/>
      <c r="I13" s="98"/>
      <c r="J13" s="98" t="s">
        <v>182</v>
      </c>
      <c r="K13" s="151"/>
      <c r="L13" s="151"/>
      <c r="M13" s="167"/>
      <c r="N13" s="167"/>
      <c r="O13" s="167"/>
      <c r="P13" s="167"/>
      <c r="Q13" s="151"/>
      <c r="R13" s="151"/>
      <c r="S13" s="151"/>
      <c r="T13" s="151"/>
      <c r="U13" s="151"/>
      <c r="V13" s="151"/>
      <c r="W13" s="167"/>
      <c r="X13" s="167"/>
      <c r="Y13" s="167"/>
      <c r="Z13" s="167"/>
      <c r="AA13" s="167"/>
      <c r="AB13" s="167"/>
      <c r="AC13" s="167"/>
      <c r="AD13" s="167"/>
      <c r="AE13" s="167"/>
      <c r="AF13" s="151"/>
      <c r="AG13" s="151"/>
      <c r="AH13" s="151"/>
      <c r="AI13" s="167"/>
      <c r="AJ13" s="167"/>
      <c r="AK13" s="167"/>
      <c r="AL13" s="167"/>
      <c r="AM13" s="167"/>
      <c r="AN13" s="151"/>
      <c r="AO13" s="151"/>
      <c r="AP13" s="151"/>
      <c r="AQ13" s="151"/>
      <c r="AR13" s="151"/>
      <c r="AS13" s="151"/>
      <c r="AT13" s="151"/>
      <c r="AU13" s="180"/>
      <c r="AV13" s="180"/>
      <c r="AW13" s="180"/>
      <c r="AX13" s="153"/>
      <c r="AY13" s="153"/>
      <c r="AZ13" s="153"/>
      <c r="BA13" s="153"/>
      <c r="BB13" s="153"/>
      <c r="BC13" s="153"/>
      <c r="BD13" s="153"/>
      <c r="BE13" s="153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3"/>
      <c r="BV13" s="153"/>
      <c r="BW13" s="153"/>
      <c r="BX13" s="153"/>
      <c r="BY13" s="153"/>
      <c r="BZ13" s="153"/>
      <c r="CA13" s="153"/>
      <c r="CB13" s="153"/>
      <c r="CC13" s="152"/>
      <c r="CD13" s="152"/>
      <c r="CE13" s="179"/>
      <c r="CF13" s="177"/>
      <c r="CG13" s="177"/>
      <c r="CH13" s="177"/>
      <c r="CI13" s="177"/>
      <c r="CJ13" s="177"/>
      <c r="CK13" s="177"/>
      <c r="CL13" s="177"/>
      <c r="CM13" s="177"/>
      <c r="CN13" s="177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63"/>
      <c r="CZ13" s="163"/>
      <c r="DA13" s="163"/>
      <c r="DB13" s="182"/>
      <c r="DC13" s="182"/>
      <c r="DD13" s="182"/>
      <c r="DE13" s="163"/>
      <c r="DF13" s="163"/>
      <c r="DG13" s="163"/>
      <c r="DH13" s="163"/>
      <c r="DI13" s="163"/>
      <c r="DJ13" s="163"/>
      <c r="DK13" s="162"/>
      <c r="DL13" s="163"/>
      <c r="DM13" s="163"/>
      <c r="DN13" s="163"/>
      <c r="DO13" s="182"/>
      <c r="DP13" s="182"/>
      <c r="DQ13" s="182"/>
      <c r="DR13" s="182"/>
      <c r="DS13" s="182"/>
      <c r="DT13" s="182"/>
      <c r="DU13" s="182"/>
      <c r="DV13" s="197"/>
      <c r="DW13" s="197"/>
      <c r="DX13" s="196"/>
      <c r="DY13" s="196"/>
      <c r="DZ13" s="196"/>
      <c r="EA13" s="196"/>
      <c r="EB13" s="197"/>
      <c r="EC13" s="161"/>
      <c r="ED13" s="161"/>
      <c r="EE13" s="197"/>
      <c r="EF13" s="197"/>
      <c r="EG13" s="161"/>
      <c r="EH13" s="161"/>
      <c r="EI13" s="197"/>
      <c r="EJ13" s="197"/>
      <c r="EK13" s="169"/>
      <c r="EL13" s="168"/>
      <c r="EM13" s="169"/>
      <c r="EN13" s="169"/>
      <c r="EO13" s="203"/>
      <c r="EP13" s="203"/>
      <c r="EQ13" s="189"/>
      <c r="ER13" s="200"/>
      <c r="ES13" s="200"/>
      <c r="ET13" s="169"/>
      <c r="EU13" s="169"/>
      <c r="EV13" s="169"/>
      <c r="EW13" s="169"/>
      <c r="EX13" s="169"/>
      <c r="EY13" s="169"/>
      <c r="EZ13" s="169"/>
      <c r="FA13" s="171"/>
      <c r="FB13" s="171"/>
      <c r="FC13" s="171"/>
      <c r="FD13" s="171"/>
      <c r="FE13" s="171"/>
      <c r="FF13" s="171"/>
      <c r="FG13" s="171"/>
      <c r="FH13" s="171"/>
      <c r="FI13" s="171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69"/>
      <c r="HC13" s="169"/>
      <c r="HD13" s="169"/>
      <c r="HE13" s="169"/>
      <c r="HF13" s="169"/>
      <c r="HG13" s="171"/>
      <c r="HH13" s="171"/>
      <c r="HI13" s="171"/>
      <c r="HJ13" s="168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71"/>
      <c r="HX13" s="171"/>
      <c r="HY13" s="171"/>
      <c r="HZ13" s="171"/>
      <c r="IA13" s="171"/>
      <c r="IB13" s="171"/>
      <c r="IC13" s="171"/>
      <c r="ID13" s="169"/>
      <c r="IE13" s="169"/>
      <c r="IF13" s="169"/>
      <c r="IG13" s="169"/>
      <c r="IH13" s="169"/>
      <c r="II13" s="169"/>
      <c r="IJ13" s="192"/>
      <c r="IK13" s="192"/>
      <c r="IL13" s="192"/>
      <c r="IM13" s="192"/>
      <c r="IN13" s="192"/>
      <c r="IO13" s="192"/>
      <c r="IP13" s="192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93"/>
      <c r="JJ13" s="193"/>
      <c r="JK13" s="192"/>
      <c r="JL13" s="192"/>
      <c r="JM13" s="192"/>
      <c r="JN13" s="193"/>
      <c r="JO13" s="193"/>
      <c r="JP13" s="193"/>
      <c r="JQ13" s="193"/>
      <c r="JR13" s="193"/>
      <c r="JS13" s="184"/>
      <c r="JT13" s="184"/>
      <c r="JU13" s="184"/>
      <c r="JV13" s="184"/>
      <c r="JW13" s="184"/>
      <c r="JX13" s="165"/>
      <c r="JY13" s="165"/>
      <c r="JZ13" s="165"/>
      <c r="KA13" s="186"/>
      <c r="KB13" s="186"/>
      <c r="KC13" s="186"/>
      <c r="KD13" s="186"/>
      <c r="KE13" s="186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55"/>
      <c r="LC13" s="155"/>
      <c r="LD13" s="155"/>
      <c r="LE13" s="155"/>
      <c r="LF13" s="155"/>
      <c r="LG13" s="155"/>
      <c r="LH13" s="155"/>
      <c r="LI13" s="155"/>
      <c r="LJ13" s="155"/>
      <c r="LK13" s="155"/>
      <c r="LL13" s="155"/>
      <c r="LM13" s="155"/>
      <c r="LN13" s="155"/>
      <c r="LO13" s="155"/>
      <c r="LP13" s="188"/>
      <c r="LQ13" s="188"/>
      <c r="LR13" s="188"/>
      <c r="LS13" s="188"/>
      <c r="LT13" s="155"/>
      <c r="LU13" s="155"/>
      <c r="LV13" s="155"/>
      <c r="LW13" s="188"/>
      <c r="LX13" s="188"/>
      <c r="LY13" s="188"/>
      <c r="LZ13" s="188"/>
      <c r="MA13" s="155"/>
      <c r="MB13" s="155"/>
      <c r="MC13" s="155"/>
      <c r="MD13" s="155"/>
      <c r="ME13" s="155"/>
      <c r="MF13" s="155"/>
      <c r="MG13" s="155"/>
      <c r="MH13" s="155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</row>
    <row r="14" spans="1:404" x14ac:dyDescent="0.25">
      <c r="A14" s="101" t="s">
        <v>0</v>
      </c>
      <c r="B14" s="102"/>
      <c r="C14" s="102"/>
      <c r="D14" s="102"/>
      <c r="E14" s="102"/>
      <c r="F14" s="102"/>
      <c r="G14" s="102"/>
      <c r="H14" s="102"/>
      <c r="I14" s="102"/>
      <c r="J14" s="103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5"/>
      <c r="AO14" s="105"/>
      <c r="AP14" s="105"/>
      <c r="AQ14" s="105"/>
      <c r="AR14" s="105"/>
      <c r="AS14" s="105"/>
      <c r="AT14" s="105"/>
      <c r="AU14" s="106"/>
      <c r="AV14" s="106"/>
      <c r="AW14" s="106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7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5"/>
      <c r="DC14" s="104"/>
      <c r="DD14" s="104"/>
      <c r="DE14" s="104"/>
      <c r="DF14" s="105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5"/>
      <c r="DU14" s="104"/>
      <c r="DV14" s="104"/>
      <c r="DW14" s="104"/>
      <c r="DX14" s="104"/>
      <c r="DY14" s="105"/>
      <c r="DZ14" s="105"/>
      <c r="EA14" s="105"/>
      <c r="EB14" s="105"/>
      <c r="EC14" s="104"/>
      <c r="ED14" s="104"/>
      <c r="EE14" s="104"/>
      <c r="EF14" s="104"/>
      <c r="EG14" s="104"/>
      <c r="EH14" s="104"/>
      <c r="EI14" s="105"/>
      <c r="EJ14" s="105"/>
      <c r="EK14" s="104"/>
      <c r="EL14" s="104"/>
      <c r="EM14" s="104"/>
      <c r="EN14" s="108"/>
      <c r="EO14" s="109"/>
      <c r="EP14" s="109"/>
      <c r="EQ14" s="104"/>
      <c r="ER14" s="104"/>
      <c r="ES14" s="104"/>
      <c r="ET14" s="108"/>
      <c r="EU14" s="105"/>
      <c r="EV14" s="105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5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5"/>
      <c r="IK14" s="104"/>
      <c r="IL14" s="104"/>
      <c r="IM14" s="104"/>
      <c r="IN14" s="104"/>
      <c r="IO14" s="104"/>
      <c r="IP14" s="105"/>
      <c r="IQ14" s="105"/>
      <c r="IR14" s="104"/>
      <c r="IS14" s="104"/>
      <c r="IT14" s="104"/>
      <c r="IU14" s="105"/>
      <c r="IV14" s="105"/>
      <c r="IW14" s="105"/>
      <c r="IX14" s="105"/>
      <c r="IY14" s="104"/>
      <c r="IZ14" s="104"/>
      <c r="JA14" s="104"/>
      <c r="JB14" s="105"/>
      <c r="JC14" s="104"/>
      <c r="JD14" s="105"/>
      <c r="JE14" s="105"/>
      <c r="JF14" s="105"/>
      <c r="JG14" s="105"/>
      <c r="JH14" s="104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4"/>
      <c r="JT14" s="104"/>
      <c r="JU14" s="104"/>
      <c r="JV14" s="105"/>
      <c r="JW14" s="105"/>
      <c r="JX14" s="104"/>
      <c r="JY14" s="104"/>
      <c r="JZ14" s="104"/>
      <c r="KA14" s="104"/>
      <c r="KB14" s="104"/>
      <c r="KC14" s="104"/>
      <c r="KD14" s="104"/>
      <c r="KE14" s="104"/>
      <c r="KF14" s="104"/>
      <c r="KG14" s="104"/>
      <c r="KH14" s="104"/>
      <c r="KI14" s="104"/>
      <c r="KJ14" s="104"/>
      <c r="KK14" s="104"/>
      <c r="KL14" s="104"/>
      <c r="KM14" s="104"/>
      <c r="KN14" s="104"/>
      <c r="KO14" s="104"/>
      <c r="KP14" s="104"/>
      <c r="KQ14" s="104"/>
      <c r="KR14" s="104"/>
      <c r="KS14" s="104"/>
      <c r="KT14" s="104"/>
      <c r="KU14" s="104"/>
      <c r="KV14" s="104"/>
      <c r="KW14" s="104"/>
      <c r="KX14" s="104"/>
      <c r="KY14" s="104"/>
      <c r="KZ14" s="104"/>
      <c r="LA14" s="104"/>
      <c r="LB14" s="104"/>
      <c r="LC14" s="104"/>
      <c r="LD14" s="104"/>
      <c r="LE14" s="104"/>
      <c r="LF14" s="104"/>
      <c r="LG14" s="104"/>
      <c r="LH14" s="104"/>
      <c r="LI14" s="104"/>
      <c r="LJ14" s="104"/>
      <c r="LK14" s="104"/>
      <c r="LL14" s="104"/>
      <c r="LM14" s="104"/>
      <c r="LN14" s="104"/>
      <c r="LO14" s="104"/>
      <c r="LP14" s="104"/>
      <c r="LQ14" s="104"/>
      <c r="LR14" s="104"/>
      <c r="LS14" s="104"/>
      <c r="LT14" s="104"/>
      <c r="LU14" s="104"/>
      <c r="LV14" s="104"/>
      <c r="LW14" s="104"/>
      <c r="LX14" s="104"/>
      <c r="LY14" s="104"/>
      <c r="LZ14" s="104"/>
      <c r="MA14" s="104"/>
      <c r="MB14" s="104"/>
      <c r="MC14" s="104"/>
      <c r="MD14" s="104"/>
      <c r="ME14" s="104"/>
      <c r="MF14" s="104"/>
      <c r="MG14" s="104"/>
      <c r="MH14" s="104"/>
    </row>
    <row r="15" spans="1:404" x14ac:dyDescent="0.25">
      <c r="A15" s="110" t="s">
        <v>0</v>
      </c>
      <c r="B15" s="101" t="s">
        <v>25</v>
      </c>
      <c r="C15" s="102"/>
      <c r="D15" s="102"/>
      <c r="E15" s="102"/>
      <c r="F15" s="102"/>
      <c r="G15" s="102"/>
      <c r="H15" s="102"/>
      <c r="I15" s="102"/>
      <c r="J15" s="103"/>
      <c r="K15" s="111"/>
      <c r="L15" s="111"/>
      <c r="M15" s="112"/>
      <c r="N15" s="112"/>
      <c r="O15" s="112" t="str">
        <f>HYPERLINK("https://willkommensteamelmshorn.files.wordpress.com/2015/11/sortieranleitung_pinneberg_2015_albanisch.pdf","x")</f>
        <v>x</v>
      </c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 t="str">
        <f>HYPERLINK("http://asyl-in-moenchengladbach.de/wp-content/uploads/2015/11/100711-Flyer_alban.pdf","x")</f>
        <v>x</v>
      </c>
      <c r="AG15" s="111"/>
      <c r="AH15" s="111"/>
      <c r="AI15" s="111"/>
      <c r="AJ15" s="111"/>
      <c r="AK15" s="111"/>
      <c r="AL15" s="111"/>
      <c r="AM15" s="111"/>
      <c r="AN15" s="112"/>
      <c r="AO15" s="112"/>
      <c r="AP15" s="112"/>
      <c r="AQ15" s="112"/>
      <c r="AR15" s="112"/>
      <c r="AS15" s="112"/>
      <c r="AT15" s="112"/>
      <c r="AU15" s="113"/>
      <c r="AV15" s="114" t="str">
        <f>HYPERLINK("http://sab.landtag.sachsen.de/dokumente/landtagskurier/SAB_DeutschLernen_DinA5_WEB141115.pdf","x")</f>
        <v>x</v>
      </c>
      <c r="AW15" s="114" t="str">
        <f>HYPERLINK("http://sab.landtag.sachsen.de/dokumente/landtagskurier/SAB_PL_Lernposter_WEB091115.pdf","x")</f>
        <v>x</v>
      </c>
      <c r="AX15" s="111"/>
      <c r="AY15" s="111"/>
      <c r="AZ1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" s="112" t="str">
        <f>HYPERLINK("http://wie-kann-ich-helfen.info/WoerterbuchAnalphabet_innen_%28c%29_Dagmar_Schmeelcke.pdf","x")</f>
        <v>x</v>
      </c>
      <c r="BB15" s="111"/>
      <c r="BC15" s="111"/>
      <c r="BD15" s="111"/>
      <c r="BE15" s="111"/>
      <c r="BF15" s="111"/>
      <c r="BG15" s="111"/>
      <c r="BH15" s="112" t="str">
        <f>HYPERLINK("https://www.advanced-online.eu/downloads/RefugeePhrasebookCards_German-Albanian.pdf","x")</f>
        <v>x</v>
      </c>
      <c r="BI15" s="111"/>
      <c r="BJ15" s="111"/>
      <c r="BK15" s="112" t="str">
        <f>HYPERLINK("http://www.bundessprachenamt.de/deutsch/wir_ueber_uns/nachrichten/2015/20151103/Verständigungshilfe_Albanisch_26_11_2015.pdf","x")</f>
        <v>x</v>
      </c>
      <c r="BL15" s="112" t="str">
        <f t="shared" ref="BL15:BL20" si="0">HYPERLINK("http://www.frnrw.de/images/Aus_den_Initiativen/Ehrenamtler/2015/Dictionary_x10_print-2.pdf","x")</f>
        <v>x</v>
      </c>
      <c r="BM15" s="111"/>
      <c r="BN15" s="111"/>
      <c r="BO15" s="111"/>
      <c r="BP15" s="111"/>
      <c r="BQ15" s="111"/>
      <c r="BR15" s="112" t="str">
        <f>HYPERLINK("http://www.goethe.de/lrn/prj/wnd/deu/lti/deindex.htm#13322010","x")</f>
        <v>x</v>
      </c>
      <c r="BS15" s="112"/>
      <c r="BT15" s="111"/>
      <c r="BU15" s="112" t="str">
        <f>HYPERLINK("https://s3-eu-west-1.amazonaws.com/lingolia/download/lingolia_daf.pdf","x")</f>
        <v>x</v>
      </c>
      <c r="BV15" s="112" t="str">
        <f>HYPERLINK("http://www.welcomegrooves.de/wp-content/uploads/2015/10/welcomegrooves_DE-ALBANISCH.pdf","x")</f>
        <v>x</v>
      </c>
      <c r="BW15" s="112"/>
      <c r="BX15" s="112"/>
      <c r="BY15" s="112" t="str">
        <f>HYPERLINK("http://fluechtlingshilfe-nettetal.de/ausbildung/video-sprachkurse-deutsch-fuer-fluechtlinge/video-sprachkurs-albanisch-deutsch/","x")</f>
        <v>x</v>
      </c>
      <c r="BZ15" s="112" t="str">
        <f>HYPERLINK("http://www.hueber.de/shared/uebungen/schritte-plus","x")</f>
        <v>x</v>
      </c>
      <c r="CA15" s="112" t="str">
        <f>HYPERLINK("https://www.hueber.de/shared/uebungen/menschen-hier/ab/a1-1/menu.html","x")</f>
        <v>x</v>
      </c>
      <c r="CB15" s="112" t="str">
        <f>HYPERLINK("http://www.goethe-verlag.com/DE/","x")</f>
        <v>x</v>
      </c>
      <c r="CC15" s="112"/>
      <c r="CD15" s="112"/>
      <c r="CE15" s="111"/>
      <c r="CF15" s="111"/>
      <c r="CG15" s="111"/>
      <c r="CH15" s="111"/>
      <c r="CI15" s="111"/>
      <c r="CJ15" s="112" t="str">
        <f>HYPERLINK("http://www.e-migrantinnen.de/index.php?de_wichtige-links","x")</f>
        <v>x</v>
      </c>
      <c r="CK15" s="112"/>
      <c r="CL15" s="112"/>
      <c r="CM15" s="112"/>
      <c r="CN15" s="112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2"/>
      <c r="CZ15" s="112" t="str">
        <f>HYPERLINK("http://sichere-orte-schaffen.de/wp-content/uploads/Minibrosch_Fluechtlinge_multilang.pdf","x")</f>
        <v>x</v>
      </c>
      <c r="DA15" s="112"/>
      <c r="DB15" s="115"/>
      <c r="DC15" s="112"/>
      <c r="DD15" s="112"/>
      <c r="DE15" s="112" t="str">
        <f>HYPERLINK("http://fi-lohmar-siegburg.de/data/documents/130-37_Inklusion_im_Anfangsunterricht_-_Poster_mit_Situationsbildern.pdf","x")</f>
        <v>x</v>
      </c>
      <c r="DF15" s="115" t="str">
        <f>HYPERLINK("http://s3-eu-west-1.amazonaws.com/lingolia/calendar/2016/lingolia_2016_de.pdf","x")</f>
        <v>x</v>
      </c>
      <c r="DG15" s="112" t="str">
        <f>HYPERLINK("http://www.bibliomedia.ch/de/angebote/img/Wimmelbild.jpg","x")</f>
        <v>x</v>
      </c>
      <c r="DH15" s="112" t="str">
        <f>HYPERLINK("http://www.bibliomedia.ch/de/angebote/dokumente/Wimmelbild_Fehler.jpg","x")</f>
        <v>x</v>
      </c>
      <c r="DI15" s="112" t="str">
        <f>HYPERLINK("http://www.bibliomedia.ch/de/angebote/dokumente/Glossar_albanisch.pdf","x")</f>
        <v>x</v>
      </c>
      <c r="DJ15" s="112"/>
      <c r="DK15" s="112"/>
      <c r="DL15" s="112"/>
      <c r="DM15" s="112"/>
      <c r="DN15" s="112"/>
      <c r="DO15" s="111"/>
      <c r="DP15" s="111"/>
      <c r="DQ15" s="111"/>
      <c r="DR15" s="112" t="str">
        <f>HYPERLINK("http://bildung.koeln.de/materialbibliothek/download.php?idx=00d90bf2e613ea68bb3a6eb10941e749","x")</f>
        <v>x</v>
      </c>
      <c r="DS15" s="112" t="str">
        <f>HYPERLINK("http://bildung.koeln.de/materialbibliothek/download.php?idx=7fe9bcc33373e31f48b8dc613c66ad26","x")</f>
        <v>x</v>
      </c>
      <c r="DT15" s="112"/>
      <c r="DU15" s="111"/>
      <c r="DV15" s="111"/>
      <c r="DW15" s="111"/>
      <c r="DX15" s="111"/>
      <c r="DY15" s="111"/>
      <c r="DZ15" s="111"/>
      <c r="EA15" s="112"/>
      <c r="EB15" s="111"/>
      <c r="EC15" s="111"/>
      <c r="ED15" s="111"/>
      <c r="EE15" s="111"/>
      <c r="EF15" s="111"/>
      <c r="EG15" s="111"/>
      <c r="EH15" s="111"/>
      <c r="EI15" s="112"/>
      <c r="EJ15" s="112"/>
      <c r="EK15" s="111"/>
      <c r="EL15" s="112" t="str">
        <f>HYPERLINK("http://www.kvs-sachsen.de/fileadmin/img/Mitglieder/Asylbewerber/Allg-Informationen/Anlage_1_Albanisch_LEK.pdf","x")</f>
        <v>x</v>
      </c>
      <c r="EM15" s="111"/>
      <c r="EN15" s="116"/>
      <c r="EO15" s="117" t="str">
        <f>HYPERLINK("http://www.medi-bild.de/pdf/anamnese/Welche_Sprache.pdf","x")</f>
        <v>x</v>
      </c>
      <c r="EP15" s="118"/>
      <c r="EQ15" s="112" t="str">
        <f>HYPERLINK("http://www.kvs-sachsen.de/fileadmin/img/Mitglieder/Asylbewerber/Allg-Informationen/Anlagen_2-1_2-2_Albanisch_LEK.pdf","x")</f>
        <v>x</v>
      </c>
      <c r="ER15" s="112"/>
      <c r="ES15" s="112"/>
      <c r="ET15" s="116"/>
      <c r="EU15" s="112" t="str">
        <f t="shared" ref="EU15:EU21" si="1">HYPERLINK("http://www.adler-apotheke-hh.de/fileadmin/user_upload/PDF-Dateien/Dosierzettel_mehrsprachig_AUF_0_.pdf","x")</f>
        <v>x</v>
      </c>
      <c r="EV15" s="112" t="str">
        <f>HYPERLINK("http://www.lak-rlp.de/fileadmin/redakteure/pdf/download/Piktogramme_Dosieretiketten_AoG.pdf","x")</f>
        <v>x</v>
      </c>
      <c r="EW15" s="111"/>
      <c r="EX15" s="111"/>
      <c r="EY15" s="111"/>
      <c r="EZ15" s="111"/>
      <c r="FA15" s="111"/>
      <c r="FB15" s="111"/>
      <c r="FC15" s="112" t="str">
        <f>HYPERLINK("http://mige.ix-tech.de/index.php?id=241","x")</f>
        <v>x</v>
      </c>
      <c r="FD15" s="112" t="str">
        <f>HYPERLINK("http://sghanstedt.elbnetz.com/ueber-uns/","x")</f>
        <v>x</v>
      </c>
      <c r="FE15" s="112" t="str">
        <f>HYPERLINK("http://www.fuhlenhagen.com/pdf_dateien/uebertzungshilfe_aerzte_mehrsprachig.pdf","x")</f>
        <v>x</v>
      </c>
      <c r="FF15" s="112" t="str">
        <f>HYPERLINK("http://www.tipdoc.de/grafik/asyl/Gesundheitsheft_Asyl.pdf","x")</f>
        <v>x</v>
      </c>
      <c r="FG15" s="111"/>
      <c r="FH15" s="111"/>
      <c r="FI15" s="112"/>
      <c r="FJ15" s="112" t="str">
        <f>HYPERLINK("http://www.rki.de/DE/Content/Infekt/Impfen/Materialien/Downloads-Impfkalender/Impfkalender_Albanisch.pdf?__blob=publicationFile","x")</f>
        <v>x</v>
      </c>
      <c r="FK15" s="112" t="str">
        <f>HYPERLINK("http://www.ethno-medizinisches-zentrum.de/images/PDF-Files/impfwegweiser_albanisch_2013_online.pdf","x")</f>
        <v>x</v>
      </c>
      <c r="FL15" s="112"/>
      <c r="FM15" s="112" t="str">
        <f>HYPERLINK("http://www.rki.de/DE/Content/Infekt/Impfen/Materialien/Glossar-Downloads/glossar-de-albanisch.pdf?__blob=publicationFile","x")</f>
        <v>x</v>
      </c>
      <c r="FN15" s="112"/>
      <c r="FO15" s="112" t="str">
        <f>HYPERLINK("http://www.rki.de/DE/Content/Infekt/Impfen/Materialien/Downloads-MMR/MMR-Impfinfo-albanisch.pdf?__blob=publicationFile","x")</f>
        <v>x</v>
      </c>
      <c r="FP15" s="111"/>
      <c r="FQ15" s="112" t="str">
        <f>HYPERLINK("http://www.rki.de/DE/Content/Infekt/Impfen/Materialien/Downloads_HepA/Aufklaerung_HAV-Impfung_albanisch.pdf?__blob=publicationFile","x")</f>
        <v>x</v>
      </c>
      <c r="FR15" s="112" t="str">
        <f>HYPERLINK("http://www.rki.de/DE/Content/Infekt/Impfen/Materialien/Downloads_Pneumokokken/Aufklaerung_Pneumo-Impfung_Albanisch.pdf?__blob=publicationFile","x")</f>
        <v>x</v>
      </c>
      <c r="FS15" s="112" t="str">
        <f>HYPERLINK("http://www.rki.de/DE/Content/Infekt/Impfen/Materialien/Downloads-DTaPIPVHibHepB/DTaPIPVHibHepB_albanisch.pdf?__blob=publicationFile","x")</f>
        <v>x</v>
      </c>
      <c r="FT15" s="112" t="str">
        <f>HYPERLINK("http://www.rki.de/DE/Content/Infekt/Impfen/Materialien/Downloads-Varizellen/Varizellen-Impfinfo-albanisch.pdf;jsessionid=65B697F4EE7EDA8A1ED9E2C4CD6C74EC.2_cid363?__blob=publicationFile","x")</f>
        <v>x</v>
      </c>
      <c r="FU15" s="112" t="str">
        <f>HYPERLINK("http://www.rki.de/DE/Content/Infekt/Impfen/Materialien/Downloads-Tdap-IPV/Tdap-IPV-albanisch.pdf?__blob=publicationFile","x")</f>
        <v>x</v>
      </c>
      <c r="FV15" s="112" t="str">
        <f>HYPERLINK("http://www.rki.de/DE/Content/Infekt/Impfen/Materialien/Downloads-Influenza_nasal/Influenza_nasal-albanisch.pdf?__blob=publicationFile","x")</f>
        <v>x</v>
      </c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2" t="str">
        <f>HYPERLINK("http://www.rki.de/DE/Content/Infekt/Impfen/Materialien/Downloads-Influenza/Influenza-albanisch.pdf?__blob=publicationFile","x")</f>
        <v>x</v>
      </c>
      <c r="GM15" s="111"/>
      <c r="GN15" s="111"/>
      <c r="GO15" s="112" t="str">
        <f>HYPERLINK("http://www.tipdoc.de/grafik/pdf/kopflaeuse/Kopflaeuse_ALBAN.pdf","x")</f>
        <v>x</v>
      </c>
      <c r="GP15" s="112"/>
      <c r="GQ15" s="112" t="str">
        <f>HYPERLINK("http://www.tipdoc.com/bus/pdf/kraetze/tipdoc_Scabies_ALBAN.pdf","x")</f>
        <v>x</v>
      </c>
      <c r="GR15" s="112" t="str">
        <f>HYPERLINK("http://www.tipdoc.com/bus/pdf/MagenDarmHaende/MagenDarmHaende_ALBAN.pdf","x")</f>
        <v>x</v>
      </c>
      <c r="GS15" s="111"/>
      <c r="GT15" s="111"/>
      <c r="GU15" s="111"/>
      <c r="GV15" s="111"/>
      <c r="GW15" s="111"/>
      <c r="GX15" s="111"/>
      <c r="GY15" s="111"/>
      <c r="GZ15" s="111"/>
      <c r="HA15" s="111"/>
      <c r="HB15" s="112" t="str">
        <f>HYPERLINK("https://www.zahnaerzte-wl.de/images/_PDF-suche/KZV_ZÄK/piktogrammheft.pdf","x")</f>
        <v>x</v>
      </c>
      <c r="HC15" s="112" t="str">
        <f>HYPERLINK("https://www.zahnaerzte-wl.de/images/_PDF-suche/KZV_ZÄK/ENDSTAND_Ankreuzbogen_Ich_verstehe.pdf","x")</f>
        <v>x</v>
      </c>
      <c r="HD15" s="112" t="str">
        <f>HYPERLINK("https://www.zahnaerzte-wl.de/images/_PDF-suche/KZV_ZÄK/Anschreiben_albanisch.pdf","x")</f>
        <v>x</v>
      </c>
      <c r="HE15" s="112" t="str">
        <f>HYPERLINK("https://www.zahnaerzte-wl.de/images/_PDF-suche/KZV_ZÄK/Fragebogen_albanisch.pdf","x")</f>
        <v>x</v>
      </c>
      <c r="HF15" s="112" t="str">
        <f>HYPERLINK("https://www.zahnaerzte-wl.de/images/_PDF-suche/KZV_ZÄK/Fragebogen_albanisch.pdf","x")</f>
        <v>x</v>
      </c>
      <c r="HG15" s="112"/>
      <c r="HH15" s="112"/>
      <c r="HI15" s="112"/>
      <c r="HJ15" s="112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2" t="str">
        <f>HYPERLINK("http://www.selfhelpfortrauma.org/","x")</f>
        <v>x</v>
      </c>
      <c r="HY15" s="112" t="str">
        <f>HYPERLINK("http://peacefulheart.se/wp-content/uploads/2014/12/Resolving-Yesterday-20141201-Self-Tapping.pdf","x")</f>
        <v>x</v>
      </c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2"/>
      <c r="IK15" s="111"/>
      <c r="IL15" s="111"/>
      <c r="IM15" s="111"/>
      <c r="IN15" s="111"/>
      <c r="IO15" s="111"/>
      <c r="IP15" s="112"/>
      <c r="IQ15" s="112"/>
      <c r="IR15" s="111"/>
      <c r="IS15" s="111"/>
      <c r="IT15" s="111"/>
      <c r="IU15" s="112" t="str">
        <f>HYPERLINK("http://www.asyl.net/fileadmin/user_upload/infoblatt_anhoerung/Infoblatt_2015_alb_fin.pdf","x")</f>
        <v>x</v>
      </c>
      <c r="IV15" s="112"/>
      <c r="IW15" s="112"/>
      <c r="IX15" s="112" t="str">
        <f>HYPERLINK("http://www.bamf.de/SharedDocs/Anlagen/DE/Publikationen/Broschueren/broschuere-eat-a4-sq-albanisch.pdf?__blob=publicationFile","x")</f>
        <v>x</v>
      </c>
      <c r="IY15" s="111"/>
      <c r="IZ15" s="111"/>
      <c r="JA15" s="111"/>
      <c r="JB15" s="112" t="str">
        <f>HYPERLINK("http://www.bamf.de/SharedDocs/Anlagen/DE/Publikationen/Flyer/20140110_ura2-kinderprojekt_alb.pdf?__blob=publicationFile","x")</f>
        <v>x</v>
      </c>
      <c r="JC15" s="111"/>
      <c r="JD15" s="112"/>
      <c r="JE15" s="112"/>
      <c r="JF15" s="111"/>
      <c r="JG15" s="111"/>
      <c r="JH15" s="111"/>
      <c r="JI15" s="112"/>
      <c r="JJ15" s="112"/>
      <c r="JK15" s="112"/>
      <c r="JL15" s="112"/>
      <c r="JM15" s="112"/>
      <c r="JN15" s="112"/>
      <c r="JO15" s="112"/>
      <c r="JP15" s="112"/>
      <c r="JQ15" s="112" t="str">
        <f>HYPERLINK("http://www.ibla-germany.de/merkblaetter.php","x")</f>
        <v>x</v>
      </c>
      <c r="JR15" s="112"/>
      <c r="JS15" s="111"/>
      <c r="JT15" s="111"/>
      <c r="JU15" s="111"/>
      <c r="JV15" s="112"/>
      <c r="JW15" s="112"/>
      <c r="JX15" s="112"/>
      <c r="JY15" s="112"/>
      <c r="JZ15" s="112"/>
      <c r="KA15" s="112" t="str">
        <f>HYPERLINK("http://www.refugeeguide.de/dl/RefugeeGuide_al_929.pdf","x")</f>
        <v>x</v>
      </c>
      <c r="KB15" s="111"/>
      <c r="KC15" s="111"/>
      <c r="KD15" s="112" t="str">
        <f>HYPERLINK("http://www.frauenrechte.de/online/images/downloads/allgemein/TDF_Flyer_Women_Men.pdf","x")</f>
        <v>x</v>
      </c>
      <c r="KE15" s="111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</row>
    <row r="16" spans="1:404" x14ac:dyDescent="0.25">
      <c r="A16" s="110" t="s">
        <v>0</v>
      </c>
      <c r="B16" s="101" t="s">
        <v>47</v>
      </c>
      <c r="C16" s="102"/>
      <c r="D16" s="102"/>
      <c r="E16" s="102"/>
      <c r="F16" s="102"/>
      <c r="G16" s="102"/>
      <c r="H16" s="102"/>
      <c r="I16" s="102"/>
      <c r="J16" s="103"/>
      <c r="K16" s="111"/>
      <c r="L16" s="111"/>
      <c r="M16" s="111"/>
      <c r="N16" s="111"/>
      <c r="O16" s="112" t="str">
        <f t="shared" ref="O16:O21" si="2">HYPERLINK("https://willkommensteamelmshorn.files.wordpress.com/2015/11/sortieranleitung_pinneberg_2015_albanisch.pdf","x")</f>
        <v>x</v>
      </c>
      <c r="P16" s="111"/>
      <c r="Q16" s="111"/>
      <c r="R16" s="111"/>
      <c r="S16" s="111"/>
      <c r="T16" s="111"/>
      <c r="U16" s="111"/>
      <c r="V16" s="112"/>
      <c r="W16" s="111"/>
      <c r="X16" s="112"/>
      <c r="Y16" s="112"/>
      <c r="Z16" s="112"/>
      <c r="AA16" s="112"/>
      <c r="AB16" s="112"/>
      <c r="AC16" s="112"/>
      <c r="AD16" s="112"/>
      <c r="AE16" s="112"/>
      <c r="AF16" s="112" t="str">
        <f t="shared" ref="AF16:AF21" si="3">HYPERLINK("http://asyl-in-moenchengladbach.de/wp-content/uploads/2015/11/100711-Flyer_alban.pdf","x")</f>
        <v>x</v>
      </c>
      <c r="AG16" s="111"/>
      <c r="AH16" s="111"/>
      <c r="AI16" s="111"/>
      <c r="AJ16" s="111"/>
      <c r="AK16" s="111"/>
      <c r="AL16" s="111"/>
      <c r="AM16" s="111"/>
      <c r="AN16" s="112"/>
      <c r="AO16" s="112"/>
      <c r="AP16" s="112"/>
      <c r="AQ16" s="112"/>
      <c r="AR16" s="112"/>
      <c r="AS16" s="112"/>
      <c r="AT16" s="112"/>
      <c r="AU16" s="113"/>
      <c r="AV16" s="114" t="str">
        <f t="shared" ref="AV16:AV21" si="4">HYPERLINK("http://sab.landtag.sachsen.de/dokumente/landtagskurier/SAB_DeutschLernen_DinA5_WEB141115.pdf","x")</f>
        <v>x</v>
      </c>
      <c r="AW16" s="114" t="str">
        <f t="shared" ref="AW16:AW21" si="5">HYPERLINK("http://sab.landtag.sachsen.de/dokumente/landtagskurier/SAB_PL_Lernposter_WEB091115.pdf","x")</f>
        <v>x</v>
      </c>
      <c r="AX16" s="111"/>
      <c r="AY16" s="111"/>
      <c r="AZ16" s="112" t="str">
        <f t="shared" ref="AZ16:AZ21" si="6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" s="112" t="str">
        <f t="shared" ref="BA16:BA21" si="7">HYPERLINK("http://wie-kann-ich-helfen.info/WoerterbuchAnalphabet_innen_%28c%29_Dagmar_Schmeelcke.pdf","x")</f>
        <v>x</v>
      </c>
      <c r="BB16" s="111"/>
      <c r="BC16" s="111"/>
      <c r="BD16" s="111"/>
      <c r="BE16" s="111"/>
      <c r="BF16" s="111"/>
      <c r="BG16" s="111"/>
      <c r="BH16" s="112" t="str">
        <f t="shared" ref="BH16:BH21" si="8">HYPERLINK("https://www.advanced-online.eu/downloads/RefugeePhrasebookCards_German-Albanian.pdf","x")</f>
        <v>x</v>
      </c>
      <c r="BI16" s="111"/>
      <c r="BJ16" s="111"/>
      <c r="BK16" s="112" t="str">
        <f t="shared" ref="BK16:BK21" si="9">HYPERLINK("http://www.bundessprachenamt.de/deutsch/wir_ueber_uns/nachrichten/2015/20151103/Verständigungshilfe_Albanisch_26_11_2015.pdf","x")</f>
        <v>x</v>
      </c>
      <c r="BL16" s="112" t="str">
        <f t="shared" si="0"/>
        <v>x</v>
      </c>
      <c r="BM16" s="111"/>
      <c r="BN16" s="111"/>
      <c r="BO16" s="111"/>
      <c r="BP16" s="111"/>
      <c r="BQ16" s="111"/>
      <c r="BR16" s="112" t="str">
        <f t="shared" ref="BR16:BR21" si="10">HYPERLINK("http://www.goethe.de/lrn/prj/wnd/deu/lti/deindex.htm#13322010","x")</f>
        <v>x</v>
      </c>
      <c r="BS16" s="112"/>
      <c r="BT16" s="111"/>
      <c r="BU16" s="112" t="str">
        <f t="shared" ref="BU16:BU21" si="11">HYPERLINK("https://s3-eu-west-1.amazonaws.com/lingolia/download/lingolia_daf.pdf","x")</f>
        <v>x</v>
      </c>
      <c r="BV16" s="112" t="str">
        <f t="shared" ref="BV16:BV21" si="12">HYPERLINK("http://www.welcomegrooves.de/wp-content/uploads/2015/10/welcomegrooves_DE-ALBANISCH.pdf","x")</f>
        <v>x</v>
      </c>
      <c r="BW16" s="112"/>
      <c r="BX16" s="112"/>
      <c r="BY16" s="112" t="str">
        <f t="shared" ref="BY16:BY21" si="13">HYPERLINK("http://fluechtlingshilfe-nettetal.de/ausbildung/video-sprachkurse-deutsch-fuer-fluechtlinge/video-sprachkurs-albanisch-deutsch/","x")</f>
        <v>x</v>
      </c>
      <c r="BZ16" s="112" t="str">
        <f t="shared" ref="BZ16:BZ21" si="14">HYPERLINK("http://www.hueber.de/shared/uebungen/schritte-plus","x")</f>
        <v>x</v>
      </c>
      <c r="CA16" s="112" t="str">
        <f t="shared" ref="CA16:CA21" si="15">HYPERLINK("https://www.hueber.de/shared/uebungen/menschen-hier/ab/a1-1/menu.html","x")</f>
        <v>x</v>
      </c>
      <c r="CB16" s="112" t="str">
        <f t="shared" ref="CB16:CB21" si="16">HYPERLINK("http://www.goethe-verlag.com/DE/","x")</f>
        <v>x</v>
      </c>
      <c r="CC16" s="112"/>
      <c r="CD16" s="112"/>
      <c r="CE16" s="111"/>
      <c r="CF16" s="111"/>
      <c r="CG16" s="111"/>
      <c r="CH16" s="111"/>
      <c r="CI16" s="111"/>
      <c r="CJ16" s="112" t="str">
        <f t="shared" ref="CJ16:CJ21" si="17">HYPERLINK("http://www.e-migrantinnen.de/index.php?de_wichtige-links","x")</f>
        <v>x</v>
      </c>
      <c r="CK16" s="112"/>
      <c r="CL16" s="112"/>
      <c r="CM16" s="112"/>
      <c r="CN16" s="112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2"/>
      <c r="CZ16" s="112" t="str">
        <f t="shared" ref="CZ16:CZ21" si="18">HYPERLINK("http://sichere-orte-schaffen.de/wp-content/uploads/Minibrosch_Fluechtlinge_multilang.pdf","x")</f>
        <v>x</v>
      </c>
      <c r="DA16" s="112"/>
      <c r="DB16" s="115"/>
      <c r="DC16" s="112"/>
      <c r="DD16" s="112"/>
      <c r="DE16" s="112" t="str">
        <f t="shared" ref="DE16:DE21" si="19">HYPERLINK("http://fi-lohmar-siegburg.de/data/documents/130-37_Inklusion_im_Anfangsunterricht_-_Poster_mit_Situationsbildern.pdf","x")</f>
        <v>x</v>
      </c>
      <c r="DF16" s="115" t="str">
        <f t="shared" ref="DF16:DF21" si="20">HYPERLINK("http://s3-eu-west-1.amazonaws.com/lingolia/calendar/2016/lingolia_2016_de.pdf","x")</f>
        <v>x</v>
      </c>
      <c r="DG16" s="112" t="str">
        <f t="shared" ref="DG16:DG21" si="21">HYPERLINK("http://www.bibliomedia.ch/de/angebote/img/Wimmelbild.jpg","x")</f>
        <v>x</v>
      </c>
      <c r="DH16" s="112" t="str">
        <f t="shared" ref="DH16:DH21" si="22">HYPERLINK("http://www.bibliomedia.ch/de/angebote/dokumente/Wimmelbild_Fehler.jpg","x")</f>
        <v>x</v>
      </c>
      <c r="DI16" s="112" t="str">
        <f t="shared" ref="DI16:DI21" si="23">HYPERLINK("http://www.bibliomedia.ch/de/angebote/dokumente/Glossar_albanisch.pdf","x")</f>
        <v>x</v>
      </c>
      <c r="DJ16" s="112"/>
      <c r="DK16" s="112"/>
      <c r="DL16" s="112"/>
      <c r="DM16" s="112"/>
      <c r="DN16" s="112"/>
      <c r="DO16" s="111"/>
      <c r="DP16" s="111"/>
      <c r="DQ16" s="111"/>
      <c r="DR16" s="112" t="str">
        <f t="shared" ref="DR16:DR21" si="24">HYPERLINK("http://bildung.koeln.de/materialbibliothek/download.php?idx=00d90bf2e613ea68bb3a6eb10941e749","x")</f>
        <v>x</v>
      </c>
      <c r="DS16" s="112" t="str">
        <f t="shared" ref="DS16:DS21" si="25">HYPERLINK("http://bildung.koeln.de/materialbibliothek/download.php?idx=7fe9bcc33373e31f48b8dc613c66ad26","x")</f>
        <v>x</v>
      </c>
      <c r="DT16" s="112"/>
      <c r="DU16" s="112"/>
      <c r="DV16" s="111"/>
      <c r="DW16" s="111"/>
      <c r="DX16" s="111"/>
      <c r="DY16" s="111"/>
      <c r="DZ16" s="111"/>
      <c r="EA16" s="112"/>
      <c r="EB16" s="111"/>
      <c r="EC16" s="111"/>
      <c r="ED16" s="111"/>
      <c r="EE16" s="111"/>
      <c r="EF16" s="111"/>
      <c r="EG16" s="111"/>
      <c r="EH16" s="111"/>
      <c r="EI16" s="112"/>
      <c r="EJ16" s="112"/>
      <c r="EK16" s="111"/>
      <c r="EL16" s="112" t="str">
        <f t="shared" ref="EL16:EL21" si="26">HYPERLINK("http://www.kvs-sachsen.de/fileadmin/img/Mitglieder/Asylbewerber/Allg-Informationen/Anlage_1_Albanisch_LEK.pdf","x")</f>
        <v>x</v>
      </c>
      <c r="EM16" s="111"/>
      <c r="EN16" s="111"/>
      <c r="EO16" s="117" t="str">
        <f t="shared" ref="EO16:EO21" si="27">HYPERLINK("http://www.medi-bild.de/pdf/anamnese/Welche_Sprache.pdf","x")</f>
        <v>x</v>
      </c>
      <c r="EP16" s="118"/>
      <c r="EQ16" s="112" t="str">
        <f t="shared" ref="EQ16:EQ21" si="28">HYPERLINK("http://www.kvs-sachsen.de/fileadmin/img/Mitglieder/Asylbewerber/Allg-Informationen/Anlagen_2-1_2-2_Albanisch_LEK.pdf","x")</f>
        <v>x</v>
      </c>
      <c r="ER16" s="112"/>
      <c r="ES16" s="112"/>
      <c r="ET16" s="111"/>
      <c r="EU16" s="112" t="str">
        <f t="shared" si="1"/>
        <v>x</v>
      </c>
      <c r="EV16" s="112" t="str">
        <f t="shared" ref="EV16:EV21" si="29">HYPERLINK("http://www.lak-rlp.de/fileadmin/redakteure/pdf/download/Piktogramme_Dosieretiketten_AoG.pdf","x")</f>
        <v>x</v>
      </c>
      <c r="EW16" s="111"/>
      <c r="EX16" s="111"/>
      <c r="EY16" s="111"/>
      <c r="EZ16" s="111"/>
      <c r="FA16" s="111"/>
      <c r="FB16" s="111"/>
      <c r="FC16" s="112" t="str">
        <f t="shared" ref="FC16:FC21" si="30">HYPERLINK("http://mige.ix-tech.de/index.php?id=241","x")</f>
        <v>x</v>
      </c>
      <c r="FD16" s="112" t="str">
        <f t="shared" ref="FD16:FD21" si="31">HYPERLINK("http://sghanstedt.elbnetz.com/ueber-uns/","x")</f>
        <v>x</v>
      </c>
      <c r="FE16" s="112" t="str">
        <f t="shared" ref="FE16:FE21" si="32">HYPERLINK("http://www.fuhlenhagen.com/pdf_dateien/uebertzungshilfe_aerzte_mehrsprachig.pdf","x")</f>
        <v>x</v>
      </c>
      <c r="FF16" s="112" t="str">
        <f t="shared" ref="FF16:FF21" si="33">HYPERLINK("http://www.tipdoc.de/grafik/asyl/Gesundheitsheft_Asyl.pdf","x")</f>
        <v>x</v>
      </c>
      <c r="FG16" s="111"/>
      <c r="FH16" s="111"/>
      <c r="FI16" s="112"/>
      <c r="FJ16" s="112" t="str">
        <f t="shared" ref="FJ16:FJ21" si="34">HYPERLINK("http://www.rki.de/DE/Content/Infekt/Impfen/Materialien/Downloads-Impfkalender/Impfkalender_Albanisch.pdf?__blob=publicationFile","x")</f>
        <v>x</v>
      </c>
      <c r="FK16" s="112" t="str">
        <f t="shared" ref="FK16:FK21" si="35">HYPERLINK("http://www.ethno-medizinisches-zentrum.de/images/PDF-Files/impfwegweiser_albanisch_2013_online.pdf","x")</f>
        <v>x</v>
      </c>
      <c r="FL16" s="112"/>
      <c r="FM16" s="112" t="str">
        <f t="shared" ref="FM16:FM21" si="36">HYPERLINK("http://www.rki.de/DE/Content/Infekt/Impfen/Materialien/Glossar-Downloads/glossar-de-albanisch.pdf?__blob=publicationFile","x")</f>
        <v>x</v>
      </c>
      <c r="FN16" s="112"/>
      <c r="FO16" s="112" t="str">
        <f t="shared" ref="FO16:FO21" si="37">HYPERLINK("http://www.rki.de/DE/Content/Infekt/Impfen/Materialien/Downloads-MMR/MMR-Impfinfo-albanisch.pdf?__blob=publicationFile","x")</f>
        <v>x</v>
      </c>
      <c r="FP16" s="111"/>
      <c r="FQ16" s="112" t="str">
        <f t="shared" ref="FQ16:FQ21" si="38">HYPERLINK("http://www.rki.de/DE/Content/Infekt/Impfen/Materialien/Downloads_HepA/Aufklaerung_HAV-Impfung_albanisch.pdf?__blob=publicationFile","x")</f>
        <v>x</v>
      </c>
      <c r="FR16" s="112" t="str">
        <f t="shared" ref="FR16:FR21" si="39">HYPERLINK("http://www.rki.de/DE/Content/Infekt/Impfen/Materialien/Downloads_Pneumokokken/Aufklaerung_Pneumo-Impfung_Albanisch.pdf?__blob=publicationFile","x")</f>
        <v>x</v>
      </c>
      <c r="FS16" s="112" t="str">
        <f t="shared" ref="FS16:FS21" si="40">HYPERLINK("http://www.rki.de/DE/Content/Infekt/Impfen/Materialien/Downloads-DTaPIPVHibHepB/DTaPIPVHibHepB_albanisch.pdf?__blob=publicationFile","x")</f>
        <v>x</v>
      </c>
      <c r="FT16" s="112" t="str">
        <f t="shared" ref="FT16:FT21" si="41">HYPERLINK("http://www.rki.de/DE/Content/Infekt/Impfen/Materialien/Downloads-Varizellen/Varizellen-Impfinfo-albanisch.pdf;jsessionid=65B697F4EE7EDA8A1ED9E2C4CD6C74EC.2_cid363?__blob=publicationFile","x")</f>
        <v>x</v>
      </c>
      <c r="FU16" s="112" t="str">
        <f t="shared" ref="FU16:FU21" si="42">HYPERLINK("http://www.rki.de/DE/Content/Infekt/Impfen/Materialien/Downloads-Tdap-IPV/Tdap-IPV-albanisch.pdf?__blob=publicationFile","x")</f>
        <v>x</v>
      </c>
      <c r="FV16" s="112" t="str">
        <f t="shared" ref="FV16:FV21" si="43">HYPERLINK("http://www.rki.de/DE/Content/Infekt/Impfen/Materialien/Downloads-Influenza_nasal/Influenza_nasal-albanisch.pdf?__blob=publicationFile","x")</f>
        <v>x</v>
      </c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2" t="str">
        <f t="shared" ref="GL16:GL21" si="44">HYPERLINK("http://www.rki.de/DE/Content/Infekt/Impfen/Materialien/Downloads-Influenza/Influenza-albanisch.pdf?__blob=publicationFile","x")</f>
        <v>x</v>
      </c>
      <c r="GM16" s="111"/>
      <c r="GN16" s="111"/>
      <c r="GO16" s="112" t="str">
        <f t="shared" ref="GO16:GO21" si="45">HYPERLINK("http://www.tipdoc.de/grafik/pdf/kopflaeuse/Kopflaeuse_ALBAN.pdf","x")</f>
        <v>x</v>
      </c>
      <c r="GP16" s="112"/>
      <c r="GQ16" s="112" t="str">
        <f t="shared" ref="GQ16:GQ21" si="46">HYPERLINK("http://www.tipdoc.com/bus/pdf/kraetze/tipdoc_Scabies_ALBAN.pdf","x")</f>
        <v>x</v>
      </c>
      <c r="GR16" s="112" t="str">
        <f t="shared" ref="GR16:GR21" si="47">HYPERLINK("http://www.tipdoc.com/bus/pdf/MagenDarmHaende/MagenDarmHaende_ALBAN.pdf","x")</f>
        <v>x</v>
      </c>
      <c r="GS16" s="111"/>
      <c r="GT16" s="111"/>
      <c r="GU16" s="111"/>
      <c r="GV16" s="111"/>
      <c r="GW16" s="111"/>
      <c r="GX16" s="111"/>
      <c r="GY16" s="111"/>
      <c r="GZ16" s="111"/>
      <c r="HA16" s="111"/>
      <c r="HB16" s="112" t="str">
        <f t="shared" ref="HB16:HB108" si="48">HYPERLINK("https://www.zahnaerzte-wl.de/images/_PDF-suche/KZV_ZÄK/piktogrammheft.pdf","x")</f>
        <v>x</v>
      </c>
      <c r="HC16" s="112" t="str">
        <f t="shared" ref="HC16:HC21" si="49">HYPERLINK("https://www.zahnaerzte-wl.de/images/_PDF-suche/KZV_ZÄK/ENDSTAND_Ankreuzbogen_Ich_verstehe.pdf","x")</f>
        <v>x</v>
      </c>
      <c r="HD16" s="112" t="str">
        <f t="shared" ref="HD16:HD21" si="50">HYPERLINK("https://www.zahnaerzte-wl.de/images/_PDF-suche/KZV_ZÄK/Anschreiben_albanisch.pdf","x")</f>
        <v>x</v>
      </c>
      <c r="HE16" s="112" t="str">
        <f t="shared" ref="HE16:HF21" si="51">HYPERLINK("https://www.zahnaerzte-wl.de/images/_PDF-suche/KZV_ZÄK/Fragebogen_albanisch.pdf","x")</f>
        <v>x</v>
      </c>
      <c r="HF16" s="112" t="str">
        <f t="shared" si="51"/>
        <v>x</v>
      </c>
      <c r="HG16" s="112"/>
      <c r="HH16" s="112"/>
      <c r="HI16" s="112"/>
      <c r="HJ16" s="112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2" t="str">
        <f t="shared" ref="HX16:HX21" si="52">HYPERLINK("http://www.selfhelpfortrauma.org/","x")</f>
        <v>x</v>
      </c>
      <c r="HY16" s="112" t="str">
        <f t="shared" ref="HY16:HY21" si="53">HYPERLINK("http://peacefulheart.se/wp-content/uploads/2014/12/Resolving-Yesterday-20141201-Self-Tapping.pdf","x")</f>
        <v>x</v>
      </c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2"/>
      <c r="IK16" s="111"/>
      <c r="IL16" s="111"/>
      <c r="IM16" s="111"/>
      <c r="IN16" s="111"/>
      <c r="IO16" s="111"/>
      <c r="IP16" s="112"/>
      <c r="IQ16" s="112"/>
      <c r="IR16" s="111"/>
      <c r="IS16" s="111"/>
      <c r="IT16" s="111"/>
      <c r="IU16" s="112" t="str">
        <f t="shared" ref="IU16:IU21" si="54">HYPERLINK("http://www.asyl.net/fileadmin/user_upload/infoblatt_anhoerung/Infoblatt_2015_alb_fin.pdf","x")</f>
        <v>x</v>
      </c>
      <c r="IV16" s="112"/>
      <c r="IW16" s="112"/>
      <c r="IX16" s="112" t="str">
        <f t="shared" ref="IX16:IX21" si="55">HYPERLINK("http://www.bamf.de/SharedDocs/Anlagen/DE/Publikationen/Broschueren/broschuere-eat-a4-sq-albanisch.pdf?__blob=publicationFile","x")</f>
        <v>x</v>
      </c>
      <c r="IY16" s="111"/>
      <c r="IZ16" s="111"/>
      <c r="JA16" s="111"/>
      <c r="JB16" s="112" t="str">
        <f t="shared" ref="JB16:JB21" si="56">HYPERLINK("http://www.bamf.de/SharedDocs/Anlagen/DE/Publikationen/Flyer/20140110_ura2-kinderprojekt_alb.pdf?__blob=publicationFile","x")</f>
        <v>x</v>
      </c>
      <c r="JC16" s="111"/>
      <c r="JD16" s="112"/>
      <c r="JE16" s="112"/>
      <c r="JF16" s="111"/>
      <c r="JG16" s="111"/>
      <c r="JH16" s="111"/>
      <c r="JI16" s="112"/>
      <c r="JJ16" s="112"/>
      <c r="JK16" s="112"/>
      <c r="JL16" s="112"/>
      <c r="JM16" s="112"/>
      <c r="JN16" s="112"/>
      <c r="JO16" s="112"/>
      <c r="JP16" s="112"/>
      <c r="JQ16" s="112" t="str">
        <f t="shared" ref="JQ16:JQ21" si="57">HYPERLINK("http://www.ibla-germany.de/merkblaetter.php","x")</f>
        <v>x</v>
      </c>
      <c r="JR16" s="112"/>
      <c r="JS16" s="111"/>
      <c r="JT16" s="111"/>
      <c r="JU16" s="111"/>
      <c r="JV16" s="112"/>
      <c r="JW16" s="112"/>
      <c r="JX16" s="112"/>
      <c r="JY16" s="112"/>
      <c r="JZ16" s="112"/>
      <c r="KA16" s="112" t="str">
        <f t="shared" ref="KA16:KA21" si="58">HYPERLINK("http://www.refugeeguide.de/dl/RefugeeGuide_al_929.pdf","x")</f>
        <v>x</v>
      </c>
      <c r="KB16" s="111"/>
      <c r="KC16" s="111"/>
      <c r="KD16" s="112" t="str">
        <f t="shared" ref="KD16:KD21" si="59">HYPERLINK("http://www.frauenrechte.de/online/images/downloads/allgemein/TDF_Flyer_Women_Men.pdf","x")</f>
        <v>x</v>
      </c>
      <c r="KE16" s="111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</row>
    <row r="17" spans="1:346" ht="15" customHeight="1" x14ac:dyDescent="0.25">
      <c r="A17" s="110" t="s">
        <v>0</v>
      </c>
      <c r="B17" s="101" t="s">
        <v>57</v>
      </c>
      <c r="C17" s="102"/>
      <c r="D17" s="102"/>
      <c r="E17" s="102"/>
      <c r="F17" s="102"/>
      <c r="G17" s="102"/>
      <c r="H17" s="102"/>
      <c r="I17" s="102"/>
      <c r="J17" s="103"/>
      <c r="K17" s="111"/>
      <c r="L17" s="111"/>
      <c r="M17" s="111"/>
      <c r="N17" s="111"/>
      <c r="O17" s="112" t="str">
        <f t="shared" si="2"/>
        <v>x</v>
      </c>
      <c r="P17" s="111"/>
      <c r="Q17" s="111"/>
      <c r="R17" s="111"/>
      <c r="S17" s="111"/>
      <c r="T17" s="111"/>
      <c r="U17" s="111"/>
      <c r="V17" s="112"/>
      <c r="W17" s="111"/>
      <c r="X17" s="112"/>
      <c r="Y17" s="112"/>
      <c r="Z17" s="112"/>
      <c r="AA17" s="112"/>
      <c r="AB17" s="112"/>
      <c r="AC17" s="112"/>
      <c r="AD17" s="112"/>
      <c r="AE17" s="112"/>
      <c r="AF17" s="112" t="str">
        <f t="shared" si="3"/>
        <v>x</v>
      </c>
      <c r="AG17" s="111"/>
      <c r="AH17" s="111"/>
      <c r="AI17" s="111"/>
      <c r="AJ17" s="111"/>
      <c r="AK17" s="111"/>
      <c r="AL17" s="111"/>
      <c r="AM17" s="111"/>
      <c r="AN17" s="112"/>
      <c r="AO17" s="112"/>
      <c r="AP17" s="112"/>
      <c r="AQ17" s="112"/>
      <c r="AR17" s="112"/>
      <c r="AS17" s="112"/>
      <c r="AT17" s="112"/>
      <c r="AU17" s="113"/>
      <c r="AV17" s="114" t="str">
        <f t="shared" si="4"/>
        <v>x</v>
      </c>
      <c r="AW17" s="114" t="str">
        <f t="shared" si="5"/>
        <v>x</v>
      </c>
      <c r="AX17" s="111"/>
      <c r="AY17" s="111"/>
      <c r="AZ17" s="112" t="str">
        <f t="shared" si="6"/>
        <v>x</v>
      </c>
      <c r="BA17" s="112" t="str">
        <f t="shared" si="7"/>
        <v>x</v>
      </c>
      <c r="BB17" s="111"/>
      <c r="BC17" s="111"/>
      <c r="BD17" s="111"/>
      <c r="BE17" s="111"/>
      <c r="BF17" s="111"/>
      <c r="BG17" s="111"/>
      <c r="BH17" s="112" t="str">
        <f t="shared" si="8"/>
        <v>x</v>
      </c>
      <c r="BI17" s="111"/>
      <c r="BJ17" s="111"/>
      <c r="BK17" s="112" t="str">
        <f t="shared" si="9"/>
        <v>x</v>
      </c>
      <c r="BL17" s="112" t="str">
        <f t="shared" si="0"/>
        <v>x</v>
      </c>
      <c r="BM17" s="111"/>
      <c r="BN17" s="111"/>
      <c r="BO17" s="111"/>
      <c r="BP17" s="111"/>
      <c r="BQ17" s="111"/>
      <c r="BR17" s="112" t="str">
        <f t="shared" si="10"/>
        <v>x</v>
      </c>
      <c r="BS17" s="112"/>
      <c r="BT17" s="111"/>
      <c r="BU17" s="112" t="str">
        <f t="shared" si="11"/>
        <v>x</v>
      </c>
      <c r="BV17" s="112" t="str">
        <f t="shared" si="12"/>
        <v>x</v>
      </c>
      <c r="BW17" s="112"/>
      <c r="BX17" s="112"/>
      <c r="BY17" s="112" t="str">
        <f t="shared" si="13"/>
        <v>x</v>
      </c>
      <c r="BZ17" s="112" t="str">
        <f t="shared" si="14"/>
        <v>x</v>
      </c>
      <c r="CA17" s="112" t="str">
        <f t="shared" si="15"/>
        <v>x</v>
      </c>
      <c r="CB17" s="112" t="str">
        <f t="shared" si="16"/>
        <v>x</v>
      </c>
      <c r="CC17" s="112"/>
      <c r="CD17" s="112"/>
      <c r="CE17" s="111"/>
      <c r="CF17" s="111"/>
      <c r="CG17" s="111"/>
      <c r="CH17" s="111"/>
      <c r="CI17" s="111"/>
      <c r="CJ17" s="112" t="str">
        <f t="shared" si="17"/>
        <v>x</v>
      </c>
      <c r="CK17" s="112"/>
      <c r="CL17" s="112"/>
      <c r="CM17" s="112"/>
      <c r="CN17" s="112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2"/>
      <c r="CZ17" s="112" t="str">
        <f t="shared" si="18"/>
        <v>x</v>
      </c>
      <c r="DA17" s="112"/>
      <c r="DB17" s="115"/>
      <c r="DC17" s="112"/>
      <c r="DD17" s="112"/>
      <c r="DE17" s="112" t="str">
        <f t="shared" si="19"/>
        <v>x</v>
      </c>
      <c r="DF17" s="115" t="str">
        <f t="shared" si="20"/>
        <v>x</v>
      </c>
      <c r="DG17" s="112" t="str">
        <f t="shared" si="21"/>
        <v>x</v>
      </c>
      <c r="DH17" s="112" t="str">
        <f t="shared" si="22"/>
        <v>x</v>
      </c>
      <c r="DI17" s="112" t="str">
        <f t="shared" si="23"/>
        <v>x</v>
      </c>
      <c r="DJ17" s="112"/>
      <c r="DK17" s="112"/>
      <c r="DL17" s="112"/>
      <c r="DM17" s="112"/>
      <c r="DN17" s="112"/>
      <c r="DO17" s="111"/>
      <c r="DP17" s="111"/>
      <c r="DQ17" s="111"/>
      <c r="DR17" s="112" t="str">
        <f t="shared" si="24"/>
        <v>x</v>
      </c>
      <c r="DS17" s="112" t="str">
        <f t="shared" si="25"/>
        <v>x</v>
      </c>
      <c r="DT17" s="112"/>
      <c r="DU17" s="111"/>
      <c r="DV17" s="111"/>
      <c r="DW17" s="111"/>
      <c r="DX17" s="111"/>
      <c r="DY17" s="111"/>
      <c r="DZ17" s="111"/>
      <c r="EA17" s="112"/>
      <c r="EB17" s="111"/>
      <c r="EC17" s="111"/>
      <c r="ED17" s="111"/>
      <c r="EE17" s="111"/>
      <c r="EF17" s="111"/>
      <c r="EG17" s="111"/>
      <c r="EH17" s="111"/>
      <c r="EI17" s="112"/>
      <c r="EJ17" s="112"/>
      <c r="EK17" s="111"/>
      <c r="EL17" s="112" t="str">
        <f t="shared" si="26"/>
        <v>x</v>
      </c>
      <c r="EM17" s="111"/>
      <c r="EN17" s="111"/>
      <c r="EO17" s="117" t="str">
        <f t="shared" si="27"/>
        <v>x</v>
      </c>
      <c r="EP17" s="118"/>
      <c r="EQ17" s="112" t="str">
        <f t="shared" si="28"/>
        <v>x</v>
      </c>
      <c r="ER17" s="112"/>
      <c r="ES17" s="112"/>
      <c r="ET17" s="111"/>
      <c r="EU17" s="112" t="str">
        <f t="shared" si="1"/>
        <v>x</v>
      </c>
      <c r="EV17" s="112" t="str">
        <f t="shared" si="29"/>
        <v>x</v>
      </c>
      <c r="EW17" s="111"/>
      <c r="EX17" s="111"/>
      <c r="EY17" s="111"/>
      <c r="EZ17" s="111"/>
      <c r="FA17" s="111"/>
      <c r="FB17" s="111"/>
      <c r="FC17" s="112" t="str">
        <f t="shared" si="30"/>
        <v>x</v>
      </c>
      <c r="FD17" s="112" t="str">
        <f t="shared" si="31"/>
        <v>x</v>
      </c>
      <c r="FE17" s="112" t="str">
        <f t="shared" si="32"/>
        <v>x</v>
      </c>
      <c r="FF17" s="112" t="str">
        <f t="shared" si="33"/>
        <v>x</v>
      </c>
      <c r="FG17" s="111"/>
      <c r="FH17" s="111"/>
      <c r="FI17" s="112"/>
      <c r="FJ17" s="112" t="str">
        <f t="shared" si="34"/>
        <v>x</v>
      </c>
      <c r="FK17" s="112" t="str">
        <f t="shared" si="35"/>
        <v>x</v>
      </c>
      <c r="FL17" s="112"/>
      <c r="FM17" s="112" t="str">
        <f t="shared" si="36"/>
        <v>x</v>
      </c>
      <c r="FN17" s="112"/>
      <c r="FO17" s="112" t="str">
        <f t="shared" si="37"/>
        <v>x</v>
      </c>
      <c r="FP17" s="111"/>
      <c r="FQ17" s="112" t="str">
        <f t="shared" si="38"/>
        <v>x</v>
      </c>
      <c r="FR17" s="112" t="str">
        <f t="shared" si="39"/>
        <v>x</v>
      </c>
      <c r="FS17" s="112" t="str">
        <f t="shared" si="40"/>
        <v>x</v>
      </c>
      <c r="FT17" s="112" t="str">
        <f t="shared" si="41"/>
        <v>x</v>
      </c>
      <c r="FU17" s="112" t="str">
        <f t="shared" si="42"/>
        <v>x</v>
      </c>
      <c r="FV17" s="112" t="str">
        <f t="shared" si="43"/>
        <v>x</v>
      </c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2" t="str">
        <f t="shared" si="44"/>
        <v>x</v>
      </c>
      <c r="GM17" s="111"/>
      <c r="GN17" s="111"/>
      <c r="GO17" s="112" t="str">
        <f t="shared" si="45"/>
        <v>x</v>
      </c>
      <c r="GP17" s="112"/>
      <c r="GQ17" s="112" t="str">
        <f t="shared" si="46"/>
        <v>x</v>
      </c>
      <c r="GR17" s="112" t="str">
        <f t="shared" si="47"/>
        <v>x</v>
      </c>
      <c r="GS17" s="111"/>
      <c r="GT17" s="111"/>
      <c r="GU17" s="111"/>
      <c r="GV17" s="111"/>
      <c r="GW17" s="111"/>
      <c r="GX17" s="111"/>
      <c r="GY17" s="111"/>
      <c r="GZ17" s="111"/>
      <c r="HA17" s="111"/>
      <c r="HB17" s="112" t="str">
        <f t="shared" si="48"/>
        <v>x</v>
      </c>
      <c r="HC17" s="112" t="str">
        <f t="shared" si="49"/>
        <v>x</v>
      </c>
      <c r="HD17" s="112" t="str">
        <f t="shared" si="50"/>
        <v>x</v>
      </c>
      <c r="HE17" s="112" t="str">
        <f t="shared" si="51"/>
        <v>x</v>
      </c>
      <c r="HF17" s="112" t="str">
        <f t="shared" si="51"/>
        <v>x</v>
      </c>
      <c r="HG17" s="112"/>
      <c r="HH17" s="112"/>
      <c r="HI17" s="112"/>
      <c r="HJ17" s="112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2" t="str">
        <f t="shared" si="52"/>
        <v>x</v>
      </c>
      <c r="HY17" s="112" t="str">
        <f t="shared" si="53"/>
        <v>x</v>
      </c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2"/>
      <c r="IK17" s="111"/>
      <c r="IL17" s="111"/>
      <c r="IM17" s="111"/>
      <c r="IN17" s="111"/>
      <c r="IO17" s="111"/>
      <c r="IP17" s="112"/>
      <c r="IQ17" s="112"/>
      <c r="IR17" s="111"/>
      <c r="IS17" s="111"/>
      <c r="IT17" s="111"/>
      <c r="IU17" s="112" t="str">
        <f t="shared" si="54"/>
        <v>x</v>
      </c>
      <c r="IV17" s="112"/>
      <c r="IW17" s="112"/>
      <c r="IX17" s="112" t="str">
        <f t="shared" si="55"/>
        <v>x</v>
      </c>
      <c r="IY17" s="111"/>
      <c r="IZ17" s="111"/>
      <c r="JA17" s="111"/>
      <c r="JB17" s="112" t="str">
        <f t="shared" si="56"/>
        <v>x</v>
      </c>
      <c r="JC17" s="111"/>
      <c r="JD17" s="112"/>
      <c r="JE17" s="112"/>
      <c r="JF17" s="111"/>
      <c r="JG17" s="111"/>
      <c r="JH17" s="111"/>
      <c r="JI17" s="112"/>
      <c r="JJ17" s="112"/>
      <c r="JK17" s="112"/>
      <c r="JL17" s="112"/>
      <c r="JM17" s="112"/>
      <c r="JN17" s="112"/>
      <c r="JO17" s="112"/>
      <c r="JP17" s="112"/>
      <c r="JQ17" s="112" t="str">
        <f t="shared" si="57"/>
        <v>x</v>
      </c>
      <c r="JR17" s="112"/>
      <c r="JS17" s="111"/>
      <c r="JT17" s="111"/>
      <c r="JU17" s="111"/>
      <c r="JV17" s="112"/>
      <c r="JW17" s="112"/>
      <c r="JX17" s="112"/>
      <c r="JY17" s="112"/>
      <c r="JZ17" s="112"/>
      <c r="KA17" s="112" t="str">
        <f t="shared" si="58"/>
        <v>x</v>
      </c>
      <c r="KB17" s="111"/>
      <c r="KC17" s="111"/>
      <c r="KD17" s="112" t="str">
        <f t="shared" si="59"/>
        <v>x</v>
      </c>
      <c r="KE17" s="111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</row>
    <row r="18" spans="1:346" x14ac:dyDescent="0.25">
      <c r="A18" s="110" t="s">
        <v>0</v>
      </c>
      <c r="B18" s="101" t="s">
        <v>78</v>
      </c>
      <c r="C18" s="102"/>
      <c r="D18" s="102"/>
      <c r="E18" s="102"/>
      <c r="F18" s="102"/>
      <c r="G18" s="102"/>
      <c r="H18" s="102"/>
      <c r="I18" s="102"/>
      <c r="J18" s="103"/>
      <c r="K18" s="111"/>
      <c r="L18" s="111"/>
      <c r="M18" s="111"/>
      <c r="N18" s="111"/>
      <c r="O18" s="112" t="str">
        <f t="shared" si="2"/>
        <v>x</v>
      </c>
      <c r="P18" s="111"/>
      <c r="Q18" s="111"/>
      <c r="R18" s="111"/>
      <c r="S18" s="111"/>
      <c r="T18" s="111"/>
      <c r="U18" s="111"/>
      <c r="V18" s="112"/>
      <c r="W18" s="111"/>
      <c r="X18" s="112"/>
      <c r="Y18" s="112"/>
      <c r="Z18" s="112"/>
      <c r="AA18" s="112"/>
      <c r="AB18" s="112"/>
      <c r="AC18" s="112"/>
      <c r="AD18" s="112"/>
      <c r="AE18" s="112"/>
      <c r="AF18" s="112" t="str">
        <f t="shared" si="3"/>
        <v>x</v>
      </c>
      <c r="AG18" s="111"/>
      <c r="AH18" s="111"/>
      <c r="AI18" s="111"/>
      <c r="AJ18" s="111"/>
      <c r="AK18" s="111"/>
      <c r="AL18" s="111"/>
      <c r="AM18" s="111"/>
      <c r="AN18" s="112"/>
      <c r="AO18" s="112"/>
      <c r="AP18" s="112"/>
      <c r="AQ18" s="112"/>
      <c r="AR18" s="112"/>
      <c r="AS18" s="112"/>
      <c r="AT18" s="112"/>
      <c r="AU18" s="113"/>
      <c r="AV18" s="114" t="str">
        <f t="shared" si="4"/>
        <v>x</v>
      </c>
      <c r="AW18" s="114" t="str">
        <f t="shared" si="5"/>
        <v>x</v>
      </c>
      <c r="AX18" s="111"/>
      <c r="AY18" s="111"/>
      <c r="AZ18" s="112" t="str">
        <f t="shared" si="6"/>
        <v>x</v>
      </c>
      <c r="BA18" s="112" t="str">
        <f t="shared" si="7"/>
        <v>x</v>
      </c>
      <c r="BB18" s="111"/>
      <c r="BC18" s="111"/>
      <c r="BD18" s="111"/>
      <c r="BE18" s="111"/>
      <c r="BF18" s="111"/>
      <c r="BG18" s="111"/>
      <c r="BH18" s="112" t="str">
        <f t="shared" si="8"/>
        <v>x</v>
      </c>
      <c r="BI18" s="111"/>
      <c r="BJ18" s="111"/>
      <c r="BK18" s="112" t="str">
        <f t="shared" si="9"/>
        <v>x</v>
      </c>
      <c r="BL18" s="112" t="str">
        <f t="shared" si="0"/>
        <v>x</v>
      </c>
      <c r="BM18" s="111"/>
      <c r="BN18" s="111"/>
      <c r="BO18" s="111"/>
      <c r="BP18" s="111"/>
      <c r="BQ18" s="111"/>
      <c r="BR18" s="112" t="str">
        <f t="shared" si="10"/>
        <v>x</v>
      </c>
      <c r="BS18" s="112"/>
      <c r="BT18" s="111"/>
      <c r="BU18" s="112" t="str">
        <f t="shared" si="11"/>
        <v>x</v>
      </c>
      <c r="BV18" s="112" t="str">
        <f t="shared" si="12"/>
        <v>x</v>
      </c>
      <c r="BW18" s="112"/>
      <c r="BX18" s="112"/>
      <c r="BY18" s="112" t="str">
        <f t="shared" si="13"/>
        <v>x</v>
      </c>
      <c r="BZ18" s="112" t="str">
        <f t="shared" si="14"/>
        <v>x</v>
      </c>
      <c r="CA18" s="112" t="str">
        <f t="shared" si="15"/>
        <v>x</v>
      </c>
      <c r="CB18" s="112" t="str">
        <f t="shared" si="16"/>
        <v>x</v>
      </c>
      <c r="CC18" s="112"/>
      <c r="CD18" s="112"/>
      <c r="CE18" s="111"/>
      <c r="CF18" s="111"/>
      <c r="CG18" s="111"/>
      <c r="CH18" s="111"/>
      <c r="CI18" s="111"/>
      <c r="CJ18" s="112" t="str">
        <f t="shared" si="17"/>
        <v>x</v>
      </c>
      <c r="CK18" s="112"/>
      <c r="CL18" s="112"/>
      <c r="CM18" s="112"/>
      <c r="CN18" s="112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2"/>
      <c r="CZ18" s="112" t="str">
        <f t="shared" si="18"/>
        <v>x</v>
      </c>
      <c r="DA18" s="112"/>
      <c r="DB18" s="115"/>
      <c r="DC18" s="112"/>
      <c r="DD18" s="112"/>
      <c r="DE18" s="112" t="str">
        <f t="shared" si="19"/>
        <v>x</v>
      </c>
      <c r="DF18" s="115" t="str">
        <f t="shared" si="20"/>
        <v>x</v>
      </c>
      <c r="DG18" s="112" t="str">
        <f t="shared" si="21"/>
        <v>x</v>
      </c>
      <c r="DH18" s="112" t="str">
        <f t="shared" si="22"/>
        <v>x</v>
      </c>
      <c r="DI18" s="112" t="str">
        <f t="shared" si="23"/>
        <v>x</v>
      </c>
      <c r="DJ18" s="112"/>
      <c r="DK18" s="112"/>
      <c r="DL18" s="112"/>
      <c r="DM18" s="112"/>
      <c r="DN18" s="112"/>
      <c r="DO18" s="111"/>
      <c r="DP18" s="111"/>
      <c r="DQ18" s="111"/>
      <c r="DR18" s="112" t="str">
        <f t="shared" si="24"/>
        <v>x</v>
      </c>
      <c r="DS18" s="112" t="str">
        <f t="shared" si="25"/>
        <v>x</v>
      </c>
      <c r="DT18" s="112"/>
      <c r="DU18" s="111"/>
      <c r="DV18" s="111"/>
      <c r="DW18" s="111"/>
      <c r="DX18" s="111"/>
      <c r="DY18" s="111"/>
      <c r="DZ18" s="111"/>
      <c r="EA18" s="112"/>
      <c r="EB18" s="111"/>
      <c r="EC18" s="111"/>
      <c r="ED18" s="111"/>
      <c r="EE18" s="111"/>
      <c r="EF18" s="111"/>
      <c r="EG18" s="111"/>
      <c r="EH18" s="111"/>
      <c r="EI18" s="112"/>
      <c r="EJ18" s="112"/>
      <c r="EK18" s="111"/>
      <c r="EL18" s="112" t="str">
        <f t="shared" si="26"/>
        <v>x</v>
      </c>
      <c r="EM18" s="111"/>
      <c r="EN18" s="111"/>
      <c r="EO18" s="117" t="str">
        <f t="shared" si="27"/>
        <v>x</v>
      </c>
      <c r="EP18" s="118"/>
      <c r="EQ18" s="112" t="str">
        <f t="shared" si="28"/>
        <v>x</v>
      </c>
      <c r="ER18" s="112"/>
      <c r="ES18" s="112"/>
      <c r="ET18" s="111"/>
      <c r="EU18" s="112" t="str">
        <f t="shared" si="1"/>
        <v>x</v>
      </c>
      <c r="EV18" s="112" t="str">
        <f t="shared" si="29"/>
        <v>x</v>
      </c>
      <c r="EW18" s="111"/>
      <c r="EX18" s="111"/>
      <c r="EY18" s="111"/>
      <c r="EZ18" s="111"/>
      <c r="FA18" s="111"/>
      <c r="FB18" s="111"/>
      <c r="FC18" s="112" t="str">
        <f t="shared" si="30"/>
        <v>x</v>
      </c>
      <c r="FD18" s="112" t="str">
        <f t="shared" si="31"/>
        <v>x</v>
      </c>
      <c r="FE18" s="112" t="str">
        <f t="shared" si="32"/>
        <v>x</v>
      </c>
      <c r="FF18" s="112" t="str">
        <f t="shared" si="33"/>
        <v>x</v>
      </c>
      <c r="FG18" s="111"/>
      <c r="FH18" s="111"/>
      <c r="FI18" s="112"/>
      <c r="FJ18" s="112" t="str">
        <f t="shared" si="34"/>
        <v>x</v>
      </c>
      <c r="FK18" s="112" t="str">
        <f t="shared" si="35"/>
        <v>x</v>
      </c>
      <c r="FL18" s="112"/>
      <c r="FM18" s="112" t="str">
        <f t="shared" si="36"/>
        <v>x</v>
      </c>
      <c r="FN18" s="112"/>
      <c r="FO18" s="112" t="str">
        <f t="shared" si="37"/>
        <v>x</v>
      </c>
      <c r="FP18" s="111"/>
      <c r="FQ18" s="112" t="str">
        <f t="shared" si="38"/>
        <v>x</v>
      </c>
      <c r="FR18" s="112" t="str">
        <f t="shared" si="39"/>
        <v>x</v>
      </c>
      <c r="FS18" s="112" t="str">
        <f t="shared" si="40"/>
        <v>x</v>
      </c>
      <c r="FT18" s="112" t="str">
        <f t="shared" si="41"/>
        <v>x</v>
      </c>
      <c r="FU18" s="112" t="str">
        <f t="shared" si="42"/>
        <v>x</v>
      </c>
      <c r="FV18" s="112" t="str">
        <f t="shared" si="43"/>
        <v>x</v>
      </c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2" t="str">
        <f t="shared" si="44"/>
        <v>x</v>
      </c>
      <c r="GM18" s="111"/>
      <c r="GN18" s="111"/>
      <c r="GO18" s="112" t="str">
        <f t="shared" si="45"/>
        <v>x</v>
      </c>
      <c r="GP18" s="112"/>
      <c r="GQ18" s="112" t="str">
        <f t="shared" si="46"/>
        <v>x</v>
      </c>
      <c r="GR18" s="112" t="str">
        <f t="shared" si="47"/>
        <v>x</v>
      </c>
      <c r="GS18" s="111"/>
      <c r="GT18" s="111"/>
      <c r="GU18" s="111"/>
      <c r="GV18" s="111"/>
      <c r="GW18" s="111"/>
      <c r="GX18" s="111"/>
      <c r="GY18" s="111"/>
      <c r="GZ18" s="111"/>
      <c r="HA18" s="111"/>
      <c r="HB18" s="112" t="str">
        <f t="shared" si="48"/>
        <v>x</v>
      </c>
      <c r="HC18" s="112" t="str">
        <f t="shared" si="49"/>
        <v>x</v>
      </c>
      <c r="HD18" s="112" t="str">
        <f t="shared" si="50"/>
        <v>x</v>
      </c>
      <c r="HE18" s="112" t="str">
        <f t="shared" si="51"/>
        <v>x</v>
      </c>
      <c r="HF18" s="112" t="str">
        <f t="shared" si="51"/>
        <v>x</v>
      </c>
      <c r="HG18" s="112"/>
      <c r="HH18" s="112"/>
      <c r="HI18" s="112"/>
      <c r="HJ18" s="112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2" t="str">
        <f t="shared" si="52"/>
        <v>x</v>
      </c>
      <c r="HY18" s="112" t="str">
        <f t="shared" si="53"/>
        <v>x</v>
      </c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2"/>
      <c r="IK18" s="111"/>
      <c r="IL18" s="111"/>
      <c r="IM18" s="111"/>
      <c r="IN18" s="111"/>
      <c r="IO18" s="111"/>
      <c r="IP18" s="112"/>
      <c r="IQ18" s="112"/>
      <c r="IR18" s="111"/>
      <c r="IS18" s="111"/>
      <c r="IT18" s="111"/>
      <c r="IU18" s="112" t="str">
        <f t="shared" si="54"/>
        <v>x</v>
      </c>
      <c r="IV18" s="112"/>
      <c r="IW18" s="112"/>
      <c r="IX18" s="112" t="str">
        <f t="shared" si="55"/>
        <v>x</v>
      </c>
      <c r="IY18" s="111"/>
      <c r="IZ18" s="111"/>
      <c r="JA18" s="111"/>
      <c r="JB18" s="112" t="str">
        <f t="shared" si="56"/>
        <v>x</v>
      </c>
      <c r="JC18" s="111"/>
      <c r="JD18" s="112"/>
      <c r="JE18" s="112"/>
      <c r="JF18" s="111"/>
      <c r="JG18" s="111"/>
      <c r="JH18" s="111"/>
      <c r="JI18" s="112"/>
      <c r="JJ18" s="112"/>
      <c r="JK18" s="112"/>
      <c r="JL18" s="112"/>
      <c r="JM18" s="112"/>
      <c r="JN18" s="112"/>
      <c r="JO18" s="112"/>
      <c r="JP18" s="112"/>
      <c r="JQ18" s="112" t="str">
        <f t="shared" si="57"/>
        <v>x</v>
      </c>
      <c r="JR18" s="112"/>
      <c r="JS18" s="111"/>
      <c r="JT18" s="111"/>
      <c r="JU18" s="111"/>
      <c r="JV18" s="112"/>
      <c r="JW18" s="112"/>
      <c r="JX18" s="112"/>
      <c r="JY18" s="112"/>
      <c r="JZ18" s="112"/>
      <c r="KA18" s="112" t="str">
        <f t="shared" si="58"/>
        <v>x</v>
      </c>
      <c r="KB18" s="111"/>
      <c r="KC18" s="111"/>
      <c r="KD18" s="112" t="str">
        <f t="shared" si="59"/>
        <v>x</v>
      </c>
      <c r="KE18" s="111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</row>
    <row r="19" spans="1:346" x14ac:dyDescent="0.25">
      <c r="A19" s="110" t="s">
        <v>0</v>
      </c>
      <c r="B19" s="101" t="s">
        <v>46</v>
      </c>
      <c r="C19" s="102"/>
      <c r="D19" s="102"/>
      <c r="E19" s="102"/>
      <c r="F19" s="102"/>
      <c r="G19" s="102"/>
      <c r="H19" s="102"/>
      <c r="I19" s="102"/>
      <c r="J19" s="103"/>
      <c r="K19" s="111"/>
      <c r="L19" s="111"/>
      <c r="M19" s="111"/>
      <c r="N19" s="111"/>
      <c r="O19" s="112" t="str">
        <f t="shared" si="2"/>
        <v>x</v>
      </c>
      <c r="P19" s="111"/>
      <c r="Q19" s="111"/>
      <c r="R19" s="111"/>
      <c r="S19" s="111"/>
      <c r="T19" s="111"/>
      <c r="U19" s="111"/>
      <c r="V19" s="112"/>
      <c r="W19" s="111"/>
      <c r="X19" s="112"/>
      <c r="Y19" s="112"/>
      <c r="Z19" s="112"/>
      <c r="AA19" s="112"/>
      <c r="AB19" s="112"/>
      <c r="AC19" s="112"/>
      <c r="AD19" s="112"/>
      <c r="AE19" s="112"/>
      <c r="AF19" s="112" t="str">
        <f t="shared" si="3"/>
        <v>x</v>
      </c>
      <c r="AG19" s="111"/>
      <c r="AH19" s="111"/>
      <c r="AI19" s="111"/>
      <c r="AJ19" s="111"/>
      <c r="AK19" s="111"/>
      <c r="AL19" s="111"/>
      <c r="AM19" s="111"/>
      <c r="AN19" s="112"/>
      <c r="AO19" s="112"/>
      <c r="AP19" s="112"/>
      <c r="AQ19" s="112"/>
      <c r="AR19" s="112"/>
      <c r="AS19" s="112"/>
      <c r="AT19" s="112"/>
      <c r="AU19" s="113"/>
      <c r="AV19" s="114" t="str">
        <f t="shared" si="4"/>
        <v>x</v>
      </c>
      <c r="AW19" s="114" t="str">
        <f t="shared" si="5"/>
        <v>x</v>
      </c>
      <c r="AX19" s="111"/>
      <c r="AY19" s="111"/>
      <c r="AZ19" s="112" t="str">
        <f t="shared" si="6"/>
        <v>x</v>
      </c>
      <c r="BA19" s="112" t="str">
        <f t="shared" si="7"/>
        <v>x</v>
      </c>
      <c r="BB19" s="111"/>
      <c r="BC19" s="111"/>
      <c r="BD19" s="111"/>
      <c r="BE19" s="111"/>
      <c r="BF19" s="111"/>
      <c r="BG19" s="111"/>
      <c r="BH19" s="112" t="str">
        <f t="shared" si="8"/>
        <v>x</v>
      </c>
      <c r="BI19" s="111"/>
      <c r="BJ19" s="111"/>
      <c r="BK19" s="112" t="str">
        <f t="shared" si="9"/>
        <v>x</v>
      </c>
      <c r="BL19" s="112" t="str">
        <f t="shared" si="0"/>
        <v>x</v>
      </c>
      <c r="BM19" s="111"/>
      <c r="BN19" s="111"/>
      <c r="BO19" s="111"/>
      <c r="BP19" s="111"/>
      <c r="BQ19" s="111"/>
      <c r="BR19" s="112" t="str">
        <f t="shared" si="10"/>
        <v>x</v>
      </c>
      <c r="BS19" s="112"/>
      <c r="BT19" s="111"/>
      <c r="BU19" s="112" t="str">
        <f t="shared" si="11"/>
        <v>x</v>
      </c>
      <c r="BV19" s="112" t="str">
        <f t="shared" si="12"/>
        <v>x</v>
      </c>
      <c r="BW19" s="112"/>
      <c r="BX19" s="112"/>
      <c r="BY19" s="112" t="str">
        <f t="shared" si="13"/>
        <v>x</v>
      </c>
      <c r="BZ19" s="112" t="str">
        <f t="shared" si="14"/>
        <v>x</v>
      </c>
      <c r="CA19" s="112" t="str">
        <f t="shared" si="15"/>
        <v>x</v>
      </c>
      <c r="CB19" s="112" t="str">
        <f t="shared" si="16"/>
        <v>x</v>
      </c>
      <c r="CC19" s="112"/>
      <c r="CD19" s="112"/>
      <c r="CE19" s="111"/>
      <c r="CF19" s="111"/>
      <c r="CG19" s="111"/>
      <c r="CH19" s="111"/>
      <c r="CI19" s="111"/>
      <c r="CJ19" s="112" t="str">
        <f t="shared" si="17"/>
        <v>x</v>
      </c>
      <c r="CK19" s="112"/>
      <c r="CL19" s="112"/>
      <c r="CM19" s="112"/>
      <c r="CN19" s="112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2"/>
      <c r="CZ19" s="112" t="str">
        <f t="shared" si="18"/>
        <v>x</v>
      </c>
      <c r="DA19" s="112"/>
      <c r="DB19" s="115"/>
      <c r="DC19" s="112"/>
      <c r="DD19" s="112"/>
      <c r="DE19" s="112" t="str">
        <f t="shared" si="19"/>
        <v>x</v>
      </c>
      <c r="DF19" s="115" t="str">
        <f t="shared" si="20"/>
        <v>x</v>
      </c>
      <c r="DG19" s="112" t="str">
        <f t="shared" si="21"/>
        <v>x</v>
      </c>
      <c r="DH19" s="112" t="str">
        <f t="shared" si="22"/>
        <v>x</v>
      </c>
      <c r="DI19" s="112" t="str">
        <f t="shared" si="23"/>
        <v>x</v>
      </c>
      <c r="DJ19" s="112"/>
      <c r="DK19" s="112"/>
      <c r="DL19" s="112"/>
      <c r="DM19" s="112"/>
      <c r="DN19" s="112"/>
      <c r="DO19" s="111"/>
      <c r="DP19" s="111"/>
      <c r="DQ19" s="111"/>
      <c r="DR19" s="112" t="str">
        <f t="shared" si="24"/>
        <v>x</v>
      </c>
      <c r="DS19" s="112" t="str">
        <f t="shared" si="25"/>
        <v>x</v>
      </c>
      <c r="DT19" s="112"/>
      <c r="DU19" s="111"/>
      <c r="DV19" s="111"/>
      <c r="DW19" s="111"/>
      <c r="DX19" s="111"/>
      <c r="DY19" s="111"/>
      <c r="DZ19" s="111"/>
      <c r="EA19" s="112"/>
      <c r="EB19" s="111"/>
      <c r="EC19" s="111"/>
      <c r="ED19" s="111"/>
      <c r="EE19" s="111"/>
      <c r="EF19" s="111"/>
      <c r="EG19" s="111"/>
      <c r="EH19" s="111"/>
      <c r="EI19" s="112"/>
      <c r="EJ19" s="112"/>
      <c r="EK19" s="111"/>
      <c r="EL19" s="112" t="str">
        <f t="shared" si="26"/>
        <v>x</v>
      </c>
      <c r="EM19" s="111"/>
      <c r="EN19" s="111"/>
      <c r="EO19" s="117" t="str">
        <f t="shared" si="27"/>
        <v>x</v>
      </c>
      <c r="EP19" s="118"/>
      <c r="EQ19" s="112" t="str">
        <f t="shared" si="28"/>
        <v>x</v>
      </c>
      <c r="ER19" s="112"/>
      <c r="ES19" s="112"/>
      <c r="ET19" s="111"/>
      <c r="EU19" s="112" t="str">
        <f t="shared" si="1"/>
        <v>x</v>
      </c>
      <c r="EV19" s="112" t="str">
        <f t="shared" si="29"/>
        <v>x</v>
      </c>
      <c r="EW19" s="111"/>
      <c r="EX19" s="111"/>
      <c r="EY19" s="111"/>
      <c r="EZ19" s="111"/>
      <c r="FA19" s="111"/>
      <c r="FB19" s="111"/>
      <c r="FC19" s="112" t="str">
        <f t="shared" si="30"/>
        <v>x</v>
      </c>
      <c r="FD19" s="112" t="str">
        <f t="shared" si="31"/>
        <v>x</v>
      </c>
      <c r="FE19" s="112" t="str">
        <f t="shared" si="32"/>
        <v>x</v>
      </c>
      <c r="FF19" s="112" t="str">
        <f t="shared" si="33"/>
        <v>x</v>
      </c>
      <c r="FG19" s="111"/>
      <c r="FH19" s="111"/>
      <c r="FI19" s="112"/>
      <c r="FJ19" s="112" t="str">
        <f t="shared" si="34"/>
        <v>x</v>
      </c>
      <c r="FK19" s="112" t="str">
        <f t="shared" si="35"/>
        <v>x</v>
      </c>
      <c r="FL19" s="112"/>
      <c r="FM19" s="112" t="str">
        <f t="shared" si="36"/>
        <v>x</v>
      </c>
      <c r="FN19" s="112"/>
      <c r="FO19" s="112" t="str">
        <f t="shared" si="37"/>
        <v>x</v>
      </c>
      <c r="FP19" s="111"/>
      <c r="FQ19" s="112" t="str">
        <f t="shared" si="38"/>
        <v>x</v>
      </c>
      <c r="FR19" s="112" t="str">
        <f t="shared" si="39"/>
        <v>x</v>
      </c>
      <c r="FS19" s="112" t="str">
        <f t="shared" si="40"/>
        <v>x</v>
      </c>
      <c r="FT19" s="112" t="str">
        <f t="shared" si="41"/>
        <v>x</v>
      </c>
      <c r="FU19" s="112" t="str">
        <f t="shared" si="42"/>
        <v>x</v>
      </c>
      <c r="FV19" s="112" t="str">
        <f t="shared" si="43"/>
        <v>x</v>
      </c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2" t="str">
        <f t="shared" si="44"/>
        <v>x</v>
      </c>
      <c r="GM19" s="111"/>
      <c r="GN19" s="111"/>
      <c r="GO19" s="112" t="str">
        <f t="shared" si="45"/>
        <v>x</v>
      </c>
      <c r="GP19" s="112"/>
      <c r="GQ19" s="112" t="str">
        <f t="shared" si="46"/>
        <v>x</v>
      </c>
      <c r="GR19" s="112" t="str">
        <f t="shared" si="47"/>
        <v>x</v>
      </c>
      <c r="GS19" s="111"/>
      <c r="GT19" s="111"/>
      <c r="GU19" s="111"/>
      <c r="GV19" s="111"/>
      <c r="GW19" s="111"/>
      <c r="GX19" s="111"/>
      <c r="GY19" s="111"/>
      <c r="GZ19" s="111"/>
      <c r="HA19" s="111"/>
      <c r="HB19" s="112" t="str">
        <f t="shared" si="48"/>
        <v>x</v>
      </c>
      <c r="HC19" s="112" t="str">
        <f t="shared" si="49"/>
        <v>x</v>
      </c>
      <c r="HD19" s="112" t="str">
        <f t="shared" si="50"/>
        <v>x</v>
      </c>
      <c r="HE19" s="112" t="str">
        <f t="shared" si="51"/>
        <v>x</v>
      </c>
      <c r="HF19" s="112" t="str">
        <f t="shared" si="51"/>
        <v>x</v>
      </c>
      <c r="HG19" s="112"/>
      <c r="HH19" s="112"/>
      <c r="HI19" s="112"/>
      <c r="HJ19" s="112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2" t="str">
        <f t="shared" si="52"/>
        <v>x</v>
      </c>
      <c r="HY19" s="112" t="str">
        <f t="shared" si="53"/>
        <v>x</v>
      </c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2"/>
      <c r="IK19" s="111"/>
      <c r="IL19" s="111"/>
      <c r="IM19" s="111"/>
      <c r="IN19" s="111"/>
      <c r="IO19" s="111"/>
      <c r="IP19" s="112"/>
      <c r="IQ19" s="112"/>
      <c r="IR19" s="111"/>
      <c r="IS19" s="111"/>
      <c r="IT19" s="111"/>
      <c r="IU19" s="112" t="str">
        <f t="shared" si="54"/>
        <v>x</v>
      </c>
      <c r="IV19" s="112"/>
      <c r="IW19" s="112"/>
      <c r="IX19" s="112" t="str">
        <f t="shared" si="55"/>
        <v>x</v>
      </c>
      <c r="IY19" s="111"/>
      <c r="IZ19" s="111"/>
      <c r="JA19" s="111"/>
      <c r="JB19" s="112" t="str">
        <f t="shared" si="56"/>
        <v>x</v>
      </c>
      <c r="JC19" s="111"/>
      <c r="JD19" s="112"/>
      <c r="JE19" s="112"/>
      <c r="JF19" s="111"/>
      <c r="JG19" s="111"/>
      <c r="JH19" s="111"/>
      <c r="JI19" s="112"/>
      <c r="JJ19" s="112"/>
      <c r="JK19" s="112"/>
      <c r="JL19" s="112"/>
      <c r="JM19" s="112"/>
      <c r="JN19" s="112"/>
      <c r="JO19" s="112"/>
      <c r="JP19" s="112"/>
      <c r="JQ19" s="112" t="str">
        <f t="shared" si="57"/>
        <v>x</v>
      </c>
      <c r="JR19" s="112"/>
      <c r="JS19" s="111"/>
      <c r="JT19" s="111"/>
      <c r="JU19" s="111"/>
      <c r="JV19" s="112"/>
      <c r="JW19" s="112"/>
      <c r="JX19" s="112"/>
      <c r="JY19" s="112"/>
      <c r="JZ19" s="112"/>
      <c r="KA19" s="112" t="str">
        <f t="shared" si="58"/>
        <v>x</v>
      </c>
      <c r="KB19" s="111"/>
      <c r="KC19" s="111"/>
      <c r="KD19" s="112" t="str">
        <f t="shared" si="59"/>
        <v>x</v>
      </c>
      <c r="KE19" s="111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</row>
    <row r="20" spans="1:346" ht="14.25" customHeight="1" x14ac:dyDescent="0.25">
      <c r="A20" s="110" t="s">
        <v>0</v>
      </c>
      <c r="B20" s="101" t="s">
        <v>58</v>
      </c>
      <c r="C20" s="102"/>
      <c r="D20" s="102"/>
      <c r="E20" s="102"/>
      <c r="F20" s="102"/>
      <c r="G20" s="102"/>
      <c r="H20" s="102"/>
      <c r="I20" s="102"/>
      <c r="J20" s="103"/>
      <c r="K20" s="111"/>
      <c r="L20" s="111"/>
      <c r="M20" s="111"/>
      <c r="N20" s="111"/>
      <c r="O20" s="112" t="str">
        <f t="shared" si="2"/>
        <v>x</v>
      </c>
      <c r="P20" s="111"/>
      <c r="Q20" s="111"/>
      <c r="R20" s="111"/>
      <c r="S20" s="111"/>
      <c r="T20" s="111"/>
      <c r="U20" s="111"/>
      <c r="V20" s="112"/>
      <c r="W20" s="111"/>
      <c r="X20" s="112"/>
      <c r="Y20" s="112"/>
      <c r="Z20" s="112"/>
      <c r="AA20" s="112"/>
      <c r="AB20" s="112"/>
      <c r="AC20" s="112"/>
      <c r="AD20" s="112"/>
      <c r="AE20" s="112"/>
      <c r="AF20" s="112" t="str">
        <f t="shared" si="3"/>
        <v>x</v>
      </c>
      <c r="AG20" s="111"/>
      <c r="AH20" s="111"/>
      <c r="AI20" s="111"/>
      <c r="AJ20" s="111"/>
      <c r="AK20" s="111"/>
      <c r="AL20" s="111"/>
      <c r="AM20" s="111"/>
      <c r="AN20" s="112"/>
      <c r="AO20" s="112"/>
      <c r="AP20" s="112"/>
      <c r="AQ20" s="112"/>
      <c r="AR20" s="112"/>
      <c r="AS20" s="112"/>
      <c r="AT20" s="112"/>
      <c r="AU20" s="113"/>
      <c r="AV20" s="114" t="str">
        <f t="shared" si="4"/>
        <v>x</v>
      </c>
      <c r="AW20" s="114" t="str">
        <f t="shared" si="5"/>
        <v>x</v>
      </c>
      <c r="AX20" s="111"/>
      <c r="AY20" s="111"/>
      <c r="AZ20" s="112" t="str">
        <f t="shared" si="6"/>
        <v>x</v>
      </c>
      <c r="BA20" s="112" t="str">
        <f t="shared" si="7"/>
        <v>x</v>
      </c>
      <c r="BB20" s="111"/>
      <c r="BC20" s="111"/>
      <c r="BD20" s="111"/>
      <c r="BE20" s="111"/>
      <c r="BF20" s="111"/>
      <c r="BG20" s="111"/>
      <c r="BH20" s="112" t="str">
        <f t="shared" si="8"/>
        <v>x</v>
      </c>
      <c r="BI20" s="111"/>
      <c r="BJ20" s="111"/>
      <c r="BK20" s="112" t="str">
        <f t="shared" si="9"/>
        <v>x</v>
      </c>
      <c r="BL20" s="112" t="str">
        <f t="shared" si="0"/>
        <v>x</v>
      </c>
      <c r="BM20" s="111"/>
      <c r="BN20" s="111"/>
      <c r="BO20" s="111"/>
      <c r="BP20" s="111"/>
      <c r="BQ20" s="111"/>
      <c r="BR20" s="112" t="str">
        <f t="shared" si="10"/>
        <v>x</v>
      </c>
      <c r="BS20" s="112"/>
      <c r="BT20" s="111"/>
      <c r="BU20" s="112" t="str">
        <f t="shared" si="11"/>
        <v>x</v>
      </c>
      <c r="BV20" s="112" t="str">
        <f t="shared" si="12"/>
        <v>x</v>
      </c>
      <c r="BW20" s="112"/>
      <c r="BX20" s="112"/>
      <c r="BY20" s="112" t="str">
        <f t="shared" si="13"/>
        <v>x</v>
      </c>
      <c r="BZ20" s="112" t="str">
        <f t="shared" si="14"/>
        <v>x</v>
      </c>
      <c r="CA20" s="112" t="str">
        <f t="shared" si="15"/>
        <v>x</v>
      </c>
      <c r="CB20" s="112" t="str">
        <f t="shared" si="16"/>
        <v>x</v>
      </c>
      <c r="CC20" s="112"/>
      <c r="CD20" s="112"/>
      <c r="CE20" s="111"/>
      <c r="CF20" s="111"/>
      <c r="CG20" s="111"/>
      <c r="CH20" s="111"/>
      <c r="CI20" s="111"/>
      <c r="CJ20" s="112" t="str">
        <f t="shared" si="17"/>
        <v>x</v>
      </c>
      <c r="CK20" s="112"/>
      <c r="CL20" s="112"/>
      <c r="CM20" s="112"/>
      <c r="CN20" s="112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2"/>
      <c r="CZ20" s="112" t="str">
        <f t="shared" si="18"/>
        <v>x</v>
      </c>
      <c r="DA20" s="112"/>
      <c r="DB20" s="115"/>
      <c r="DC20" s="112"/>
      <c r="DD20" s="112"/>
      <c r="DE20" s="112" t="str">
        <f t="shared" si="19"/>
        <v>x</v>
      </c>
      <c r="DF20" s="115" t="str">
        <f t="shared" si="20"/>
        <v>x</v>
      </c>
      <c r="DG20" s="112" t="str">
        <f t="shared" si="21"/>
        <v>x</v>
      </c>
      <c r="DH20" s="112" t="str">
        <f t="shared" si="22"/>
        <v>x</v>
      </c>
      <c r="DI20" s="112" t="str">
        <f t="shared" si="23"/>
        <v>x</v>
      </c>
      <c r="DJ20" s="112"/>
      <c r="DK20" s="112"/>
      <c r="DL20" s="112"/>
      <c r="DM20" s="112"/>
      <c r="DN20" s="112"/>
      <c r="DO20" s="111"/>
      <c r="DP20" s="111"/>
      <c r="DQ20" s="111"/>
      <c r="DR20" s="112" t="str">
        <f t="shared" si="24"/>
        <v>x</v>
      </c>
      <c r="DS20" s="112" t="str">
        <f t="shared" si="25"/>
        <v>x</v>
      </c>
      <c r="DT20" s="112"/>
      <c r="DU20" s="111"/>
      <c r="DV20" s="111"/>
      <c r="DW20" s="111"/>
      <c r="DX20" s="111"/>
      <c r="DY20" s="111"/>
      <c r="DZ20" s="111"/>
      <c r="EA20" s="112"/>
      <c r="EB20" s="111"/>
      <c r="EC20" s="111"/>
      <c r="ED20" s="111"/>
      <c r="EE20" s="111"/>
      <c r="EF20" s="111"/>
      <c r="EG20" s="111"/>
      <c r="EH20" s="111"/>
      <c r="EI20" s="112"/>
      <c r="EJ20" s="112"/>
      <c r="EK20" s="111"/>
      <c r="EL20" s="112" t="str">
        <f t="shared" si="26"/>
        <v>x</v>
      </c>
      <c r="EM20" s="111"/>
      <c r="EN20" s="111"/>
      <c r="EO20" s="117" t="str">
        <f t="shared" si="27"/>
        <v>x</v>
      </c>
      <c r="EP20" s="118"/>
      <c r="EQ20" s="112" t="str">
        <f t="shared" si="28"/>
        <v>x</v>
      </c>
      <c r="ER20" s="112"/>
      <c r="ES20" s="112"/>
      <c r="ET20" s="111"/>
      <c r="EU20" s="112" t="str">
        <f t="shared" si="1"/>
        <v>x</v>
      </c>
      <c r="EV20" s="112" t="str">
        <f t="shared" si="29"/>
        <v>x</v>
      </c>
      <c r="EW20" s="111"/>
      <c r="EX20" s="111"/>
      <c r="EY20" s="111"/>
      <c r="EZ20" s="111"/>
      <c r="FA20" s="111"/>
      <c r="FB20" s="111"/>
      <c r="FC20" s="112" t="str">
        <f t="shared" si="30"/>
        <v>x</v>
      </c>
      <c r="FD20" s="112" t="str">
        <f t="shared" si="31"/>
        <v>x</v>
      </c>
      <c r="FE20" s="112" t="str">
        <f t="shared" si="32"/>
        <v>x</v>
      </c>
      <c r="FF20" s="112" t="str">
        <f t="shared" si="33"/>
        <v>x</v>
      </c>
      <c r="FG20" s="111"/>
      <c r="FH20" s="111"/>
      <c r="FI20" s="112"/>
      <c r="FJ20" s="112" t="str">
        <f t="shared" si="34"/>
        <v>x</v>
      </c>
      <c r="FK20" s="112" t="str">
        <f t="shared" si="35"/>
        <v>x</v>
      </c>
      <c r="FL20" s="112"/>
      <c r="FM20" s="112" t="str">
        <f t="shared" si="36"/>
        <v>x</v>
      </c>
      <c r="FN20" s="112"/>
      <c r="FO20" s="112" t="str">
        <f t="shared" si="37"/>
        <v>x</v>
      </c>
      <c r="FP20" s="111"/>
      <c r="FQ20" s="112" t="str">
        <f t="shared" si="38"/>
        <v>x</v>
      </c>
      <c r="FR20" s="112" t="str">
        <f t="shared" si="39"/>
        <v>x</v>
      </c>
      <c r="FS20" s="112" t="str">
        <f t="shared" si="40"/>
        <v>x</v>
      </c>
      <c r="FT20" s="112" t="str">
        <f t="shared" si="41"/>
        <v>x</v>
      </c>
      <c r="FU20" s="112" t="str">
        <f t="shared" si="42"/>
        <v>x</v>
      </c>
      <c r="FV20" s="112" t="str">
        <f t="shared" si="43"/>
        <v>x</v>
      </c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2" t="str">
        <f t="shared" si="44"/>
        <v>x</v>
      </c>
      <c r="GM20" s="111"/>
      <c r="GN20" s="111"/>
      <c r="GO20" s="112" t="str">
        <f t="shared" si="45"/>
        <v>x</v>
      </c>
      <c r="GP20" s="112"/>
      <c r="GQ20" s="112" t="str">
        <f t="shared" si="46"/>
        <v>x</v>
      </c>
      <c r="GR20" s="112" t="str">
        <f t="shared" si="47"/>
        <v>x</v>
      </c>
      <c r="GS20" s="111"/>
      <c r="GT20" s="111"/>
      <c r="GU20" s="111"/>
      <c r="GV20" s="111"/>
      <c r="GW20" s="111"/>
      <c r="GX20" s="111"/>
      <c r="GY20" s="111"/>
      <c r="GZ20" s="111"/>
      <c r="HA20" s="111"/>
      <c r="HB20" s="112" t="str">
        <f t="shared" si="48"/>
        <v>x</v>
      </c>
      <c r="HC20" s="112" t="str">
        <f t="shared" si="49"/>
        <v>x</v>
      </c>
      <c r="HD20" s="112" t="str">
        <f t="shared" si="50"/>
        <v>x</v>
      </c>
      <c r="HE20" s="112" t="str">
        <f t="shared" si="51"/>
        <v>x</v>
      </c>
      <c r="HF20" s="112" t="str">
        <f t="shared" si="51"/>
        <v>x</v>
      </c>
      <c r="HG20" s="112"/>
      <c r="HH20" s="112"/>
      <c r="HI20" s="112"/>
      <c r="HJ20" s="112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2" t="str">
        <f t="shared" si="52"/>
        <v>x</v>
      </c>
      <c r="HY20" s="112" t="str">
        <f t="shared" si="53"/>
        <v>x</v>
      </c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2"/>
      <c r="IK20" s="111"/>
      <c r="IL20" s="111"/>
      <c r="IM20" s="111"/>
      <c r="IN20" s="111"/>
      <c r="IO20" s="111"/>
      <c r="IP20" s="112"/>
      <c r="IQ20" s="112"/>
      <c r="IR20" s="111"/>
      <c r="IS20" s="111"/>
      <c r="IT20" s="111"/>
      <c r="IU20" s="112" t="str">
        <f t="shared" si="54"/>
        <v>x</v>
      </c>
      <c r="IV20" s="112"/>
      <c r="IW20" s="112"/>
      <c r="IX20" s="112" t="str">
        <f t="shared" si="55"/>
        <v>x</v>
      </c>
      <c r="IY20" s="111"/>
      <c r="IZ20" s="111"/>
      <c r="JA20" s="111"/>
      <c r="JB20" s="112" t="str">
        <f t="shared" si="56"/>
        <v>x</v>
      </c>
      <c r="JC20" s="111"/>
      <c r="JD20" s="112"/>
      <c r="JE20" s="112"/>
      <c r="JF20" s="111"/>
      <c r="JG20" s="111"/>
      <c r="JH20" s="111"/>
      <c r="JI20" s="112"/>
      <c r="JJ20" s="112"/>
      <c r="JK20" s="112"/>
      <c r="JL20" s="112"/>
      <c r="JM20" s="112"/>
      <c r="JN20" s="112"/>
      <c r="JO20" s="112"/>
      <c r="JP20" s="112"/>
      <c r="JQ20" s="112" t="str">
        <f t="shared" si="57"/>
        <v>x</v>
      </c>
      <c r="JR20" s="112"/>
      <c r="JS20" s="111"/>
      <c r="JT20" s="111"/>
      <c r="JU20" s="111"/>
      <c r="JV20" s="112"/>
      <c r="JW20" s="112"/>
      <c r="JX20" s="112"/>
      <c r="JY20" s="112"/>
      <c r="JZ20" s="112"/>
      <c r="KA20" s="112" t="str">
        <f t="shared" si="58"/>
        <v>x</v>
      </c>
      <c r="KB20" s="111"/>
      <c r="KC20" s="111"/>
      <c r="KD20" s="112" t="str">
        <f t="shared" si="59"/>
        <v>x</v>
      </c>
      <c r="KE20" s="111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</row>
    <row r="21" spans="1:346" ht="14.25" customHeight="1" x14ac:dyDescent="0.25">
      <c r="A21" s="110" t="s">
        <v>0</v>
      </c>
      <c r="B21" s="119" t="s">
        <v>76</v>
      </c>
      <c r="C21" s="120"/>
      <c r="D21" s="120"/>
      <c r="E21" s="120"/>
      <c r="F21" s="120"/>
      <c r="G21" s="120"/>
      <c r="H21" s="120"/>
      <c r="I21" s="120"/>
      <c r="J21" s="121"/>
      <c r="K21" s="111"/>
      <c r="L21" s="111"/>
      <c r="M21" s="111"/>
      <c r="N21" s="111"/>
      <c r="O21" s="112" t="str">
        <f t="shared" si="2"/>
        <v>x</v>
      </c>
      <c r="P21" s="111"/>
      <c r="Q21" s="111"/>
      <c r="R21" s="111"/>
      <c r="S21" s="111"/>
      <c r="T21" s="111"/>
      <c r="U21" s="111"/>
      <c r="V21" s="112"/>
      <c r="W21" s="111"/>
      <c r="X21" s="112"/>
      <c r="Y21" s="112"/>
      <c r="Z21" s="112"/>
      <c r="AA21" s="112"/>
      <c r="AB21" s="112"/>
      <c r="AC21" s="112"/>
      <c r="AD21" s="112"/>
      <c r="AE21" s="112"/>
      <c r="AF21" s="112" t="str">
        <f t="shared" si="3"/>
        <v>x</v>
      </c>
      <c r="AG21" s="111"/>
      <c r="AH21" s="111"/>
      <c r="AI21" s="111"/>
      <c r="AJ21" s="111"/>
      <c r="AK21" s="111"/>
      <c r="AL21" s="111"/>
      <c r="AM21" s="111"/>
      <c r="AN21" s="112"/>
      <c r="AO21" s="112"/>
      <c r="AP21" s="112"/>
      <c r="AQ21" s="112"/>
      <c r="AR21" s="112"/>
      <c r="AS21" s="112"/>
      <c r="AT21" s="112"/>
      <c r="AU21" s="113"/>
      <c r="AV21" s="114" t="str">
        <f t="shared" si="4"/>
        <v>x</v>
      </c>
      <c r="AW21" s="114" t="str">
        <f t="shared" si="5"/>
        <v>x</v>
      </c>
      <c r="AX21" s="111"/>
      <c r="AY21" s="111"/>
      <c r="AZ21" s="112" t="str">
        <f t="shared" si="6"/>
        <v>x</v>
      </c>
      <c r="BA21" s="112" t="str">
        <f t="shared" si="7"/>
        <v>x</v>
      </c>
      <c r="BB21" s="111"/>
      <c r="BC21" s="111"/>
      <c r="BD21" s="111"/>
      <c r="BE21" s="111"/>
      <c r="BF21" s="111"/>
      <c r="BG21" s="111"/>
      <c r="BH21" s="112" t="str">
        <f t="shared" si="8"/>
        <v>x</v>
      </c>
      <c r="BI21" s="111"/>
      <c r="BJ21" s="111"/>
      <c r="BK21" s="112" t="str">
        <f t="shared" si="9"/>
        <v>x</v>
      </c>
      <c r="BL21" s="112" t="str">
        <f>HYPERLINK("http://www.frnrw.de/images/Aus_den_Initiativen/Ehrenamtler/2015/Dictionary_x10_print-2.pdf","x")</f>
        <v>x</v>
      </c>
      <c r="BM21" s="111"/>
      <c r="BN21" s="111"/>
      <c r="BO21" s="111"/>
      <c r="BP21" s="111"/>
      <c r="BQ21" s="111"/>
      <c r="BR21" s="112" t="str">
        <f t="shared" si="10"/>
        <v>x</v>
      </c>
      <c r="BS21" s="112"/>
      <c r="BT21" s="111"/>
      <c r="BU21" s="112" t="str">
        <f t="shared" si="11"/>
        <v>x</v>
      </c>
      <c r="BV21" s="112" t="str">
        <f t="shared" si="12"/>
        <v>x</v>
      </c>
      <c r="BW21" s="112"/>
      <c r="BX21" s="112"/>
      <c r="BY21" s="112" t="str">
        <f t="shared" si="13"/>
        <v>x</v>
      </c>
      <c r="BZ21" s="112" t="str">
        <f t="shared" si="14"/>
        <v>x</v>
      </c>
      <c r="CA21" s="112" t="str">
        <f t="shared" si="15"/>
        <v>x</v>
      </c>
      <c r="CB21" s="112" t="str">
        <f t="shared" si="16"/>
        <v>x</v>
      </c>
      <c r="CC21" s="112"/>
      <c r="CD21" s="112"/>
      <c r="CE21" s="111"/>
      <c r="CF21" s="111"/>
      <c r="CG21" s="111"/>
      <c r="CH21" s="111"/>
      <c r="CI21" s="111"/>
      <c r="CJ21" s="112" t="str">
        <f t="shared" si="17"/>
        <v>x</v>
      </c>
      <c r="CK21" s="112"/>
      <c r="CL21" s="112"/>
      <c r="CM21" s="112"/>
      <c r="CN21" s="112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2"/>
      <c r="CZ21" s="112" t="str">
        <f t="shared" si="18"/>
        <v>x</v>
      </c>
      <c r="DA21" s="112"/>
      <c r="DB21" s="115"/>
      <c r="DC21" s="112"/>
      <c r="DD21" s="112"/>
      <c r="DE21" s="112" t="str">
        <f t="shared" si="19"/>
        <v>x</v>
      </c>
      <c r="DF21" s="115" t="str">
        <f t="shared" si="20"/>
        <v>x</v>
      </c>
      <c r="DG21" s="112" t="str">
        <f t="shared" si="21"/>
        <v>x</v>
      </c>
      <c r="DH21" s="112" t="str">
        <f t="shared" si="22"/>
        <v>x</v>
      </c>
      <c r="DI21" s="112" t="str">
        <f t="shared" si="23"/>
        <v>x</v>
      </c>
      <c r="DJ21" s="112"/>
      <c r="DK21" s="112"/>
      <c r="DL21" s="112"/>
      <c r="DM21" s="112"/>
      <c r="DN21" s="112"/>
      <c r="DO21" s="111"/>
      <c r="DP21" s="111"/>
      <c r="DQ21" s="111"/>
      <c r="DR21" s="112" t="str">
        <f t="shared" si="24"/>
        <v>x</v>
      </c>
      <c r="DS21" s="112" t="str">
        <f t="shared" si="25"/>
        <v>x</v>
      </c>
      <c r="DT21" s="112"/>
      <c r="DU21" s="111"/>
      <c r="DV21" s="111"/>
      <c r="DW21" s="111"/>
      <c r="DX21" s="111"/>
      <c r="DY21" s="111"/>
      <c r="DZ21" s="111"/>
      <c r="EA21" s="112"/>
      <c r="EB21" s="111"/>
      <c r="EC21" s="111"/>
      <c r="ED21" s="111"/>
      <c r="EE21" s="111"/>
      <c r="EF21" s="111"/>
      <c r="EG21" s="111"/>
      <c r="EH21" s="111"/>
      <c r="EI21" s="112"/>
      <c r="EJ21" s="112"/>
      <c r="EK21" s="111"/>
      <c r="EL21" s="112" t="str">
        <f t="shared" si="26"/>
        <v>x</v>
      </c>
      <c r="EM21" s="111"/>
      <c r="EN21" s="111"/>
      <c r="EO21" s="117" t="str">
        <f t="shared" si="27"/>
        <v>x</v>
      </c>
      <c r="EP21" s="118"/>
      <c r="EQ21" s="112" t="str">
        <f t="shared" si="28"/>
        <v>x</v>
      </c>
      <c r="ER21" s="112"/>
      <c r="ES21" s="112"/>
      <c r="ET21" s="111"/>
      <c r="EU21" s="112" t="str">
        <f t="shared" si="1"/>
        <v>x</v>
      </c>
      <c r="EV21" s="112" t="str">
        <f t="shared" si="29"/>
        <v>x</v>
      </c>
      <c r="EW21" s="111"/>
      <c r="EX21" s="111"/>
      <c r="EY21" s="111"/>
      <c r="EZ21" s="111"/>
      <c r="FA21" s="111"/>
      <c r="FB21" s="111"/>
      <c r="FC21" s="112" t="str">
        <f t="shared" si="30"/>
        <v>x</v>
      </c>
      <c r="FD21" s="112" t="str">
        <f t="shared" si="31"/>
        <v>x</v>
      </c>
      <c r="FE21" s="112" t="str">
        <f t="shared" si="32"/>
        <v>x</v>
      </c>
      <c r="FF21" s="112" t="str">
        <f t="shared" si="33"/>
        <v>x</v>
      </c>
      <c r="FG21" s="111"/>
      <c r="FH21" s="111"/>
      <c r="FI21" s="112"/>
      <c r="FJ21" s="112" t="str">
        <f t="shared" si="34"/>
        <v>x</v>
      </c>
      <c r="FK21" s="112" t="str">
        <f t="shared" si="35"/>
        <v>x</v>
      </c>
      <c r="FL21" s="112"/>
      <c r="FM21" s="112" t="str">
        <f t="shared" si="36"/>
        <v>x</v>
      </c>
      <c r="FN21" s="112"/>
      <c r="FO21" s="112" t="str">
        <f t="shared" si="37"/>
        <v>x</v>
      </c>
      <c r="FP21" s="111"/>
      <c r="FQ21" s="112" t="str">
        <f t="shared" si="38"/>
        <v>x</v>
      </c>
      <c r="FR21" s="112" t="str">
        <f t="shared" si="39"/>
        <v>x</v>
      </c>
      <c r="FS21" s="112" t="str">
        <f t="shared" si="40"/>
        <v>x</v>
      </c>
      <c r="FT21" s="112" t="str">
        <f t="shared" si="41"/>
        <v>x</v>
      </c>
      <c r="FU21" s="112" t="str">
        <f t="shared" si="42"/>
        <v>x</v>
      </c>
      <c r="FV21" s="112" t="str">
        <f t="shared" si="43"/>
        <v>x</v>
      </c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2" t="str">
        <f t="shared" si="44"/>
        <v>x</v>
      </c>
      <c r="GM21" s="111"/>
      <c r="GN21" s="111"/>
      <c r="GO21" s="112" t="str">
        <f t="shared" si="45"/>
        <v>x</v>
      </c>
      <c r="GP21" s="112"/>
      <c r="GQ21" s="112" t="str">
        <f t="shared" si="46"/>
        <v>x</v>
      </c>
      <c r="GR21" s="112" t="str">
        <f t="shared" si="47"/>
        <v>x</v>
      </c>
      <c r="GS21" s="111"/>
      <c r="GT21" s="111"/>
      <c r="GU21" s="111"/>
      <c r="GV21" s="111"/>
      <c r="GW21" s="111"/>
      <c r="GX21" s="111"/>
      <c r="GY21" s="111"/>
      <c r="GZ21" s="111"/>
      <c r="HA21" s="111"/>
      <c r="HB21" s="112" t="str">
        <f t="shared" si="48"/>
        <v>x</v>
      </c>
      <c r="HC21" s="112" t="str">
        <f t="shared" si="49"/>
        <v>x</v>
      </c>
      <c r="HD21" s="112" t="str">
        <f t="shared" si="50"/>
        <v>x</v>
      </c>
      <c r="HE21" s="112" t="str">
        <f t="shared" si="51"/>
        <v>x</v>
      </c>
      <c r="HF21" s="112" t="str">
        <f t="shared" si="51"/>
        <v>x</v>
      </c>
      <c r="HG21" s="112"/>
      <c r="HH21" s="112"/>
      <c r="HI21" s="112"/>
      <c r="HJ21" s="112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2" t="str">
        <f t="shared" si="52"/>
        <v>x</v>
      </c>
      <c r="HY21" s="112" t="str">
        <f t="shared" si="53"/>
        <v>x</v>
      </c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2"/>
      <c r="IK21" s="111"/>
      <c r="IL21" s="111"/>
      <c r="IM21" s="111"/>
      <c r="IN21" s="111"/>
      <c r="IO21" s="111"/>
      <c r="IP21" s="112"/>
      <c r="IQ21" s="112"/>
      <c r="IR21" s="111"/>
      <c r="IS21" s="111"/>
      <c r="IT21" s="111"/>
      <c r="IU21" s="112" t="str">
        <f t="shared" si="54"/>
        <v>x</v>
      </c>
      <c r="IV21" s="112"/>
      <c r="IW21" s="112"/>
      <c r="IX21" s="112" t="str">
        <f t="shared" si="55"/>
        <v>x</v>
      </c>
      <c r="IY21" s="111"/>
      <c r="IZ21" s="111"/>
      <c r="JA21" s="111"/>
      <c r="JB21" s="112" t="str">
        <f t="shared" si="56"/>
        <v>x</v>
      </c>
      <c r="JC21" s="111"/>
      <c r="JD21" s="112"/>
      <c r="JE21" s="112"/>
      <c r="JF21" s="111"/>
      <c r="JG21" s="111"/>
      <c r="JH21" s="111"/>
      <c r="JI21" s="112"/>
      <c r="JJ21" s="112"/>
      <c r="JK21" s="112"/>
      <c r="JL21" s="112"/>
      <c r="JM21" s="112"/>
      <c r="JN21" s="112"/>
      <c r="JO21" s="112"/>
      <c r="JP21" s="112"/>
      <c r="JQ21" s="112" t="str">
        <f t="shared" si="57"/>
        <v>x</v>
      </c>
      <c r="JR21" s="112"/>
      <c r="JS21" s="111"/>
      <c r="JT21" s="111"/>
      <c r="JU21" s="111"/>
      <c r="JV21" s="112"/>
      <c r="JW21" s="112"/>
      <c r="JX21" s="112"/>
      <c r="JY21" s="112"/>
      <c r="JZ21" s="112"/>
      <c r="KA21" s="112" t="str">
        <f t="shared" si="58"/>
        <v>x</v>
      </c>
      <c r="KB21" s="111"/>
      <c r="KC21" s="111"/>
      <c r="KD21" s="112" t="str">
        <f t="shared" si="59"/>
        <v>x</v>
      </c>
      <c r="KE21" s="111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</row>
    <row r="22" spans="1:346" x14ac:dyDescent="0.25">
      <c r="A22" s="101" t="s">
        <v>38</v>
      </c>
      <c r="B22" s="102"/>
      <c r="C22" s="102"/>
      <c r="D22" s="102"/>
      <c r="E22" s="102"/>
      <c r="F22" s="102"/>
      <c r="G22" s="102"/>
      <c r="H22" s="102"/>
      <c r="I22" s="102"/>
      <c r="J22" s="103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6"/>
      <c r="AV22" s="106"/>
      <c r="AW22" s="106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9"/>
      <c r="EP22" s="109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5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04"/>
      <c r="JW22" s="104"/>
      <c r="JX22" s="104"/>
      <c r="JY22" s="104"/>
      <c r="JZ22" s="104"/>
      <c r="KA22" s="104"/>
      <c r="KB22" s="104"/>
      <c r="KC22" s="104"/>
      <c r="KD22" s="104"/>
      <c r="KE22" s="104"/>
      <c r="KF22" s="104"/>
      <c r="KG22" s="104"/>
      <c r="KH22" s="104"/>
      <c r="KI22" s="104"/>
      <c r="KJ22" s="104"/>
      <c r="KK22" s="104"/>
      <c r="KL22" s="104"/>
      <c r="KM22" s="104"/>
      <c r="KN22" s="104"/>
      <c r="KO22" s="104"/>
      <c r="KP22" s="104"/>
      <c r="KQ22" s="104"/>
      <c r="KR22" s="104"/>
      <c r="KS22" s="104"/>
      <c r="KT22" s="104"/>
      <c r="KU22" s="104"/>
      <c r="KV22" s="104"/>
      <c r="KW22" s="104"/>
      <c r="KX22" s="104"/>
      <c r="KY22" s="104"/>
      <c r="KZ22" s="104"/>
      <c r="LA22" s="104"/>
      <c r="LB22" s="104"/>
      <c r="LC22" s="104"/>
      <c r="LD22" s="104"/>
      <c r="LE22" s="104"/>
      <c r="LF22" s="104"/>
      <c r="LG22" s="104"/>
      <c r="LH22" s="104"/>
      <c r="LI22" s="104"/>
      <c r="LJ22" s="104"/>
      <c r="LK22" s="104"/>
      <c r="LL22" s="104"/>
      <c r="LM22" s="104"/>
      <c r="LN22" s="104"/>
      <c r="LO22" s="104"/>
      <c r="LP22" s="104"/>
      <c r="LQ22" s="104"/>
      <c r="LR22" s="104"/>
      <c r="LS22" s="104"/>
      <c r="LT22" s="104"/>
      <c r="LU22" s="104"/>
      <c r="LV22" s="104"/>
      <c r="LW22" s="104"/>
      <c r="LX22" s="104"/>
      <c r="LY22" s="104"/>
      <c r="LZ22" s="104"/>
      <c r="MA22" s="104"/>
      <c r="MB22" s="104"/>
      <c r="MC22" s="104"/>
      <c r="MD22" s="104"/>
      <c r="ME22" s="104"/>
      <c r="MF22" s="104"/>
      <c r="MG22" s="104"/>
      <c r="MH22" s="104"/>
    </row>
    <row r="23" spans="1:346" ht="14.25" customHeight="1" x14ac:dyDescent="0.25">
      <c r="A23" s="110" t="s">
        <v>38</v>
      </c>
      <c r="B23" s="101" t="s">
        <v>48</v>
      </c>
      <c r="C23" s="102"/>
      <c r="D23" s="102"/>
      <c r="E23" s="102"/>
      <c r="F23" s="102"/>
      <c r="G23" s="102"/>
      <c r="H23" s="102"/>
      <c r="I23" s="102"/>
      <c r="J23" s="103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2"/>
      <c r="AO23" s="112"/>
      <c r="AP23" s="112"/>
      <c r="AQ23" s="112"/>
      <c r="AR23" s="112"/>
      <c r="AS23" s="112"/>
      <c r="AT23" s="112"/>
      <c r="AU23" s="113"/>
      <c r="AV23" s="114" t="str">
        <f t="shared" ref="AV23:AV26" si="60">HYPERLINK("http://sab.landtag.sachsen.de/dokumente/landtagskurier/SAB_DeutschLernen_DinA5_WEB141115.pdf","x")</f>
        <v>x</v>
      </c>
      <c r="AW23" s="114" t="str">
        <f t="shared" ref="AW23:AW26" si="61">HYPERLINK("http://sab.landtag.sachsen.de/dokumente/landtagskurier/SAB_PL_Lernposter_WEB091115.pdf","x")</f>
        <v>x</v>
      </c>
      <c r="AX23" s="111"/>
      <c r="AY23" s="111"/>
      <c r="AZ23" s="112" t="str">
        <f t="shared" ref="AZ23:AZ26" si="6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" s="112" t="str">
        <f t="shared" ref="BA23:BA26" si="63">HYPERLINK("http://wie-kann-ich-helfen.info/WoerterbuchAnalphabet_innen_%28c%29_Dagmar_Schmeelcke.pdf","x")</f>
        <v>x</v>
      </c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2" t="str">
        <f t="shared" ref="BR23:BR26" si="64">HYPERLINK("http://www.goethe.de/lrn/prj/wnd/deu/lti/deindex.htm#13322010","x")</f>
        <v>x</v>
      </c>
      <c r="BS23" s="112"/>
      <c r="BT23" s="111"/>
      <c r="BU23" s="112" t="str">
        <f t="shared" ref="BU23:BU26" si="65">HYPERLINK("https://s3-eu-west-1.amazonaws.com/lingolia/download/lingolia_daf.pdf","x")</f>
        <v>x</v>
      </c>
      <c r="BV23" s="112"/>
      <c r="BW23" s="112"/>
      <c r="BX23" s="112"/>
      <c r="BY23" s="112"/>
      <c r="BZ23" s="112" t="str">
        <f t="shared" ref="BZ23:BZ26" si="66">HYPERLINK("http://www.hueber.de/shared/uebungen/schritte-plus","x")</f>
        <v>x</v>
      </c>
      <c r="CA23" s="112" t="str">
        <f t="shared" ref="CA23:CA26" si="67">HYPERLINK("https://www.hueber.de/shared/uebungen/menschen-hier/ab/a1-1/menu.html","x")</f>
        <v>x</v>
      </c>
      <c r="CB23" s="112" t="str">
        <f t="shared" ref="CB23:CB26" si="68">HYPERLINK("http://www.goethe-verlag.com/DE/","x")</f>
        <v>x</v>
      </c>
      <c r="CC23" s="112"/>
      <c r="CD23" s="112"/>
      <c r="CE23" s="111"/>
      <c r="CF23" s="111"/>
      <c r="CG23" s="111"/>
      <c r="CH23" s="111"/>
      <c r="CI23" s="111"/>
      <c r="CJ23" s="112" t="str">
        <f t="shared" ref="CJ23:CJ26" si="69">HYPERLINK("http://www.e-migrantinnen.de/index.php?de_wichtige-links","x")</f>
        <v>x</v>
      </c>
      <c r="CK23" s="112"/>
      <c r="CL23" s="112"/>
      <c r="CM23" s="112"/>
      <c r="CN23" s="112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2"/>
      <c r="CZ23" s="112" t="str">
        <f t="shared" ref="CZ23:CZ26" si="70">HYPERLINK("http://sichere-orte-schaffen.de/wp-content/uploads/Minibrosch_Fluechtlinge_multilang.pdf","x")</f>
        <v>x</v>
      </c>
      <c r="DA23" s="112"/>
      <c r="DB23" s="115"/>
      <c r="DC23" s="112"/>
      <c r="DD23" s="112"/>
      <c r="DE23" s="112" t="str">
        <f t="shared" ref="DE23:DE26" si="71">HYPERLINK("http://fi-lohmar-siegburg.de/data/documents/130-37_Inklusion_im_Anfangsunterricht_-_Poster_mit_Situationsbildern.pdf","x")</f>
        <v>x</v>
      </c>
      <c r="DF23" s="115" t="str">
        <f t="shared" ref="DF23:DF26" si="72">HYPERLINK("http://s3-eu-west-1.amazonaws.com/lingolia/calendar/2016/lingolia_2016_de.pdf","x")</f>
        <v>x</v>
      </c>
      <c r="DG23" s="112" t="str">
        <f t="shared" ref="DG23:DG26" si="73">HYPERLINK("http://www.bibliomedia.ch/de/angebote/img/Wimmelbild.jpg","x")</f>
        <v>x</v>
      </c>
      <c r="DH23" s="112" t="str">
        <f t="shared" ref="DH23:DH26" si="74">HYPERLINK("http://www.bibliomedia.ch/de/angebote/dokumente/Wimmelbild_Fehler.jpg","x")</f>
        <v>x</v>
      </c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2"/>
      <c r="DU23" s="111"/>
      <c r="DV23" s="111"/>
      <c r="DW23" s="111"/>
      <c r="DX23" s="111"/>
      <c r="DY23" s="111"/>
      <c r="DZ23" s="111"/>
      <c r="EA23" s="112"/>
      <c r="EB23" s="111"/>
      <c r="EC23" s="111"/>
      <c r="ED23" s="111"/>
      <c r="EE23" s="111"/>
      <c r="EF23" s="111"/>
      <c r="EG23" s="111"/>
      <c r="EH23" s="111"/>
      <c r="EI23" s="112"/>
      <c r="EJ23" s="112"/>
      <c r="EK23" s="111"/>
      <c r="EL23" s="111"/>
      <c r="EM23" s="111"/>
      <c r="EN23" s="111"/>
      <c r="EO23" s="117" t="str">
        <f t="shared" ref="EO23:EO26" si="75">HYPERLINK("http://www.medi-bild.de/pdf/anamnese/Welche_Sprache.pdf","x")</f>
        <v>x</v>
      </c>
      <c r="EP23" s="117" t="str">
        <f>HYPERLINK("http://www.medi-bild.de/pdf/anamnese/tipdoc_Anamnese_amh.pdf","x")</f>
        <v>x</v>
      </c>
      <c r="EQ23" s="111"/>
      <c r="ER23" s="111"/>
      <c r="ES23" s="111"/>
      <c r="ET23" s="111"/>
      <c r="EU23" s="111"/>
      <c r="EV23" s="112" t="str">
        <f t="shared" ref="EV23:EV26" si="76">HYPERLINK("http://www.lak-rlp.de/fileadmin/redakteure/pdf/download/Piktogramme_Dosieretiketten_AoG.pdf","x")</f>
        <v>x</v>
      </c>
      <c r="EW23" s="111"/>
      <c r="EX23" s="111"/>
      <c r="EY23" s="111"/>
      <c r="EZ23" s="111"/>
      <c r="FA23" s="111"/>
      <c r="FB23" s="111"/>
      <c r="FC23" s="112" t="str">
        <f t="shared" ref="FC23:FC26" si="77">HYPERLINK("http://mige.ix-tech.de/index.php?id=241","x")</f>
        <v>x</v>
      </c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2" t="str">
        <f t="shared" si="48"/>
        <v>x</v>
      </c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2" t="str">
        <f t="shared" ref="HX23:HX26" si="78">HYPERLINK("http://www.selfhelpfortrauma.org/","x")</f>
        <v>x</v>
      </c>
      <c r="HY23" s="112" t="str">
        <f t="shared" ref="HY23:HY26" si="79">HYPERLINK("http://peacefulheart.se/wp-content/uploads/2014/12/Resolving-Yesterday-20141201-Self-Tapping.pdf","x")</f>
        <v>x</v>
      </c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2"/>
      <c r="IK23" s="112" t="str">
        <f>HYPERLINK("http://www.bamf.de/SharedDocs/Anlagen/DE/Publikationen/Flyer/flyer-erstorientierung-asylsuchende_amharisch.pdf?__blob=publicationFile","x")</f>
        <v>x</v>
      </c>
      <c r="IL23" s="111"/>
      <c r="IM23" s="111"/>
      <c r="IN23" s="111"/>
      <c r="IO23" s="111"/>
      <c r="IP23" s="112"/>
      <c r="IQ23" s="112"/>
      <c r="IR23" s="111"/>
      <c r="IS23" s="111"/>
      <c r="IT23" s="111"/>
      <c r="IU23" s="112" t="str">
        <f>HYPERLINK("http://www.asyl.net/fileadmin/user_upload/infoblatt_anhoerung/Infoblatt_2015_amh_fin.pdf","x")</f>
        <v>x</v>
      </c>
      <c r="IV23" s="112"/>
      <c r="IW23" s="112"/>
      <c r="IX23" s="112" t="str">
        <f>HYPERLINK("http://www.bamf.de/SharedDocs/Anlagen/DE/Publikationen/Broschueren/broschuere-eat-a4-am-amharisch.pdf?__blob=publicationFile","x")</f>
        <v>x</v>
      </c>
      <c r="IY23" s="111"/>
      <c r="IZ23" s="111"/>
      <c r="JA23" s="111"/>
      <c r="JB23" s="112"/>
      <c r="JC23" s="111"/>
      <c r="JD23" s="112"/>
      <c r="JE23" s="112"/>
      <c r="JF23" s="111"/>
      <c r="JG23" s="111"/>
      <c r="JH23" s="111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1"/>
      <c r="JT23" s="111"/>
      <c r="JU23" s="111"/>
      <c r="JV23" s="112"/>
      <c r="JW23" s="112"/>
      <c r="JX23" s="111"/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11"/>
      <c r="KL23" s="111"/>
      <c r="KM23" s="111"/>
      <c r="KN23" s="111"/>
      <c r="KO23" s="111"/>
      <c r="KP23" s="111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11"/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1"/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11"/>
      <c r="MH23" s="111"/>
    </row>
    <row r="24" spans="1:346" ht="14.25" customHeight="1" x14ac:dyDescent="0.25">
      <c r="A24" s="110" t="s">
        <v>38</v>
      </c>
      <c r="B24" s="101" t="s">
        <v>51</v>
      </c>
      <c r="C24" s="102"/>
      <c r="D24" s="102"/>
      <c r="E24" s="102"/>
      <c r="F24" s="102"/>
      <c r="G24" s="102"/>
      <c r="H24" s="102"/>
      <c r="I24" s="102"/>
      <c r="J24" s="103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2"/>
      <c r="AO24" s="112"/>
      <c r="AP24" s="112"/>
      <c r="AQ24" s="112"/>
      <c r="AR24" s="112"/>
      <c r="AS24" s="112"/>
      <c r="AT24" s="112"/>
      <c r="AU24" s="113"/>
      <c r="AV24" s="114" t="str">
        <f t="shared" si="60"/>
        <v>x</v>
      </c>
      <c r="AW24" s="114" t="str">
        <f t="shared" si="61"/>
        <v>x</v>
      </c>
      <c r="AX24" s="111"/>
      <c r="AY24" s="111"/>
      <c r="AZ24" s="112" t="str">
        <f t="shared" si="62"/>
        <v>x</v>
      </c>
      <c r="BA24" s="112" t="str">
        <f t="shared" si="63"/>
        <v>x</v>
      </c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2" t="str">
        <f t="shared" si="64"/>
        <v>x</v>
      </c>
      <c r="BS24" s="112"/>
      <c r="BT24" s="111"/>
      <c r="BU24" s="112" t="str">
        <f t="shared" si="65"/>
        <v>x</v>
      </c>
      <c r="BV24" s="112"/>
      <c r="BW24" s="112"/>
      <c r="BX24" s="112"/>
      <c r="BY24" s="112"/>
      <c r="BZ24" s="112" t="str">
        <f t="shared" si="66"/>
        <v>x</v>
      </c>
      <c r="CA24" s="112" t="str">
        <f t="shared" si="67"/>
        <v>x</v>
      </c>
      <c r="CB24" s="112" t="str">
        <f t="shared" si="68"/>
        <v>x</v>
      </c>
      <c r="CC24" s="112"/>
      <c r="CD24" s="112"/>
      <c r="CE24" s="111"/>
      <c r="CF24" s="111"/>
      <c r="CG24" s="111"/>
      <c r="CH24" s="111"/>
      <c r="CI24" s="111"/>
      <c r="CJ24" s="112" t="str">
        <f t="shared" si="69"/>
        <v>x</v>
      </c>
      <c r="CK24" s="112"/>
      <c r="CL24" s="112"/>
      <c r="CM24" s="112"/>
      <c r="CN24" s="112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2"/>
      <c r="CZ24" s="112" t="str">
        <f t="shared" si="70"/>
        <v>x</v>
      </c>
      <c r="DA24" s="112"/>
      <c r="DB24" s="115"/>
      <c r="DC24" s="112"/>
      <c r="DD24" s="112"/>
      <c r="DE24" s="112" t="str">
        <f t="shared" si="71"/>
        <v>x</v>
      </c>
      <c r="DF24" s="115" t="str">
        <f t="shared" si="72"/>
        <v>x</v>
      </c>
      <c r="DG24" s="112" t="str">
        <f t="shared" si="73"/>
        <v>x</v>
      </c>
      <c r="DH24" s="112" t="str">
        <f t="shared" si="74"/>
        <v>x</v>
      </c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2"/>
      <c r="DU24" s="111"/>
      <c r="DV24" s="111"/>
      <c r="DW24" s="111"/>
      <c r="DX24" s="111"/>
      <c r="DY24" s="111"/>
      <c r="DZ24" s="111"/>
      <c r="EA24" s="112"/>
      <c r="EB24" s="111"/>
      <c r="EC24" s="111"/>
      <c r="ED24" s="111"/>
      <c r="EE24" s="111"/>
      <c r="EF24" s="111"/>
      <c r="EG24" s="111"/>
      <c r="EH24" s="111"/>
      <c r="EI24" s="112"/>
      <c r="EJ24" s="112"/>
      <c r="EK24" s="111"/>
      <c r="EL24" s="111"/>
      <c r="EM24" s="111"/>
      <c r="EN24" s="111"/>
      <c r="EO24" s="117" t="str">
        <f t="shared" si="75"/>
        <v>x</v>
      </c>
      <c r="EP24" s="117" t="str">
        <f t="shared" ref="EP24:EP26" si="80">HYPERLINK("http://www.medi-bild.de/pdf/anamnese/tipdoc_Anamnese_amh.pdf","x")</f>
        <v>x</v>
      </c>
      <c r="EQ24" s="111"/>
      <c r="ER24" s="111"/>
      <c r="ES24" s="111"/>
      <c r="ET24" s="111"/>
      <c r="EU24" s="111"/>
      <c r="EV24" s="112" t="str">
        <f t="shared" si="76"/>
        <v>x</v>
      </c>
      <c r="EW24" s="111"/>
      <c r="EX24" s="111"/>
      <c r="EY24" s="111"/>
      <c r="EZ24" s="111"/>
      <c r="FA24" s="111"/>
      <c r="FB24" s="111"/>
      <c r="FC24" s="112" t="str">
        <f t="shared" si="77"/>
        <v>x</v>
      </c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2" t="str">
        <f t="shared" si="48"/>
        <v>x</v>
      </c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2" t="str">
        <f t="shared" si="78"/>
        <v>x</v>
      </c>
      <c r="HY24" s="112" t="str">
        <f t="shared" si="79"/>
        <v>x</v>
      </c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2"/>
      <c r="IK24" s="112" t="str">
        <f t="shared" ref="IK24:IK26" si="81">HYPERLINK("http://www.bamf.de/SharedDocs/Anlagen/DE/Publikationen/Flyer/flyer-erstorientierung-asylsuchende_amharisch.pdf?__blob=publicationFile","x")</f>
        <v>x</v>
      </c>
      <c r="IL24" s="111"/>
      <c r="IM24" s="111"/>
      <c r="IN24" s="111"/>
      <c r="IO24" s="111"/>
      <c r="IP24" s="112"/>
      <c r="IQ24" s="112"/>
      <c r="IR24" s="111"/>
      <c r="IS24" s="111"/>
      <c r="IT24" s="111"/>
      <c r="IU24" s="112" t="str">
        <f t="shared" ref="IU24:IU26" si="82">HYPERLINK("http://www.asyl.net/fileadmin/user_upload/infoblatt_anhoerung/Infoblatt_2015_amh_fin.pdf","x")</f>
        <v>x</v>
      </c>
      <c r="IV24" s="112"/>
      <c r="IW24" s="112"/>
      <c r="IX24" s="112" t="str">
        <f t="shared" ref="IX24:IX26" si="83">HYPERLINK("http://www.bamf.de/SharedDocs/Anlagen/DE/Publikationen/Broschueren/broschuere-eat-a4-am-amharisch.pdf?__blob=publicationFile","x")</f>
        <v>x</v>
      </c>
      <c r="IY24" s="111"/>
      <c r="IZ24" s="111"/>
      <c r="JA24" s="111"/>
      <c r="JB24" s="112"/>
      <c r="JC24" s="111"/>
      <c r="JD24" s="112"/>
      <c r="JE24" s="112"/>
      <c r="JF24" s="111"/>
      <c r="JG24" s="111"/>
      <c r="JH24" s="111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22"/>
      <c r="JT24" s="111"/>
      <c r="JU24" s="111"/>
      <c r="JV24" s="112"/>
      <c r="JW24" s="112"/>
      <c r="JX24" s="111"/>
      <c r="JY24" s="111"/>
      <c r="JZ24" s="111"/>
      <c r="KA24" s="111"/>
      <c r="KB24" s="111"/>
      <c r="KC24" s="111"/>
      <c r="KD24" s="111"/>
      <c r="KE24" s="122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</row>
    <row r="25" spans="1:346" ht="14.25" customHeight="1" x14ac:dyDescent="0.25">
      <c r="A25" s="110" t="s">
        <v>38</v>
      </c>
      <c r="B25" s="101" t="s">
        <v>52</v>
      </c>
      <c r="C25" s="102"/>
      <c r="D25" s="102"/>
      <c r="E25" s="102"/>
      <c r="F25" s="102"/>
      <c r="G25" s="102"/>
      <c r="H25" s="102"/>
      <c r="I25" s="102"/>
      <c r="J25" s="103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2"/>
      <c r="AO25" s="112"/>
      <c r="AP25" s="112"/>
      <c r="AQ25" s="112"/>
      <c r="AR25" s="112"/>
      <c r="AS25" s="112"/>
      <c r="AT25" s="112"/>
      <c r="AU25" s="113"/>
      <c r="AV25" s="114" t="str">
        <f t="shared" si="60"/>
        <v>x</v>
      </c>
      <c r="AW25" s="114" t="str">
        <f t="shared" si="61"/>
        <v>x</v>
      </c>
      <c r="AX25" s="111"/>
      <c r="AY25" s="111"/>
      <c r="AZ25" s="112" t="str">
        <f t="shared" si="62"/>
        <v>x</v>
      </c>
      <c r="BA25" s="112" t="str">
        <f t="shared" si="63"/>
        <v>x</v>
      </c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2" t="str">
        <f t="shared" si="64"/>
        <v>x</v>
      </c>
      <c r="BS25" s="112"/>
      <c r="BT25" s="111"/>
      <c r="BU25" s="112" t="str">
        <f t="shared" si="65"/>
        <v>x</v>
      </c>
      <c r="BV25" s="112"/>
      <c r="BW25" s="112"/>
      <c r="BX25" s="112"/>
      <c r="BY25" s="112"/>
      <c r="BZ25" s="112" t="str">
        <f t="shared" si="66"/>
        <v>x</v>
      </c>
      <c r="CA25" s="112" t="str">
        <f t="shared" si="67"/>
        <v>x</v>
      </c>
      <c r="CB25" s="112" t="str">
        <f t="shared" si="68"/>
        <v>x</v>
      </c>
      <c r="CC25" s="112"/>
      <c r="CD25" s="112"/>
      <c r="CE25" s="111"/>
      <c r="CF25" s="111"/>
      <c r="CG25" s="111"/>
      <c r="CH25" s="111"/>
      <c r="CI25" s="111"/>
      <c r="CJ25" s="112" t="str">
        <f t="shared" si="69"/>
        <v>x</v>
      </c>
      <c r="CK25" s="112"/>
      <c r="CL25" s="112"/>
      <c r="CM25" s="112"/>
      <c r="CN25" s="112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2"/>
      <c r="CZ25" s="112" t="str">
        <f t="shared" si="70"/>
        <v>x</v>
      </c>
      <c r="DA25" s="112"/>
      <c r="DB25" s="115"/>
      <c r="DC25" s="112"/>
      <c r="DD25" s="112"/>
      <c r="DE25" s="112" t="str">
        <f t="shared" si="71"/>
        <v>x</v>
      </c>
      <c r="DF25" s="115" t="str">
        <f t="shared" si="72"/>
        <v>x</v>
      </c>
      <c r="DG25" s="112" t="str">
        <f t="shared" si="73"/>
        <v>x</v>
      </c>
      <c r="DH25" s="112" t="str">
        <f t="shared" si="74"/>
        <v>x</v>
      </c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2"/>
      <c r="DU25" s="111"/>
      <c r="DV25" s="111"/>
      <c r="DW25" s="111"/>
      <c r="DX25" s="111"/>
      <c r="DY25" s="111"/>
      <c r="DZ25" s="111"/>
      <c r="EA25" s="112"/>
      <c r="EB25" s="111"/>
      <c r="EC25" s="111"/>
      <c r="ED25" s="111"/>
      <c r="EE25" s="111"/>
      <c r="EF25" s="111"/>
      <c r="EG25" s="111"/>
      <c r="EH25" s="111"/>
      <c r="EI25" s="112"/>
      <c r="EJ25" s="112"/>
      <c r="EK25" s="111"/>
      <c r="EL25" s="111"/>
      <c r="EM25" s="111"/>
      <c r="EN25" s="111"/>
      <c r="EO25" s="117" t="str">
        <f t="shared" si="75"/>
        <v>x</v>
      </c>
      <c r="EP25" s="117" t="str">
        <f t="shared" si="80"/>
        <v>x</v>
      </c>
      <c r="EQ25" s="111"/>
      <c r="ER25" s="111"/>
      <c r="ES25" s="111"/>
      <c r="ET25" s="111"/>
      <c r="EU25" s="111"/>
      <c r="EV25" s="112" t="str">
        <f t="shared" si="76"/>
        <v>x</v>
      </c>
      <c r="EW25" s="111"/>
      <c r="EX25" s="111"/>
      <c r="EY25" s="111"/>
      <c r="EZ25" s="111"/>
      <c r="FA25" s="111"/>
      <c r="FB25" s="111"/>
      <c r="FC25" s="112" t="str">
        <f t="shared" si="77"/>
        <v>x</v>
      </c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2" t="str">
        <f t="shared" si="48"/>
        <v>x</v>
      </c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2" t="str">
        <f t="shared" si="78"/>
        <v>x</v>
      </c>
      <c r="HY25" s="112" t="str">
        <f t="shared" si="79"/>
        <v>x</v>
      </c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2"/>
      <c r="IK25" s="112" t="str">
        <f t="shared" si="81"/>
        <v>x</v>
      </c>
      <c r="IL25" s="111"/>
      <c r="IM25" s="111"/>
      <c r="IN25" s="111"/>
      <c r="IO25" s="111"/>
      <c r="IP25" s="112"/>
      <c r="IQ25" s="112"/>
      <c r="IR25" s="111"/>
      <c r="IS25" s="111"/>
      <c r="IT25" s="111"/>
      <c r="IU25" s="112" t="str">
        <f t="shared" si="82"/>
        <v>x</v>
      </c>
      <c r="IV25" s="112"/>
      <c r="IW25" s="112"/>
      <c r="IX25" s="112" t="str">
        <f t="shared" si="83"/>
        <v>x</v>
      </c>
      <c r="IY25" s="111"/>
      <c r="IZ25" s="111"/>
      <c r="JA25" s="111"/>
      <c r="JB25" s="112"/>
      <c r="JC25" s="111"/>
      <c r="JD25" s="112"/>
      <c r="JE25" s="112"/>
      <c r="JF25" s="111"/>
      <c r="JG25" s="111"/>
      <c r="JH25" s="111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1"/>
      <c r="JT25" s="111"/>
      <c r="JU25" s="111"/>
      <c r="JV25" s="112"/>
      <c r="JW25" s="112"/>
      <c r="JX25" s="111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</row>
    <row r="26" spans="1:346" x14ac:dyDescent="0.25">
      <c r="A26" s="110" t="s">
        <v>38</v>
      </c>
      <c r="B26" s="101" t="s">
        <v>88</v>
      </c>
      <c r="C26" s="102"/>
      <c r="D26" s="102"/>
      <c r="E26" s="102"/>
      <c r="F26" s="102"/>
      <c r="G26" s="102"/>
      <c r="H26" s="102"/>
      <c r="I26" s="102"/>
      <c r="J26" s="103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2"/>
      <c r="AO26" s="112"/>
      <c r="AP26" s="112"/>
      <c r="AQ26" s="112"/>
      <c r="AR26" s="112"/>
      <c r="AS26" s="112"/>
      <c r="AT26" s="112"/>
      <c r="AU26" s="113"/>
      <c r="AV26" s="114" t="str">
        <f t="shared" si="60"/>
        <v>x</v>
      </c>
      <c r="AW26" s="114" t="str">
        <f t="shared" si="61"/>
        <v>x</v>
      </c>
      <c r="AX26" s="111"/>
      <c r="AY26" s="111"/>
      <c r="AZ26" s="112" t="str">
        <f t="shared" si="62"/>
        <v>x</v>
      </c>
      <c r="BA26" s="112" t="str">
        <f t="shared" si="63"/>
        <v>x</v>
      </c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2" t="str">
        <f t="shared" si="64"/>
        <v>x</v>
      </c>
      <c r="BS26" s="112"/>
      <c r="BT26" s="111"/>
      <c r="BU26" s="112" t="str">
        <f t="shared" si="65"/>
        <v>x</v>
      </c>
      <c r="BV26" s="112"/>
      <c r="BW26" s="112"/>
      <c r="BX26" s="112"/>
      <c r="BY26" s="112"/>
      <c r="BZ26" s="112" t="str">
        <f t="shared" si="66"/>
        <v>x</v>
      </c>
      <c r="CA26" s="112" t="str">
        <f t="shared" si="67"/>
        <v>x</v>
      </c>
      <c r="CB26" s="112" t="str">
        <f t="shared" si="68"/>
        <v>x</v>
      </c>
      <c r="CC26" s="112"/>
      <c r="CD26" s="112"/>
      <c r="CE26" s="111"/>
      <c r="CF26" s="111"/>
      <c r="CG26" s="111"/>
      <c r="CH26" s="111"/>
      <c r="CI26" s="111"/>
      <c r="CJ26" s="112" t="str">
        <f t="shared" si="69"/>
        <v>x</v>
      </c>
      <c r="CK26" s="112"/>
      <c r="CL26" s="112"/>
      <c r="CM26" s="112"/>
      <c r="CN26" s="112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2"/>
      <c r="CZ26" s="112" t="str">
        <f t="shared" si="70"/>
        <v>x</v>
      </c>
      <c r="DA26" s="112"/>
      <c r="DB26" s="115"/>
      <c r="DC26" s="112"/>
      <c r="DD26" s="112"/>
      <c r="DE26" s="112" t="str">
        <f t="shared" si="71"/>
        <v>x</v>
      </c>
      <c r="DF26" s="115" t="str">
        <f t="shared" si="72"/>
        <v>x</v>
      </c>
      <c r="DG26" s="112" t="str">
        <f t="shared" si="73"/>
        <v>x</v>
      </c>
      <c r="DH26" s="112" t="str">
        <f t="shared" si="74"/>
        <v>x</v>
      </c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2"/>
      <c r="DU26" s="111"/>
      <c r="DV26" s="111"/>
      <c r="DW26" s="111"/>
      <c r="DX26" s="111"/>
      <c r="DY26" s="111"/>
      <c r="DZ26" s="111"/>
      <c r="EA26" s="112"/>
      <c r="EB26" s="111"/>
      <c r="EC26" s="111"/>
      <c r="ED26" s="111"/>
      <c r="EE26" s="111"/>
      <c r="EF26" s="111"/>
      <c r="EG26" s="111"/>
      <c r="EH26" s="111"/>
      <c r="EI26" s="112"/>
      <c r="EJ26" s="112"/>
      <c r="EK26" s="111"/>
      <c r="EL26" s="111"/>
      <c r="EM26" s="111"/>
      <c r="EN26" s="111"/>
      <c r="EO26" s="117" t="str">
        <f t="shared" si="75"/>
        <v>x</v>
      </c>
      <c r="EP26" s="117" t="str">
        <f t="shared" si="80"/>
        <v>x</v>
      </c>
      <c r="EQ26" s="111"/>
      <c r="ER26" s="111"/>
      <c r="ES26" s="111"/>
      <c r="ET26" s="111"/>
      <c r="EU26" s="111"/>
      <c r="EV26" s="112" t="str">
        <f t="shared" si="76"/>
        <v>x</v>
      </c>
      <c r="EW26" s="111"/>
      <c r="EX26" s="111"/>
      <c r="EY26" s="111"/>
      <c r="EZ26" s="111"/>
      <c r="FA26" s="111"/>
      <c r="FB26" s="111"/>
      <c r="FC26" s="112" t="str">
        <f t="shared" si="77"/>
        <v>x</v>
      </c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2" t="str">
        <f t="shared" si="48"/>
        <v>x</v>
      </c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2" t="str">
        <f t="shared" si="78"/>
        <v>x</v>
      </c>
      <c r="HY26" s="112" t="str">
        <f t="shared" si="79"/>
        <v>x</v>
      </c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2"/>
      <c r="IK26" s="112" t="str">
        <f t="shared" si="81"/>
        <v>x</v>
      </c>
      <c r="IL26" s="111"/>
      <c r="IM26" s="111"/>
      <c r="IN26" s="111"/>
      <c r="IO26" s="111"/>
      <c r="IP26" s="112"/>
      <c r="IQ26" s="112"/>
      <c r="IR26" s="111"/>
      <c r="IS26" s="111"/>
      <c r="IT26" s="111"/>
      <c r="IU26" s="112" t="str">
        <f t="shared" si="82"/>
        <v>x</v>
      </c>
      <c r="IV26" s="112"/>
      <c r="IW26" s="112"/>
      <c r="IX26" s="112" t="str">
        <f t="shared" si="83"/>
        <v>x</v>
      </c>
      <c r="IY26" s="111"/>
      <c r="IZ26" s="111"/>
      <c r="JA26" s="111"/>
      <c r="JB26" s="112"/>
      <c r="JC26" s="111"/>
      <c r="JD26" s="112"/>
      <c r="JE26" s="112"/>
      <c r="JF26" s="111"/>
      <c r="JG26" s="111"/>
      <c r="JH26" s="111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1"/>
      <c r="JT26" s="111"/>
      <c r="JU26" s="111"/>
      <c r="JV26" s="112"/>
      <c r="JW26" s="112"/>
      <c r="JX26" s="111"/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11"/>
      <c r="KL26" s="111"/>
      <c r="KM26" s="111"/>
      <c r="KN26" s="111"/>
      <c r="KO26" s="111"/>
      <c r="KP26" s="111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11"/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</row>
    <row r="27" spans="1:346" x14ac:dyDescent="0.25">
      <c r="A27" s="101" t="s">
        <v>1</v>
      </c>
      <c r="B27" s="102"/>
      <c r="C27" s="102"/>
      <c r="D27" s="102"/>
      <c r="E27" s="102"/>
      <c r="F27" s="102"/>
      <c r="G27" s="102"/>
      <c r="H27" s="102"/>
      <c r="I27" s="102"/>
      <c r="J27" s="103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6"/>
      <c r="AV27" s="106"/>
      <c r="AW27" s="106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9"/>
      <c r="EP27" s="109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5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</row>
    <row r="28" spans="1:346" x14ac:dyDescent="0.25">
      <c r="A28" s="110" t="s">
        <v>1</v>
      </c>
      <c r="B28" s="101" t="s">
        <v>28</v>
      </c>
      <c r="C28" s="102"/>
      <c r="D28" s="102"/>
      <c r="E28" s="102"/>
      <c r="F28" s="102"/>
      <c r="G28" s="102"/>
      <c r="H28" s="102"/>
      <c r="I28" s="102"/>
      <c r="J28" s="103"/>
      <c r="K28" s="112" t="str">
        <f>HYPERLINK("http://sghanstedt.elbnetz.com/ueber-uns/","x")</f>
        <v>x</v>
      </c>
      <c r="L28" s="111"/>
      <c r="M28" s="112" t="str">
        <f t="shared" ref="M28:M48" si="84">HYPERLINK("http://www.ag-fluechtlingshilfe-wetterau.de/uploads/infos/170.pdf","x")</f>
        <v>x</v>
      </c>
      <c r="N28" s="112" t="str">
        <f>HYPERLINK("http://www.ag-fluechtlingshilfe-wetterau.de/uploads/infos/220.pdf","x")</f>
        <v>x</v>
      </c>
      <c r="O28" s="112" t="str">
        <f>HYPERLINK("http://www.awb-ahrweiler.de/admin/data/ddownload/Abfall%20Sonderhinweise-Arabisch%202015.pdf","x")</f>
        <v>x</v>
      </c>
      <c r="P28" s="112" t="str">
        <f>HYPERLINK("http://www.ag-fluechtlingshilfe-wetterau.de/uploads/infos/221.pdf","x")</f>
        <v>x</v>
      </c>
      <c r="Q28" s="112" t="str">
        <f>HYPERLINK("http://www.konto.org/download/merkblatt-basiskonto-asylbewerber-arabisch.pdf","x")</f>
        <v>x</v>
      </c>
      <c r="R28" s="112"/>
      <c r="S28" s="112" t="str">
        <f>HYPERLINK("https://antworten.sparkasse.de/wp-content/uploads/2015/10/Arabisch.pdf","x")</f>
        <v>x</v>
      </c>
      <c r="T28" s="112" t="str">
        <f>HYPERLINK("http://www.ag-fluechtlingshilfe-wetterau.de/uploads/infos/191.pdf","x")</f>
        <v>x</v>
      </c>
      <c r="U28" s="112"/>
      <c r="V28" s="112"/>
      <c r="W2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X2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Y28" s="112"/>
      <c r="Z28" s="112"/>
      <c r="AA28" s="112"/>
      <c r="AB28" s="112"/>
      <c r="AC28" s="112" t="str">
        <f>HYPERLINK("http://www.rundfunkbeitrag.de/e175/e1629/Informationsflyer_Buergerinnen_und_Buerger_arabisch.pdf","x")</f>
        <v>x</v>
      </c>
      <c r="AD28" s="112"/>
      <c r="AE28" s="112" t="str">
        <f>HYPERLINK("http://www.kub-berlin.org/formularprojekt/de/arabisch-antraege-und-anlagen/","x")</f>
        <v>x</v>
      </c>
      <c r="AF28" s="112" t="str">
        <f>HYPERLINK("http://asyl-in-moenchengladbach.de/wp-content/uploads/2015/11/100711-Flyer_arab.pdf","x")</f>
        <v>x</v>
      </c>
      <c r="AG28" s="111"/>
      <c r="AH28" s="112" t="str">
        <f>HYPERLINK("https://www.adac.de/sp/stiftung/_mmm/pdf/SGE_FOL_Verkehrssicherheit_Fl%C3%BCchtlinge_A3_01_16_Internet_250277.pdf","x")</f>
        <v>x</v>
      </c>
      <c r="AI28" s="112" t="str">
        <f>HYPERLINK("http://www.stadt-koeln.de/mediaasset/content/العربية_kvb_kinderleicht_und_spielend_einfach__arabisch_.pdf","x")</f>
        <v>x</v>
      </c>
      <c r="AJ28" s="112" t="str">
        <f>HYPERLINK("https://www.vrsinfo.de/fileadmin/Dateien/downloadcenter/Folder_MobilPassTicket_Refugees01012016.pdf","x")</f>
        <v>x</v>
      </c>
      <c r="AK28" s="112" t="str">
        <f>HYPERLINK("https://www.vrsinfo.de/fileadmin/Dateien/downloadcenter/Willkommen_im_VRS2016_Druck.pdf","x")</f>
        <v>x</v>
      </c>
      <c r="AL28" s="112"/>
      <c r="AM28" s="112" t="str">
        <f>HYPERLINK("https://www.deutschebahn.com/file/de/2191748/eYdgZpqGpp5sMJ2KMKtg2r8aE4Q/10123812/data/infos_fuer_fluechtlinge.pdf","x")</f>
        <v>x</v>
      </c>
      <c r="AN28" s="112"/>
      <c r="AO28" s="112"/>
      <c r="AP28" s="112"/>
      <c r="AQ28" s="112"/>
      <c r="AR28" s="112"/>
      <c r="AS28" s="112" t="str">
        <f>HYPERLINK("http://www.koelnerkarneval.de/fileadmin/content/images/news/Festkomitee_Flyer_DE_AR.pdf","x")</f>
        <v>x</v>
      </c>
      <c r="AT28" s="112"/>
      <c r="AU28" s="114" t="str">
        <f>HYPERLINK("http://www.studentenwerke.de/de/content/illustriertes-wohnheimw%C3%B6rterbuch-1","x")</f>
        <v>x</v>
      </c>
      <c r="AV28" s="114" t="str">
        <f t="shared" ref="AV28:AV48" si="85">HYPERLINK("http://sab.landtag.sachsen.de/dokumente/landtagskurier/SAB_DeutschLernen_DinA5_WEB141115.pdf","x")</f>
        <v>x</v>
      </c>
      <c r="AW28" s="114" t="str">
        <f t="shared" ref="AW28:AW48" si="86">HYPERLINK("http://sab.landtag.sachsen.de/dokumente/landtagskurier/SAB_PL_Lernposter_WEB091115.pdf","x")</f>
        <v>x</v>
      </c>
      <c r="AX28" s="112" t="str">
        <f>HYPERLINK("http://fi-lohmar-siegburg.de/data/documents/Findefix_arabisch-Bildwoerterbuch.pdf","x")</f>
        <v>x</v>
      </c>
      <c r="AY28" s="111"/>
      <c r="AZ28" s="112" t="str">
        <f t="shared" ref="AZ28:AZ48" si="8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" s="112" t="str">
        <f t="shared" ref="BA28:BA48" si="88">HYPERLINK("http://wie-kann-ich-helfen.info/WoerterbuchAnalphabet_innen_%28c%29_Dagmar_Schmeelcke.pdf","x")</f>
        <v>x</v>
      </c>
      <c r="BB28" s="112"/>
      <c r="BC28" s="112" t="str">
        <f>HYPERLINK("http://www.rehavista.de/?at=Mat_Boardmaker&amp;d=1&amp;dtype=mat&amp;id=1014","x")</f>
        <v>x</v>
      </c>
      <c r="BD28" s="112" t="str">
        <f>HYPERLINK("http://fi-lohmar-siegburg.de/data/documents/communicationboard-arabic-english.pdf","x")</f>
        <v>x</v>
      </c>
      <c r="BE28" s="112" t="str">
        <f>HYPERLINK("http://fi-lohmar-siegburg.de/data/documents/communicationboard-arabic-french.pdf","x")</f>
        <v>x</v>
      </c>
      <c r="BF28" s="111"/>
      <c r="BG28" s="112" t="str">
        <f>HYPERLINK("http://www.refugeephrasebook.de/pdf/germany150920.pdf","x")</f>
        <v>x</v>
      </c>
      <c r="BH28" s="112" t="str">
        <f>HYPERLINK("https://www.advanced-online.eu/downloads/RefugeePhrasebookCards_German-Arabic.pdf","x")</f>
        <v>x</v>
      </c>
      <c r="BI28" s="112" t="str">
        <f>HYPERLINK("http://www.klett-sprachen.de/download/8638/W100255_Refugees_Welcome_Wortschatz.pdf","x")</f>
        <v>x</v>
      </c>
      <c r="BJ28" s="112" t="str">
        <f>HYPERLINK("http://www.agf-trier.de/sites/default/files/bersetzungshilfe%20allgemein%20Arab..pdf","x")</f>
        <v>x</v>
      </c>
      <c r="BK28" s="112" t="str">
        <f>HYPERLINK("http://www.bundessprachenamt.de/deutsch/wir_ueber_uns/nachrichten/2015/20151103/Verständigungshilfe_Syrisch-Arabisch_07_12_2015.pdf","x")</f>
        <v>x</v>
      </c>
      <c r="BL28" s="112" t="str">
        <f t="shared" ref="BL28:BL48" si="89">HYPERLINK("http://www.frnrw.de/images/Aus_den_Initiativen/Ehrenamtler/2015/Dictionary_x10_print-2.pdf","x")</f>
        <v>x</v>
      </c>
      <c r="BM28" s="112" t="str">
        <f>HYPERLINK("http://www.medbox.org/toolboxes/kleines-worterbuch-little-dictionary-deutsch-englisch-arabisch/preview","x")</f>
        <v>x</v>
      </c>
      <c r="BN28" s="111"/>
      <c r="BO28" s="111"/>
      <c r="BP28" s="112" t="str">
        <f>HYPERLINK("https://www.friedensdorf.de/documents/Woerterbuch_Arabisch.pdf","x")</f>
        <v>x</v>
      </c>
      <c r="BQ28" s="111"/>
      <c r="BR28" s="112" t="str">
        <f t="shared" ref="BR28:BR48" si="90">HYPERLINK("http://www.goethe.de/lrn/prj/wnd/deu/lti/deindex.htm#13322010","x")</f>
        <v>x</v>
      </c>
      <c r="BS28" s="112" t="str">
        <f>HYPERLINK("http://de.langenscheidt.com/doc/arabisch-deutsch-sprachfuehrer.pdf","x")</f>
        <v>x</v>
      </c>
      <c r="BT28" s="111"/>
      <c r="BU28" s="112" t="str">
        <f t="shared" ref="BU28:BU48" si="91">HYPERLINK("https://s3-eu-west-1.amazonaws.com/lingolia/download/lingolia_daf.pdf","x")</f>
        <v>x</v>
      </c>
      <c r="BV28" s="112" t="str">
        <f>HYPERLINK("http://www.welcomegrooves.de/wp-content/uploads/2015/10/welcomegrooves_DE-ARABISCH.pdf","x")</f>
        <v>x</v>
      </c>
      <c r="BW28" s="112"/>
      <c r="BX28" s="112"/>
      <c r="BY28" s="112" t="str">
        <f>HYPERLINK("http://fluechtlingshilfe-nettetal.de/ausbildung/video-sprachkurse-deutsch-fuer-fluechtlinge/video-sprachkurs-syrisch-deutsch/","x")</f>
        <v>x</v>
      </c>
      <c r="BZ28" s="112" t="str">
        <f t="shared" ref="BZ28:BZ48" si="92">HYPERLINK("http://www.hueber.de/shared/uebungen/schritte-plus","x")</f>
        <v>x</v>
      </c>
      <c r="CA28" s="112" t="str">
        <f t="shared" ref="CA28:CA48" si="93">HYPERLINK("https://www.hueber.de/shared/uebungen/menschen-hier/ab/a1-1/menu.html","x")</f>
        <v>x</v>
      </c>
      <c r="CB28" s="112" t="str">
        <f t="shared" ref="CB28:CB48" si="94">HYPERLINK("http://www.goethe-verlag.com/DE/","x")</f>
        <v>x</v>
      </c>
      <c r="CC28" s="112"/>
      <c r="CD28" s="112"/>
      <c r="CE28" s="112" t="str">
        <f>HYPERLINK("http://www.agf-trier.de/sites/default/files/bersetzungshilfe%20%20f%C3%BCr%20Frauen%20Arab..pdf","x")</f>
        <v>x</v>
      </c>
      <c r="CF28" s="112" t="str">
        <f>HYPERLINK("http://www.braunschweig.de/leben/frauen/hilfe/Ohne-Gewalt-leben.pdf","x")</f>
        <v>x</v>
      </c>
      <c r="CG28" s="112" t="str">
        <f>HYPERLINK("http://mifkjf.rlp.de/fileadmin/mifkjf/Frauen/Gewalt_gegen_Frauen/Downloads/Broschueren_Flyer/Flyer_Gewalt_arabisch_fuer_ANSICHT.pdf","x")</f>
        <v>x</v>
      </c>
      <c r="CH28" s="112"/>
      <c r="CI28" s="112" t="str">
        <f>HYPERLINK("https://www.hilfetelefon.de/fileadmin/hilfetelefon_de/Materialien/weitere_werbemittel/Klappflyer_Vorder-_und_Rueckseite_opt2.pdf","x")</f>
        <v>x</v>
      </c>
      <c r="CJ28" s="112" t="str">
        <f t="shared" ref="CJ28:CJ48" si="95">HYPERLINK("http://www.e-migrantinnen.de/index.php?de_wichtige-links","x")</f>
        <v>x</v>
      </c>
      <c r="CK28" s="112" t="str">
        <f>HYPERLINK("http://www.frauenberatungsstelle.de/pdf/Migrantinnen-beraten-Migrantinnen.pdf","x")</f>
        <v>x</v>
      </c>
      <c r="CL28" s="112"/>
      <c r="CM28" s="112"/>
      <c r="CN28" s="112"/>
      <c r="CO28" s="112" t="str">
        <f>HYPERLINK("http://www.schwanger-und-viele-fragen.de/ar/","x")</f>
        <v>x</v>
      </c>
      <c r="CP28" s="112"/>
      <c r="CQ2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R28" s="112"/>
      <c r="CS28" s="112"/>
      <c r="CT28" s="112" t="str">
        <f>HYPERLINK("http://www.profamilia.de/fileadmin/publikationen/Erwachsene/mehrsprachig/verhuetung_arabisch.pdf","x")</f>
        <v>x</v>
      </c>
      <c r="CU28" s="112"/>
      <c r="CV28" s="112"/>
      <c r="CW28" s="112"/>
      <c r="CX28" s="112" t="str">
        <f>HYPERLINK("http://www.caritas-schwarzwald-alb-donau.de/68854.html","x")</f>
        <v>x</v>
      </c>
      <c r="CY28" s="112"/>
      <c r="CZ28" s="112" t="str">
        <f t="shared" ref="CZ28:CZ48" si="96">HYPERLINK("http://sichere-orte-schaffen.de/wp-content/uploads/Minibrosch_Fluechtlinge_multilang.pdf","x")</f>
        <v>x</v>
      </c>
      <c r="DA28" s="112"/>
      <c r="DB28" s="115" t="str">
        <f>HYPERLINK("http://www.kindersicherheit.de/pdf/2012_Bilderbuch-Gift-Arabisch.pdf","x")</f>
        <v>x</v>
      </c>
      <c r="DC28" s="112"/>
      <c r="DD28" s="112"/>
      <c r="DE28" s="112" t="str">
        <f t="shared" ref="DE28:DE48" si="97">HYPERLINK("http://fi-lohmar-siegburg.de/data/documents/130-37_Inklusion_im_Anfangsunterricht_-_Poster_mit_Situationsbildern.pdf","x")</f>
        <v>x</v>
      </c>
      <c r="DF28" s="115" t="str">
        <f t="shared" ref="DF28:DF48" si="98">HYPERLINK("http://s3-eu-west-1.amazonaws.com/lingolia/calendar/2016/lingolia_2016_de.pdf","x")</f>
        <v>x</v>
      </c>
      <c r="DG28" s="112" t="str">
        <f t="shared" ref="DG28:DG48" si="99">HYPERLINK("http://www.bibliomedia.ch/de/angebote/img/Wimmelbild.jpg","x")</f>
        <v>x</v>
      </c>
      <c r="DH28" s="112" t="str">
        <f t="shared" ref="DH28:DH48" si="100">HYPERLINK("http://www.bibliomedia.ch/de/angebote/dokumente/Wimmelbild_Fehler.jpg","x")</f>
        <v>x</v>
      </c>
      <c r="DI28" s="112" t="str">
        <f>HYPERLINK("http://www.bibliomedia.ch/de/angebote/dokumente/Glossar_arabisch.pdf","x")</f>
        <v>x</v>
      </c>
      <c r="DJ28" s="112"/>
      <c r="DK28" s="112" t="str">
        <f>HYPERLINK("http://www.carlsen.de/sites/default/files/Walter-ebook_arabisch_klein.pdf","x")</f>
        <v>x</v>
      </c>
      <c r="DL28" s="112"/>
      <c r="DM28" s="112"/>
      <c r="DN28" s="112" t="str">
        <f>HYPERLINK("http://www.wdrmaus.de/sachgeschichten/maus-international/","x")</f>
        <v>x</v>
      </c>
      <c r="DO28" s="111"/>
      <c r="DP28" s="112" t="str">
        <f>HYPERLINK("http://tipdoc.de/bus/grafik/kinder-tip/SCHULTIP_give_didacta.pdf","x")</f>
        <v>x</v>
      </c>
      <c r="DQ28" s="112" t="str">
        <f>HYPERLINK("https://broschueren.nordrheinwestfalendirekt.de/broschuerenservice/msw/ar-das-schulsystem-in-nordrhein-westfalen-einfach-und-schnell-erklaert/1901","x")</f>
        <v>x</v>
      </c>
      <c r="DR28" s="112" t="str">
        <f>HYPERLINK("http://bildung.koeln.de/materialbibliothek/download.php?idx=7479da9798519efb4e1944d46a76011b","x")</f>
        <v>x</v>
      </c>
      <c r="DS28" s="112" t="str">
        <f>HYPERLINK("http://bildung.koeln.de/materialbibliothek/download.php?idx=dd3a964c240308ea1c8e0d161e49e314","x")</f>
        <v>x</v>
      </c>
      <c r="DT28" s="112"/>
      <c r="DU28" s="112" t="str">
        <f>HYPERLINK("https://www.bmbf.de/pub/Kausa_Elternbroschuere_arabisch.pdf","x")</f>
        <v>x</v>
      </c>
      <c r="DV28" s="112"/>
      <c r="DW28" s="112" t="str">
        <f>HYPERLINK("http://www.wissenschaft.nrw.de/studium/informieren/informationen-fuer-fluechtlinge-die-in-nrw-studieren-moechten/","x")</f>
        <v>x</v>
      </c>
      <c r="DX28" s="112" t="str">
        <f>HYPERLINK("http://www.bamf.de/SharedDocs/Anlagen/DE/Publikationen/Flyer/AnerkennungBerufsabschluss/berufliche_anerkennung_akademische-heilberufe_ar.pdf?__blob=publicationFile","x")</f>
        <v>x</v>
      </c>
      <c r="DY28" s="112" t="str">
        <f>HYPERLINK("http://www.bamf.de/SharedDocs/Anlagen/DE/Publikationen/Flyer/AnerkennungBerufsabschluss/anerkennung-berufsabschluss_ar.pdf?__blob=publicationFile","x")</f>
        <v>x</v>
      </c>
      <c r="DZ28" s="112" t="str">
        <f>HYPERLINK("http://www.bamf.de/SharedDocs/Anlagen/DE/Publikationen/Flyer/AnerkennungBerufsabschluss/anerkennung-berufsabschluss_ausland_ar.pdf?__blob=publicationFile","x")</f>
        <v>x</v>
      </c>
      <c r="EA28" s="112" t="str">
        <f>HYPERLINK("http://www.bamf.de/SharedDocs/Anlagen/DE/Publikationen/Broschueren/willkommen-in-deutschland-info-blaue-karte-eu_ar.pdf?__blob=publicationFile","x")</f>
        <v>x</v>
      </c>
      <c r="EB28" s="112" t="str">
        <f>HYPERLINK("http://www.bamf.de/SharedDocs/Anlagen/DE/Publikationen/Flyer/Berufsbezsprachf-ESF-BAMF/berufsbezsprachf-esf-bamf_ar.pdf?__blob=publicationFile","x")</f>
        <v>x</v>
      </c>
      <c r="EC28" s="111"/>
      <c r="ED28" s="111"/>
      <c r="EE28" s="111"/>
      <c r="EF28" s="111"/>
      <c r="EG28" s="111"/>
      <c r="EH28" s="111"/>
      <c r="EI28" s="112"/>
      <c r="EJ28" s="112" t="str">
        <f>HYPERLINK("http://fluechtlingsrat-bw.de/files/Dateien/Dokumente/Materialbestellung/2014-12-flyer%20arbeitserlaubnis%20AR%20WEB_final.pdf","x")</f>
        <v>x</v>
      </c>
      <c r="EK28" s="112" t="str">
        <f>HYPERLINK("http://www.aponet.de/arabisch/20151019-fuer-den-notfall-wichtige-rufnummern-im-ueberblick.html","x")</f>
        <v>x</v>
      </c>
      <c r="EL28" s="112" t="str">
        <f>HYPERLINK("http://www.kvs-sachsen.de/fileadmin/img/Mitglieder/Asylbewerber/Allg-Informationen/Anlage_1_Arabisch_LEK.pdf","x")</f>
        <v>x</v>
      </c>
      <c r="EM28" s="112" t="str">
        <f>HYPERLINK("http://www.medizin-hilft-fluechtlingen.de/images/Dokumente/gSch/gSch_arab.pdf","x")</f>
        <v>x</v>
      </c>
      <c r="EN28" s="112" t="str">
        <f>HYPERLINK("http://www.aponet.de/arabisch/20151016-medizinische-leistungen-fuer-asylbewerber.html","x")</f>
        <v>x</v>
      </c>
      <c r="EO28" s="117" t="str">
        <f t="shared" ref="EO28:EO48" si="101">HYPERLINK("http://www.medi-bild.de/pdf/anamnese/Welche_Sprache.pdf","x")</f>
        <v>x</v>
      </c>
      <c r="EP28" s="117" t="str">
        <f>HYPERLINK("http://www.armut-gesundheit.de/fileadmin/redakteur/dokumente/Anamnesebogen%20-%20Arabischnew.pdf","x")</f>
        <v>x</v>
      </c>
      <c r="EQ28" s="112" t="str">
        <f>HYPERLINK("http://www.kvs-sachsen.de/fileadmin/img/Mitglieder/Asylbewerber/Allg-Informationen/Anlagen_2-1_2-2_Arabisch_LEK.pdf","x")</f>
        <v>x</v>
      </c>
      <c r="ER28" s="112"/>
      <c r="ES28" s="112" t="str">
        <f t="shared" ref="ES28:ES48" si="102">HYPERLINK("http://www.pharmazeutische-zeitung.de/fileadmin/pdf/Fragebogen_PZ_43_2015.pdf","x")</f>
        <v>x</v>
      </c>
      <c r="ET28" s="112" t="str">
        <f>HYPERLINK("http://www.medizin-hilft-fluechtlingen.de/images/Dokumente/ein/ein_arab.pdf","x")</f>
        <v>x</v>
      </c>
      <c r="EU28" s="112" t="str">
        <f>HYPERLINK("http://www.adler-apotheke-hh.de/fileadmin/user_upload/PDF-Dateien/Dosierzettel_mehrsprachig_AUF_0_.pdf","x")</f>
        <v>x</v>
      </c>
      <c r="EV28" s="112" t="str">
        <f t="shared" ref="EV28:EV48" si="103">HYPERLINK("http://www.lak-rlp.de/fileadmin/redakteure/pdf/download/Piktogramme_Dosieretiketten_AoG.pdf","x")</f>
        <v>x</v>
      </c>
      <c r="EW28" s="112" t="str">
        <f>HYPERLINK("http://www.rki.de/DE/Content/Infekt/IfSG/Belehrungsbogen/belehrungsbogen_eltern_arabisch.pdf?__blob=publicationFile","x")</f>
        <v>x</v>
      </c>
      <c r="EX28" s="112" t="str">
        <f>HYPERLINK("http://www.bzga.de/infomaterialien/?sid=236","x")</f>
        <v>x</v>
      </c>
      <c r="EY28" s="112" t="str">
        <f>HYPERLINK("https://www.mh-hannover.de/fileadmin/mhh/bilder/aktuelles_presse/presseinformationen_news/150921_Pilz_Vergif_Arab_3.pdf","x")</f>
        <v>x</v>
      </c>
      <c r="EZ28" s="112"/>
      <c r="FA28" s="112" t="str">
        <f>HYPERLINK("http://static.apotheken-umschau.de/media/gp/article_506373/bildwoerterbuch.pdf","x")</f>
        <v>x</v>
      </c>
      <c r="FB28" s="111"/>
      <c r="FC28" s="112" t="str">
        <f t="shared" ref="FC28:FC48" si="104">HYPERLINK("http://mige.ix-tech.de/index.php?id=241","x")</f>
        <v>x</v>
      </c>
      <c r="FD28" s="112" t="str">
        <f t="shared" ref="FD28:FD48" si="105">HYPERLINK("http://sghanstedt.elbnetz.com/ueber-uns/","x")</f>
        <v>x</v>
      </c>
      <c r="FE28" s="112" t="str">
        <f t="shared" ref="FE28:FE48" si="106">HYPERLINK("http://www.fuhlenhagen.com/pdf_dateien/uebertzungshilfe_aerzte_mehrsprachig.pdf","x")</f>
        <v>x</v>
      </c>
      <c r="FF28" s="112" t="str">
        <f t="shared" ref="FF28:FF48" si="107">HYPERLINK("http://www.tipdoc.de/grafik/asyl/Gesundheitsheft_Asyl.pdf","x")</f>
        <v>x</v>
      </c>
      <c r="FG28" s="111"/>
      <c r="FH28" s="111"/>
      <c r="FI28" s="112" t="str">
        <f>HYPERLINK("http://www.bundesgesundheitsministerium.de/fileadmin/dateien/Publikationen/Gesundheit/Broschueren/Ratgeber_Asylsuchende/Ratgeber_Asylsuchende_arab.PDF","x")</f>
        <v>x</v>
      </c>
      <c r="FJ28" s="112" t="str">
        <f>HYPERLINK("http://www.rki.de/DE/Content/Infekt/Impfen/Materialien/Downloads-Impfkalender/Impfkalender_Arabisch.pdf?__blob=publicationFile","x")</f>
        <v>x</v>
      </c>
      <c r="FK28" s="112" t="str">
        <f>HYPERLINK("http://www.ethno-medizinisches-zentrum.de/images/PDF-Files/impfwegweiser_arabbisch_2013_online.pdf","x")</f>
        <v>x</v>
      </c>
      <c r="FL28" s="112"/>
      <c r="FM28" s="112" t="str">
        <f>HYPERLINK("http://www.rki.de/DE/Content/Infekt/Impfen/Materialien/Glossar-Downloads/glossar-de-arabisch.pdf?__blob=publicationFile","x")</f>
        <v>x</v>
      </c>
      <c r="FN28" s="112"/>
      <c r="FO28" s="112" t="str">
        <f>HYPERLINK("http://www.rki.de/DE/Content/Infekt/Impfen/Materialien/Downloads-MMR/MMR-Impfinfo-arabisch.pdf?__blob=publicationFile","x")</f>
        <v>x</v>
      </c>
      <c r="FP28" s="112" t="str">
        <f>HYPERLINK("http://www.rki.de/DE/Content/InfAZ/P/Polio/Ausbruch_Syrien/Informationsblatt_Polio_Arabisch.pdf?__blob=publicationFile","x")</f>
        <v>x</v>
      </c>
      <c r="FQ28" s="112" t="str">
        <f>HYPERLINK("http://www.rki.de/DE/Content/Infekt/Impfen/Materialien/Downloads_HepA/Aufklaerung_HAV-Impfung_arabisch.pdf?__blob=publicationFile","x")</f>
        <v>x</v>
      </c>
      <c r="FR28" s="112" t="str">
        <f>HYPERLINK("http://www.rki.de/DE/Content/Infekt/Impfen/Materialien/Downloads_Pneumokokken/Aufklaerung_Pneumo-Impfung_Arabisch.pdf?__blob=publicationFile","x")</f>
        <v>x</v>
      </c>
      <c r="FS28" s="112" t="str">
        <f>HYPERLINK("http://www.rki.de/DE/Content/Infekt/Impfen/Materialien/Downloads-DTaPIPVHibHepB/DTaPIPVHibHepB_arabisch.pdf?__blob=publicationFile","x")</f>
        <v>x</v>
      </c>
      <c r="FT28" s="112" t="str">
        <f>HYPERLINK("http://www.rki.de/DE/Content/Infekt/Impfen/Materialien/Downloads-Varizellen/Varizellen-Impfinfo-arabisch.pdf;jsessionid=65B697F4EE7EDA8A1ED9E2C4CD6C74EC.2_cid363?__blob=publicationFile","x")</f>
        <v>x</v>
      </c>
      <c r="FU28" s="112" t="str">
        <f>HYPERLINK("http://www.rki.de/DE/Content/Infekt/Impfen/Materialien/Downloads-Tdap-IPV/Tdap-IPV-arabisch.pdf?__blob=publicationFile","x")</f>
        <v>x</v>
      </c>
      <c r="FV28" s="112" t="str">
        <f>HYPERLINK("http://www.rki.de/DE/Content/Infekt/Impfen/Materialien/Downloads-Influenza_nasal/Influenza_nasal-arabisch.pdf?__blob=publicationFile","x")</f>
        <v>x</v>
      </c>
      <c r="FW28" s="112" t="str">
        <f>HYPERLINK("http://www.medical-tribune.de/fileadmin/PDF/Arthrose_arabisch.pdf","x")</f>
        <v>x</v>
      </c>
      <c r="FX28" s="112" t="str">
        <f>HYPERLINK("http://www.medical-tribune.de/fileadmin/PDF/Asthma_arabisch.pdf","x")</f>
        <v>x</v>
      </c>
      <c r="FY28" s="112" t="str">
        <f>HYPERLINK("http://www.medical-tribune.de/fileadmin/PDF/Bluthochdruck_arabisch.pdf","x")</f>
        <v>x</v>
      </c>
      <c r="FZ28" s="112"/>
      <c r="GA28" s="112" t="str">
        <f>HYPERLINK("http://www.medical-tribune.de/fileadmin/PDF/COPD_arabisch.pdf","x")</f>
        <v>x</v>
      </c>
      <c r="GB28" s="112"/>
      <c r="GC28" s="112" t="str">
        <f>HYPERLINK("http://www.ethno-medizinisches-zentrum.de/images/PDF-Files/lf_diabete_arab.pdf","x")</f>
        <v>x</v>
      </c>
      <c r="GD28" s="112"/>
      <c r="GE28" s="112"/>
      <c r="GF28" s="112"/>
      <c r="GG28" s="112"/>
      <c r="GH28" s="112" t="str">
        <f>HYPERLINK("http://www.tipdoc.de/bus/pdf/hepatitis/Hep_B_Webseite.pdf","x")</f>
        <v>x</v>
      </c>
      <c r="GI28" s="112" t="str">
        <f>HYPERLINK("http://www.tipdoc.de/bus/pdf/hepatitis/Hep_C_Webseite.pdf","x")</f>
        <v>x</v>
      </c>
      <c r="GJ28" s="111"/>
      <c r="GK28" s="111"/>
      <c r="GL28" s="112" t="str">
        <f>HYPERLINK("http://www.rki.de/DE/Content/Infekt/Impfen/Materialien/Downloads-Influenza/Influenza-arabisch.pdf?__blob=publicationFile","x")</f>
        <v>x</v>
      </c>
      <c r="GM28" s="112"/>
      <c r="GN28" s="112" t="str">
        <f>HYPERLINK("http://www.aponet.de/arabisch/20151111-so-unterscheiden-sich-grippe-und-erkaeltung.html","x")</f>
        <v>x</v>
      </c>
      <c r="GO28" s="112" t="str">
        <f>HYPERLINK("http://www.tipdoc.de/grafik/pdf/kopflaeuse/Kopflaeuse_ARAB.pdf","x")</f>
        <v>x</v>
      </c>
      <c r="GP28" s="112"/>
      <c r="GQ28" s="112" t="str">
        <f>HYPERLINK("http://www.tipdoc.com/bus/pdf/kraetze/tipdoc_Scabies_ARAB.pdf","x")</f>
        <v>x</v>
      </c>
      <c r="GR28" s="112" t="str">
        <f>HYPERLINK("http://www.tipdoc.com/bus/pdf/MagenDarmHaende/MagenDarmHaende_Arab.pdf","x")</f>
        <v>x</v>
      </c>
      <c r="GS28" s="112"/>
      <c r="GT28" s="112" t="str">
        <f>HYPERLINK("http://www.medical-tribune.de/fileadmin/PDF/Rueckenschmerzen_arabisch.pdf","x")</f>
        <v>x</v>
      </c>
      <c r="GU28" s="112"/>
      <c r="GV28" s="112"/>
      <c r="GW28" s="112" t="str">
        <f>HYPERLINK("http://www.medical-tribune.de/fileadmin/PDF/Schwindel_arabisch.pdf","x")</f>
        <v>x</v>
      </c>
      <c r="GX28" s="112"/>
      <c r="GY28" s="112"/>
      <c r="GZ28" s="112"/>
      <c r="HA28" s="112"/>
      <c r="HB28" s="112" t="str">
        <f t="shared" si="48"/>
        <v>x</v>
      </c>
      <c r="HC28" s="112" t="str">
        <f>HYPERLINK("https://www.zahnaerzte-wl.de/images/_PDF-suche/KZV_ZÄK/ENDSTAND_Ankreuzbogen_Ich_verstehe.pdf","x")</f>
        <v>x</v>
      </c>
      <c r="HD28" s="112" t="str">
        <f>HYPERLINK("https://www.zahnaerzte-wl.de/images/_PDF-suche/KZV_ZÄK/Anschreiben_Patienten_arabisch.pdf","x")</f>
        <v>x</v>
      </c>
      <c r="HE28" s="112" t="str">
        <f>HYPERLINK("https://www.zahnaerzte-wl.de/images/_PDF-suche/KZV_ZÄK/Fragebogen_arabisch.pdf","x")</f>
        <v>x</v>
      </c>
      <c r="HF28" s="112" t="str">
        <f>HYPERLINK("https://www.zahnaerzte-wl.de/images/_PDF-suche/KZV_ZÄK/Patientenerhebungsbogen_arabisch.pdf","x")</f>
        <v>x</v>
      </c>
      <c r="HG28" s="112"/>
      <c r="HH28" s="112"/>
      <c r="HI28" s="112" t="str">
        <f>HYPERLINK("http://www.ibbc-berlin.de/media/Bro_de-arab.pdf","x")</f>
        <v>x</v>
      </c>
      <c r="HJ28" s="112"/>
      <c r="HK28" s="112" t="str">
        <f>HYPERLINK("http://www.ethno-medizinisches-zentrum.de/images/PDF-Files/lf_depression__arab.pdf","x")</f>
        <v>x</v>
      </c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 t="str">
        <f>HYPERLINK("http://www.bkk-psychisch-gesund.de/fileadmin/user_upload/Dokumente/Versicherte/Broschueren/Wegweiser_Psychotherapie_arabisch.pdf","x")</f>
        <v>x</v>
      </c>
      <c r="HX28" s="112" t="str">
        <f t="shared" ref="HX28:HX48" si="108">HYPERLINK("http://www.selfhelpfortrauma.org/","x")</f>
        <v>x</v>
      </c>
      <c r="HY28" s="112" t="str">
        <f t="shared" ref="HY28:HY48" si="109">HYPERLINK("http://peacefulheart.se/wp-content/uploads/2014/12/Resolving-Yesterday-20141201-Self-Tapping.pdf","x")</f>
        <v>x</v>
      </c>
      <c r="HZ28" s="112"/>
      <c r="IA28" s="112"/>
      <c r="IB28" s="112"/>
      <c r="IC28" s="112" t="str">
        <f>HYPERLINK("http://www.susannestein.de/VIA-online/trauma-bilderbuch-arabisch.pdf","x")</f>
        <v>x</v>
      </c>
      <c r="ID28" s="112"/>
      <c r="IE28" s="112"/>
      <c r="IF28" s="112"/>
      <c r="IG28" s="111"/>
      <c r="IH28" s="112"/>
      <c r="II28" s="112"/>
      <c r="IJ28" s="112" t="str">
        <f>HYPERLINK("http://www.bamf.de/SharedDocs/Anlagen/DE/Publikationen/Flyer/Lassen-Sie-Sich-Beraten/lassen-sie-sich-beraten_ar.pdf?__blob=publicationFile","x")</f>
        <v>x</v>
      </c>
      <c r="IK28" s="112" t="str">
        <f>HYPERLINK("http://www.bamf.de/SharedDocs/Anlagen/DE/Publikationen/Flyer/flyer-erstorientierung-asylsuchende_arabisch.pdf?__blob=publicationFile","x")</f>
        <v>x</v>
      </c>
      <c r="IL28" s="111"/>
      <c r="IM28" s="112" t="str">
        <f>HYPERLINK("https://www.bamf.de/SharedDocs/Anlagen/DE/Publikationen/Broschueren/willkommen-in-deutschland_ar.pdf?__blob=publicationFile","x")</f>
        <v>x</v>
      </c>
      <c r="IN28" s="112"/>
      <c r="IO28" s="111"/>
      <c r="IP28" s="112" t="str">
        <f>HYPERLINK("http://www.bamf.de/SharedDocs/Anlagen/DE/Publikationen/Flyer/Lernen-Sie-Deutsch/lernen-sie-deutsch_ar.pdf?__blob=publicationFile","x")</f>
        <v>x</v>
      </c>
      <c r="IQ28" s="112" t="str">
        <f>HYPERLINK("http://www.asyl.net/fileadmin/user_upload/redaktion/Dokumente/Arbeitshilfen/150910_Wie_l%C3%A4uft_ein_Asylverfahren_ab_%C3%9Cberblickstext_Arabisch.pdf","x")</f>
        <v>x</v>
      </c>
      <c r="IR28" s="111"/>
      <c r="IS28" s="111"/>
      <c r="IT28" s="111"/>
      <c r="IU28" s="112" t="str">
        <f>HYPERLINK("http://www.asyl.net/fileadmin/user_upload/infoblatt_anhoerung/Infoblatt_2015_ar_fin.pdf","x")</f>
        <v>x</v>
      </c>
      <c r="IV28" s="112" t="str">
        <f>HYPERLINK("http://efi-landsberg.de/asyl/wp-content/uploads/2014/04/Merkblatt-Asylbewerber-Fluechtlinge.pdf","x")</f>
        <v>x</v>
      </c>
      <c r="IW28" s="112"/>
      <c r="IX28" s="112" t="str">
        <f>HYPERLINK("http://www.bamf.de/SharedDocs/Anlagen/DE/Publikationen/Broschueren/broschuere-eat-a4-ar-arabisch.pdf?__blob=publicationFile","x")</f>
        <v>x</v>
      </c>
      <c r="IY28" s="111"/>
      <c r="IZ28" s="112" t="str">
        <f>HYPERLINK("http://fluechtlingsrat-bw.de/informationen-fuer-fluechtlinge.html","x")</f>
        <v>x</v>
      </c>
      <c r="JA28" s="111"/>
      <c r="JB28" s="112"/>
      <c r="JC28" s="111"/>
      <c r="JD28" s="112"/>
      <c r="JE28" s="112"/>
      <c r="JF28" s="112" t="str">
        <f>HYPERLINK("http://www.bamf.de/SharedDocs/Anlagen/DE/Publikationen/Flyer/Ehegattennachzug/ehegattennachzug-ar.pdf?__blob=publicationFile","x")</f>
        <v>x</v>
      </c>
      <c r="JG28" s="112" t="str">
        <f>HYPERLINK("https://familyreunion-syria.diplo.de/webportal/index.html#start","x")</f>
        <v>x</v>
      </c>
      <c r="JH28" s="111"/>
      <c r="JI28" s="112"/>
      <c r="JJ28" s="112" t="str">
        <f>HYPERLINK("https://www.arbeitsagentur.de/web/wcm/idc/groups/public/documents/webdatei/mdaw/mjgz/~edisp/l6019022dstbai784629.pdf?_ba.sid=L6019022DSTBAI788745","x")</f>
        <v>x</v>
      </c>
      <c r="JK28" s="112" t="str">
        <f>HYPERLINK("http://www.kub-berlin.org/formularprojekt/de/arabisch-antraege-und-anlagen/","x")</f>
        <v>x</v>
      </c>
      <c r="JL28" s="112" t="str">
        <f>HYPERLINK("https://www.arbeitsagentur.de/web/content/DE/Formulare/Detail/index.htm?dfContentId=L6019022DSTBAI485740","x")</f>
        <v>x</v>
      </c>
      <c r="JM28" s="112"/>
      <c r="JN28" s="112"/>
      <c r="JO28" s="112"/>
      <c r="JP28" s="112"/>
      <c r="JQ28" s="112" t="str">
        <f t="shared" ref="JQ28:JQ48" si="110">HYPERLINK("http://www.ibla-germany.de/merkblaetter.php","x")</f>
        <v>x</v>
      </c>
      <c r="JR28" s="112"/>
      <c r="JS28" s="112" t="str">
        <f>HYPERLINK("http://www.b-umf.de/images/willkommen/willkommensbroschurearabisch-web.pdf","x")</f>
        <v>x</v>
      </c>
      <c r="JT28" s="111"/>
      <c r="JU28" s="111"/>
      <c r="JV28" s="112"/>
      <c r="JW28" s="112"/>
      <c r="JX28" s="112"/>
      <c r="JY28" s="112"/>
      <c r="JZ28" s="112" t="str">
        <f>HYPERLINK("http://www.kas.de/wf/de/33.43117/","x")</f>
        <v>x</v>
      </c>
      <c r="KA28" s="112" t="str">
        <f>HYPERLINK("http://www.refugeeguide.de/dl/RefugeeGuide_ar_930.pdf","x")</f>
        <v>x</v>
      </c>
      <c r="KB28" s="112" t="str">
        <f>HYPERLINK("http://www.bpb.de/shop/buecher/grundgesetz/215136/grundgesetz-auf-arabisch","x")</f>
        <v>x</v>
      </c>
      <c r="KC28" s="112" t="str">
        <f>HYPERLINK("http://www.wedel.de/fileadmin/user_upload/media/pdf/Rathaus_und_Politik/20160118_PM_Broschuere.pdf","x")</f>
        <v>x</v>
      </c>
      <c r="KD28" s="112" t="str">
        <f t="shared" ref="KD28:KD48" si="111">HYPERLINK("http://www.frauenrechte.de/online/images/downloads/allgemein/TDF_Flyer_Women_Men.pdf","x")</f>
        <v>x</v>
      </c>
      <c r="KE28" s="112" t="str">
        <f>HYPERLINK("http://sab.landtag.sachsen.de/dokumente/landtagskurier/Grundwerte-A5-international_web_08012016.pdf","x")</f>
        <v>x</v>
      </c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1"/>
      <c r="LC28" s="111"/>
      <c r="LD28" s="111"/>
      <c r="LE28" s="111"/>
      <c r="LF28" s="112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2"/>
      <c r="LT28" s="111"/>
      <c r="LU28" s="111"/>
      <c r="LV28" s="111"/>
      <c r="LW28" s="111"/>
      <c r="LX28" s="111"/>
      <c r="LY28" s="112" t="str">
        <f>HYPERLINK("http://www.bjf.info/projekte/cinemanya","x")</f>
        <v>x</v>
      </c>
      <c r="LZ28" s="111"/>
      <c r="MA28" s="111"/>
      <c r="MB28" s="111"/>
      <c r="MC28" s="112" t="str">
        <f>HYPERLINK("http://www.rki.de/DE/Content/Infekt/IfSG/Belehrungsbogen/belehrungsbogen_lebensmittel_arabisch.pdf?__blob=publicationFile","x")</f>
        <v>x</v>
      </c>
      <c r="MD28" s="111"/>
      <c r="ME28" s="112" t="str">
        <f>HYPERLINK("http://www.gdv.de/wp-content/uploads/2016/01/Information_Brandschutz_Fluechtlingsheim_-Sicherheit_mehrsprachig.pdf","x")</f>
        <v>x</v>
      </c>
      <c r="MF28" s="112" t="str">
        <f>HYPERLINK("http://www.gdv.de/wp-content/uploads/2016/01/Information_Verhalten-im-Brandfall_mehrsprachig.pdf","x")</f>
        <v>x</v>
      </c>
      <c r="MG28" s="112" t="str">
        <f>HYPERLINK("http://www.aha-region.de/fileadmin/Download/pdf/aha_Plakat_Muelltrennung_ar.pdf","x")</f>
        <v>x</v>
      </c>
      <c r="MH28" s="112" t="str">
        <f t="shared" ref="MH28:MH48" si="112">HYPERLINK("http://www.kindersicherheit.de/pdf/2012_poster_achtunggiftig_8sprachig.pdf","x")</f>
        <v>x</v>
      </c>
    </row>
    <row r="29" spans="1:346" x14ac:dyDescent="0.25">
      <c r="A29" s="110" t="s">
        <v>1</v>
      </c>
      <c r="B29" s="101" t="s">
        <v>49</v>
      </c>
      <c r="C29" s="102"/>
      <c r="D29" s="102"/>
      <c r="E29" s="102"/>
      <c r="F29" s="102"/>
      <c r="G29" s="102"/>
      <c r="H29" s="102"/>
      <c r="I29" s="102"/>
      <c r="J29" s="103"/>
      <c r="K29" s="112" t="str">
        <f t="shared" ref="K29:K48" si="113">HYPERLINK("http://sghanstedt.elbnetz.com/ueber-uns/","x")</f>
        <v>x</v>
      </c>
      <c r="L29" s="111"/>
      <c r="M29" s="112" t="str">
        <f t="shared" si="84"/>
        <v>x</v>
      </c>
      <c r="N29" s="112" t="str">
        <f t="shared" ref="N29:N48" si="114">HYPERLINK("http://www.ag-fluechtlingshilfe-wetterau.de/uploads/infos/220.pdf","x")</f>
        <v>x</v>
      </c>
      <c r="O29" s="112" t="str">
        <f t="shared" ref="O29:O48" si="115">HYPERLINK("http://www.awb-ahrweiler.de/admin/data/ddownload/Abfall%20Sonderhinweise-Arabisch%202015.pdf","x")</f>
        <v>x</v>
      </c>
      <c r="P29" s="112" t="str">
        <f t="shared" ref="P29:P48" si="116">HYPERLINK("http://www.ag-fluechtlingshilfe-wetterau.de/uploads/infos/221.pdf","x")</f>
        <v>x</v>
      </c>
      <c r="Q29" s="112" t="str">
        <f t="shared" ref="Q29:Q48" si="117">HYPERLINK("http://www.konto.org/download/merkblatt-basiskonto-asylbewerber-arabisch.pdf","x")</f>
        <v>x</v>
      </c>
      <c r="R29" s="112"/>
      <c r="S29" s="112" t="str">
        <f t="shared" ref="S29:S48" si="118">HYPERLINK("https://antworten.sparkasse.de/wp-content/uploads/2015/10/Arabisch.pdf","x")</f>
        <v>x</v>
      </c>
      <c r="T29" s="112" t="str">
        <f t="shared" ref="T29:T48" si="119">HYPERLINK("http://www.ag-fluechtlingshilfe-wetterau.de/uploads/infos/191.pdf","x")</f>
        <v>x</v>
      </c>
      <c r="U29" s="112"/>
      <c r="V29" s="112"/>
      <c r="W29" s="112" t="str">
        <f t="shared" ref="W29:W48" si="120"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X29" s="112" t="str">
        <f t="shared" ref="X29:X48" si="121"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Y29" s="112"/>
      <c r="Z29" s="112"/>
      <c r="AA29" s="112"/>
      <c r="AB29" s="112"/>
      <c r="AC29" s="112" t="str">
        <f t="shared" ref="AC29:AC48" si="122">HYPERLINK("http://www.rundfunkbeitrag.de/e175/e1629/Informationsflyer_Buergerinnen_und_Buerger_arabisch.pdf","x")</f>
        <v>x</v>
      </c>
      <c r="AD29" s="112"/>
      <c r="AE29" s="112" t="str">
        <f t="shared" ref="AE29:AE48" si="123">HYPERLINK("http://www.kub-berlin.org/formularprojekt/de/arabisch-antraege-und-anlagen/","x")</f>
        <v>x</v>
      </c>
      <c r="AF29" s="112" t="str">
        <f t="shared" ref="AF29:AF48" si="124">HYPERLINK("http://asyl-in-moenchengladbach.de/wp-content/uploads/2015/11/100711-Flyer_arab.pdf","x")</f>
        <v>x</v>
      </c>
      <c r="AG29" s="111"/>
      <c r="AH29" s="112" t="str">
        <f t="shared" ref="AH29:AH48" si="125">HYPERLINK("https://www.adac.de/sp/stiftung/_mmm/pdf/SGE_FOL_Verkehrssicherheit_Fl%C3%BCchtlinge_A3_01_16_Internet_250277.pdf","x")</f>
        <v>x</v>
      </c>
      <c r="AI29" s="112" t="str">
        <f t="shared" ref="AI29:AI48" si="126">HYPERLINK("http://www.stadt-koeln.de/mediaasset/content/العربية_kvb_kinderleicht_und_spielend_einfach__arabisch_.pdf","x")</f>
        <v>x</v>
      </c>
      <c r="AJ29" s="112" t="str">
        <f t="shared" ref="AJ29:AJ48" si="127">HYPERLINK("https://www.vrsinfo.de/fileadmin/Dateien/downloadcenter/Folder_MobilPassTicket_Refugees01012016.pdf","x")</f>
        <v>x</v>
      </c>
      <c r="AK29" s="112" t="str">
        <f t="shared" ref="AK29:AK48" si="128">HYPERLINK("https://www.vrsinfo.de/fileadmin/Dateien/downloadcenter/Willkommen_im_VRS2016_Druck.pdf","x")</f>
        <v>x</v>
      </c>
      <c r="AL29" s="112"/>
      <c r="AM29" s="112" t="str">
        <f t="shared" ref="AM29:AM48" si="129">HYPERLINK("https://www.deutschebahn.com/file/de/2191748/eYdgZpqGpp5sMJ2KMKtg2r8aE4Q/10123812/data/infos_fuer_fluechtlinge.pdf","x")</f>
        <v>x</v>
      </c>
      <c r="AN29" s="112"/>
      <c r="AO29" s="112"/>
      <c r="AP29" s="112"/>
      <c r="AQ29" s="112"/>
      <c r="AR29" s="112"/>
      <c r="AS29" s="112" t="str">
        <f t="shared" ref="AS29:AS48" si="130">HYPERLINK("http://www.koelnerkarneval.de/fileadmin/content/images/news/Festkomitee_Flyer_DE_AR.pdf","x")</f>
        <v>x</v>
      </c>
      <c r="AT29" s="112"/>
      <c r="AU29" s="114" t="str">
        <f t="shared" ref="AU29:AU48" si="131">HYPERLINK("http://www.studentenwerke.de/de/content/illustriertes-wohnheimw%C3%B6rterbuch-1","x")</f>
        <v>x</v>
      </c>
      <c r="AV29" s="114" t="str">
        <f t="shared" si="85"/>
        <v>x</v>
      </c>
      <c r="AW29" s="114" t="str">
        <f t="shared" si="86"/>
        <v>x</v>
      </c>
      <c r="AX29" s="112" t="str">
        <f t="shared" ref="AX29:AX48" si="132">HYPERLINK("http://fi-lohmar-siegburg.de/data/documents/Findefix_arabisch-Bildwoerterbuch.pdf","x")</f>
        <v>x</v>
      </c>
      <c r="AY29" s="111"/>
      <c r="AZ29" s="112" t="str">
        <f t="shared" si="87"/>
        <v>x</v>
      </c>
      <c r="BA29" s="112" t="str">
        <f t="shared" si="88"/>
        <v>x</v>
      </c>
      <c r="BB29" s="112"/>
      <c r="BC29" s="112" t="str">
        <f t="shared" ref="BC29:BC48" si="133">HYPERLINK("http://www.rehavista.de/?at=Mat_Boardmaker&amp;d=1&amp;dtype=mat&amp;id=1014","x")</f>
        <v>x</v>
      </c>
      <c r="BD29" s="112" t="str">
        <f t="shared" ref="BD29:BD48" si="134">HYPERLINK("http://fi-lohmar-siegburg.de/data/documents/communicationboard-arabic-english.pdf","x")</f>
        <v>x</v>
      </c>
      <c r="BE29" s="112" t="str">
        <f t="shared" ref="BE29:BE48" si="135">HYPERLINK("http://fi-lohmar-siegburg.de/data/documents/communicationboard-arabic-french.pdf","x")</f>
        <v>x</v>
      </c>
      <c r="BF29" s="111"/>
      <c r="BG29" s="112" t="str">
        <f t="shared" ref="BG29:BG48" si="136">HYPERLINK("http://www.refugeephrasebook.de/pdf/germany150920.pdf","x")</f>
        <v>x</v>
      </c>
      <c r="BH29" s="112" t="str">
        <f t="shared" ref="BH29:BH48" si="137">HYPERLINK("https://www.advanced-online.eu/downloads/RefugeePhrasebookCards_German-Arabic.pdf","x")</f>
        <v>x</v>
      </c>
      <c r="BI29" s="112" t="str">
        <f t="shared" ref="BI29:BI48" si="138">HYPERLINK("http://www.klett-sprachen.de/download/8638/W100255_Refugees_Welcome_Wortschatz.pdf","x")</f>
        <v>x</v>
      </c>
      <c r="BJ29" s="112" t="str">
        <f t="shared" ref="BJ29:BJ48" si="139">HYPERLINK("http://www.agf-trier.de/sites/default/files/bersetzungshilfe%20allgemein%20Arab..pdf","x")</f>
        <v>x</v>
      </c>
      <c r="BK29" s="112" t="str">
        <f t="shared" ref="BK29:BK48" si="140">HYPERLINK("http://www.bundessprachenamt.de/deutsch/wir_ueber_uns/nachrichten/2015/20151103/Verständigungshilfe_Syrisch-Arabisch_07_12_2015.pdf","x")</f>
        <v>x</v>
      </c>
      <c r="BL29" s="112" t="str">
        <f t="shared" si="89"/>
        <v>x</v>
      </c>
      <c r="BM29" s="112" t="str">
        <f t="shared" ref="BM29:BM48" si="141">HYPERLINK("http://www.medbox.org/toolboxes/kleines-worterbuch-little-dictionary-deutsch-englisch-arabisch/preview","x")</f>
        <v>x</v>
      </c>
      <c r="BN29" s="111"/>
      <c r="BO29" s="111"/>
      <c r="BP29" s="112" t="str">
        <f t="shared" ref="BP29:BP48" si="142">HYPERLINK("https://www.friedensdorf.de/documents/Woerterbuch_Arabisch.pdf","x")</f>
        <v>x</v>
      </c>
      <c r="BQ29" s="111"/>
      <c r="BR29" s="112" t="str">
        <f t="shared" si="90"/>
        <v>x</v>
      </c>
      <c r="BS29" s="112" t="str">
        <f t="shared" ref="BS29:BS48" si="143">HYPERLINK("http://de.langenscheidt.com/doc/arabisch-deutsch-sprachfuehrer.pdf","x")</f>
        <v>x</v>
      </c>
      <c r="BT29" s="111"/>
      <c r="BU29" s="112" t="str">
        <f t="shared" si="91"/>
        <v>x</v>
      </c>
      <c r="BV29" s="112" t="str">
        <f t="shared" ref="BV29:BV48" si="144">HYPERLINK("http://www.welcomegrooves.de/wp-content/uploads/2015/10/welcomegrooves_DE-ARABISCH.pdf","x")</f>
        <v>x</v>
      </c>
      <c r="BW29" s="112"/>
      <c r="BX29" s="112"/>
      <c r="BY29" s="112" t="str">
        <f t="shared" ref="BY29:BY48" si="145">HYPERLINK("http://fluechtlingshilfe-nettetal.de/ausbildung/video-sprachkurse-deutsch-fuer-fluechtlinge/video-sprachkurs-syrisch-deutsch/","x")</f>
        <v>x</v>
      </c>
      <c r="BZ29" s="112" t="str">
        <f t="shared" si="92"/>
        <v>x</v>
      </c>
      <c r="CA29" s="112" t="str">
        <f t="shared" si="93"/>
        <v>x</v>
      </c>
      <c r="CB29" s="112" t="str">
        <f t="shared" si="94"/>
        <v>x</v>
      </c>
      <c r="CC29" s="112"/>
      <c r="CD29" s="112"/>
      <c r="CE29" s="112" t="str">
        <f t="shared" ref="CE29:CE48" si="146">HYPERLINK("http://www.agf-trier.de/sites/default/files/bersetzungshilfe%20%20f%C3%BCr%20Frauen%20Arab..pdf","x")</f>
        <v>x</v>
      </c>
      <c r="CF29" s="112" t="str">
        <f t="shared" ref="CF29:CF48" si="147">HYPERLINK("http://www.braunschweig.de/leben/frauen/hilfe/Ohne-Gewalt-leben.pdf","x")</f>
        <v>x</v>
      </c>
      <c r="CG29" s="112" t="str">
        <f t="shared" ref="CG29:CG48" si="148">HYPERLINK("http://mifkjf.rlp.de/fileadmin/mifkjf/Frauen/Gewalt_gegen_Frauen/Downloads/Broschueren_Flyer/Flyer_Gewalt_arabisch_fuer_ANSICHT.pdf","x")</f>
        <v>x</v>
      </c>
      <c r="CH29" s="112"/>
      <c r="CI29" s="112" t="str">
        <f t="shared" ref="CI29:CI48" si="149">HYPERLINK("https://www.hilfetelefon.de/fileadmin/hilfetelefon_de/Materialien/weitere_werbemittel/Klappflyer_Vorder-_und_Rueckseite_opt2.pdf","x")</f>
        <v>x</v>
      </c>
      <c r="CJ29" s="112" t="str">
        <f t="shared" si="95"/>
        <v>x</v>
      </c>
      <c r="CK29" s="112" t="str">
        <f t="shared" ref="CK29:CK48" si="150">HYPERLINK("http://www.frauenberatungsstelle.de/pdf/Migrantinnen-beraten-Migrantinnen.pdf","x")</f>
        <v>x</v>
      </c>
      <c r="CL29" s="112"/>
      <c r="CM29" s="112"/>
      <c r="CN29" s="112"/>
      <c r="CO29" s="112" t="str">
        <f t="shared" ref="CO29:CO48" si="151">HYPERLINK("http://www.schwanger-und-viele-fragen.de/ar/","x")</f>
        <v>x</v>
      </c>
      <c r="CP29" s="112"/>
      <c r="CQ29" s="112" t="str">
        <f t="shared" ref="CQ29:CQ48" si="152"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R29" s="112"/>
      <c r="CS29" s="112"/>
      <c r="CT29" s="112" t="str">
        <f t="shared" ref="CT29:CT48" si="153">HYPERLINK("http://www.profamilia.de/fileadmin/publikationen/Erwachsene/mehrsprachig/verhuetung_arabisch.pdf","x")</f>
        <v>x</v>
      </c>
      <c r="CU29" s="112"/>
      <c r="CV29" s="112"/>
      <c r="CW29" s="112"/>
      <c r="CX29" s="112" t="str">
        <f t="shared" ref="CX29:CX48" si="154">HYPERLINK("http://www.caritas-schwarzwald-alb-donau.de/68854.html","x")</f>
        <v>x</v>
      </c>
      <c r="CY29" s="112"/>
      <c r="CZ29" s="112" t="str">
        <f t="shared" si="96"/>
        <v>x</v>
      </c>
      <c r="DA29" s="112"/>
      <c r="DB29" s="115" t="str">
        <f t="shared" ref="DB29:DB48" si="155">HYPERLINK("http://www.kindersicherheit.de/pdf/2012_Bilderbuch-Gift-Arabisch.pdf","x")</f>
        <v>x</v>
      </c>
      <c r="DC29" s="112"/>
      <c r="DD29" s="112"/>
      <c r="DE29" s="112" t="str">
        <f t="shared" si="97"/>
        <v>x</v>
      </c>
      <c r="DF29" s="115" t="str">
        <f t="shared" si="98"/>
        <v>x</v>
      </c>
      <c r="DG29" s="112" t="str">
        <f t="shared" si="99"/>
        <v>x</v>
      </c>
      <c r="DH29" s="112" t="str">
        <f t="shared" si="100"/>
        <v>x</v>
      </c>
      <c r="DI29" s="112" t="str">
        <f t="shared" ref="DI29:DI48" si="156">HYPERLINK("http://www.bibliomedia.ch/de/angebote/dokumente/Glossar_arabisch.pdf","x")</f>
        <v>x</v>
      </c>
      <c r="DJ29" s="112"/>
      <c r="DK29" s="112" t="str">
        <f t="shared" ref="DK29:DK48" si="157">HYPERLINK("http://www.carlsen.de/sites/default/files/Walter-ebook_arabisch_klein.pdf","x")</f>
        <v>x</v>
      </c>
      <c r="DL29" s="112"/>
      <c r="DM29" s="112"/>
      <c r="DN29" s="112" t="str">
        <f t="shared" ref="DN29:DN48" si="158">HYPERLINK("http://www.wdrmaus.de/sachgeschichten/maus-international/","x")</f>
        <v>x</v>
      </c>
      <c r="DO29" s="111"/>
      <c r="DP29" s="112" t="str">
        <f t="shared" ref="DP29:DP48" si="159">HYPERLINK("http://tipdoc.de/bus/grafik/kinder-tip/SCHULTIP_give_didacta.pdf","x")</f>
        <v>x</v>
      </c>
      <c r="DQ29" s="112" t="str">
        <f t="shared" ref="DQ29:DQ48" si="160">HYPERLINK("https://broschueren.nordrheinwestfalendirekt.de/broschuerenservice/msw/ar-das-schulsystem-in-nordrhein-westfalen-einfach-und-schnell-erklaert/1901","x")</f>
        <v>x</v>
      </c>
      <c r="DR29" s="112" t="str">
        <f t="shared" ref="DR29:DR48" si="161">HYPERLINK("http://bildung.koeln.de/materialbibliothek/download.php?idx=7479da9798519efb4e1944d46a76011b","x")</f>
        <v>x</v>
      </c>
      <c r="DS29" s="112" t="str">
        <f t="shared" ref="DS29:DS48" si="162">HYPERLINK("http://bildung.koeln.de/materialbibliothek/download.php?idx=dd3a964c240308ea1c8e0d161e49e314","x")</f>
        <v>x</v>
      </c>
      <c r="DT29" s="112"/>
      <c r="DU29" s="112" t="str">
        <f t="shared" ref="DU29:DU48" si="163">HYPERLINK("https://www.bmbf.de/pub/Kausa_Elternbroschuere_arabisch.pdf","x")</f>
        <v>x</v>
      </c>
      <c r="DV29" s="112"/>
      <c r="DW29" s="112" t="str">
        <f t="shared" ref="DW29:DW48" si="164">HYPERLINK("http://www.wissenschaft.nrw.de/studium/informieren/informationen-fuer-fluechtlinge-die-in-nrw-studieren-moechten/","x")</f>
        <v>x</v>
      </c>
      <c r="DX29" s="112" t="str">
        <f t="shared" ref="DX29:DX48" si="165">HYPERLINK("http://www.bamf.de/SharedDocs/Anlagen/DE/Publikationen/Flyer/AnerkennungBerufsabschluss/berufliche_anerkennung_akademische-heilberufe_ar.pdf?__blob=publicationFile","x")</f>
        <v>x</v>
      </c>
      <c r="DY29" s="112" t="str">
        <f t="shared" ref="DY29:DY48" si="166">HYPERLINK("http://www.bamf.de/SharedDocs/Anlagen/DE/Publikationen/Flyer/AnerkennungBerufsabschluss/anerkennung-berufsabschluss_ar.pdf?__blob=publicationFile","x")</f>
        <v>x</v>
      </c>
      <c r="DZ29" s="112" t="str">
        <f t="shared" ref="DZ29:DZ48" si="167">HYPERLINK("http://www.bamf.de/SharedDocs/Anlagen/DE/Publikationen/Flyer/AnerkennungBerufsabschluss/anerkennung-berufsabschluss_ausland_ar.pdf?__blob=publicationFile","x")</f>
        <v>x</v>
      </c>
      <c r="EA29" s="112" t="str">
        <f t="shared" ref="EA29:EA48" si="168">HYPERLINK("http://www.bamf.de/SharedDocs/Anlagen/DE/Publikationen/Broschueren/willkommen-in-deutschland-info-blaue-karte-eu_ar.pdf?__blob=publicationFile","x")</f>
        <v>x</v>
      </c>
      <c r="EB29" s="112" t="str">
        <f t="shared" ref="EB29:EB48" si="169">HYPERLINK("http://www.bamf.de/SharedDocs/Anlagen/DE/Publikationen/Flyer/Berufsbezsprachf-ESF-BAMF/berufsbezsprachf-esf-bamf_ar.pdf?__blob=publicationFile","x")</f>
        <v>x</v>
      </c>
      <c r="EC29" s="111"/>
      <c r="ED29" s="111"/>
      <c r="EE29" s="111"/>
      <c r="EF29" s="111"/>
      <c r="EG29" s="111"/>
      <c r="EH29" s="111"/>
      <c r="EI29" s="112"/>
      <c r="EJ29" s="112" t="str">
        <f t="shared" ref="EJ29:EJ48" si="170">HYPERLINK("http://fluechtlingsrat-bw.de/files/Dateien/Dokumente/Materialbestellung/2014-12-flyer%20arbeitserlaubnis%20AR%20WEB_final.pdf","x")</f>
        <v>x</v>
      </c>
      <c r="EK29" s="112" t="str">
        <f t="shared" ref="EK29:EK48" si="171">HYPERLINK("http://www.aponet.de/arabisch/20151019-fuer-den-notfall-wichtige-rufnummern-im-ueberblick.html","x")</f>
        <v>x</v>
      </c>
      <c r="EL29" s="112" t="str">
        <f t="shared" ref="EL29:EL48" si="172">HYPERLINK("http://www.kvs-sachsen.de/fileadmin/img/Mitglieder/Asylbewerber/Allg-Informationen/Anlage_1_Arabisch_LEK.pdf","x")</f>
        <v>x</v>
      </c>
      <c r="EM29" s="112" t="str">
        <f t="shared" ref="EM29:EM48" si="173">HYPERLINK("http://www.medizin-hilft-fluechtlingen.de/images/Dokumente/gSch/gSch_arab.pdf","x")</f>
        <v>x</v>
      </c>
      <c r="EN29" s="112" t="str">
        <f t="shared" ref="EN29:EN48" si="174">HYPERLINK("http://www.aponet.de/arabisch/20151016-medizinische-leistungen-fuer-asylbewerber.html","x")</f>
        <v>x</v>
      </c>
      <c r="EO29" s="117" t="str">
        <f t="shared" si="101"/>
        <v>x</v>
      </c>
      <c r="EP29" s="117" t="str">
        <f t="shared" ref="EP29:EP48" si="175">HYPERLINK("http://www.armut-gesundheit.de/fileadmin/redakteur/dokumente/Anamnesebogen%20-%20Arabischnew.pdf","x")</f>
        <v>x</v>
      </c>
      <c r="EQ29" s="112" t="str">
        <f t="shared" ref="EQ29:EQ48" si="176">HYPERLINK("http://www.kvs-sachsen.de/fileadmin/img/Mitglieder/Asylbewerber/Allg-Informationen/Anlagen_2-1_2-2_Arabisch_LEK.pdf","x")</f>
        <v>x</v>
      </c>
      <c r="ER29" s="112"/>
      <c r="ES29" s="112" t="str">
        <f t="shared" si="102"/>
        <v>x</v>
      </c>
      <c r="ET29" s="112" t="str">
        <f t="shared" ref="ET29:ET48" si="177">HYPERLINK("http://www.medizin-hilft-fluechtlingen.de/images/Dokumente/ein/ein_arab.pdf","x")</f>
        <v>x</v>
      </c>
      <c r="EU29" s="112" t="str">
        <f t="shared" ref="EU29:EU48" si="178">HYPERLINK("http://www.adler-apotheke-hh.de/fileadmin/user_upload/PDF-Dateien/Dosierzettel_mehrsprachig_AUF_0_.pdf","x")</f>
        <v>x</v>
      </c>
      <c r="EV29" s="112" t="str">
        <f t="shared" si="103"/>
        <v>x</v>
      </c>
      <c r="EW29" s="112" t="str">
        <f t="shared" ref="EW29:EW48" si="179">HYPERLINK("http://www.rki.de/DE/Content/Infekt/IfSG/Belehrungsbogen/belehrungsbogen_eltern_arabisch.pdf?__blob=publicationFile","x")</f>
        <v>x</v>
      </c>
      <c r="EX29" s="112" t="str">
        <f t="shared" ref="EX29:EX48" si="180">HYPERLINK("http://www.bzga.de/infomaterialien/?sid=236","x")</f>
        <v>x</v>
      </c>
      <c r="EY29" s="112" t="str">
        <f t="shared" ref="EY29:EY48" si="181">HYPERLINK("https://www.mh-hannover.de/fileadmin/mhh/bilder/aktuelles_presse/presseinformationen_news/150921_Pilz_Vergif_Arab_3.pdf","x")</f>
        <v>x</v>
      </c>
      <c r="EZ29" s="112"/>
      <c r="FA29" s="112" t="str">
        <f t="shared" ref="FA29:FA48" si="182">HYPERLINK("http://static.apotheken-umschau.de/media/gp/article_506373/bildwoerterbuch.pdf","x")</f>
        <v>x</v>
      </c>
      <c r="FB29" s="111"/>
      <c r="FC29" s="112" t="str">
        <f t="shared" si="104"/>
        <v>x</v>
      </c>
      <c r="FD29" s="112" t="str">
        <f t="shared" si="105"/>
        <v>x</v>
      </c>
      <c r="FE29" s="112" t="str">
        <f t="shared" si="106"/>
        <v>x</v>
      </c>
      <c r="FF29" s="112" t="str">
        <f t="shared" si="107"/>
        <v>x</v>
      </c>
      <c r="FG29" s="111"/>
      <c r="FH29" s="111"/>
      <c r="FI29" s="112" t="str">
        <f t="shared" ref="FI29:FI48" si="183">HYPERLINK("http://www.bundesgesundheitsministerium.de/fileadmin/dateien/Publikationen/Gesundheit/Broschueren/Ratgeber_Asylsuchende/Ratgeber_Asylsuchende_arab.PDF","x")</f>
        <v>x</v>
      </c>
      <c r="FJ29" s="112" t="str">
        <f t="shared" ref="FJ29:FJ48" si="184">HYPERLINK("http://www.rki.de/DE/Content/Infekt/Impfen/Materialien/Downloads-Impfkalender/Impfkalender_Arabisch.pdf?__blob=publicationFile","x")</f>
        <v>x</v>
      </c>
      <c r="FK29" s="112" t="str">
        <f t="shared" ref="FK29:FK48" si="185">HYPERLINK("http://www.ethno-medizinisches-zentrum.de/images/PDF-Files/impfwegweiser_arabbisch_2013_online.pdf","x")</f>
        <v>x</v>
      </c>
      <c r="FL29" s="112"/>
      <c r="FM29" s="112" t="str">
        <f t="shared" ref="FM29:FM48" si="186">HYPERLINK("http://www.rki.de/DE/Content/Infekt/Impfen/Materialien/Glossar-Downloads/glossar-de-arabisch.pdf?__blob=publicationFile","x")</f>
        <v>x</v>
      </c>
      <c r="FN29" s="112"/>
      <c r="FO29" s="112" t="str">
        <f t="shared" ref="FO29:FO48" si="187">HYPERLINK("http://www.rki.de/DE/Content/Infekt/Impfen/Materialien/Downloads-MMR/MMR-Impfinfo-arabisch.pdf?__blob=publicationFile","x")</f>
        <v>x</v>
      </c>
      <c r="FP29" s="112" t="str">
        <f t="shared" ref="FP29:FP48" si="188">HYPERLINK("http://www.rki.de/DE/Content/InfAZ/P/Polio/Ausbruch_Syrien/Informationsblatt_Polio_Arabisch.pdf?__blob=publicationFile","x")</f>
        <v>x</v>
      </c>
      <c r="FQ29" s="112" t="str">
        <f t="shared" ref="FQ29:FQ48" si="189">HYPERLINK("http://www.rki.de/DE/Content/Infekt/Impfen/Materialien/Downloads_HepA/Aufklaerung_HAV-Impfung_arabisch.pdf?__blob=publicationFile","x")</f>
        <v>x</v>
      </c>
      <c r="FR29" s="112" t="str">
        <f t="shared" ref="FR29:FR48" si="190">HYPERLINK("http://www.rki.de/DE/Content/Infekt/Impfen/Materialien/Downloads_Pneumokokken/Aufklaerung_Pneumo-Impfung_Arabisch.pdf?__blob=publicationFile","x")</f>
        <v>x</v>
      </c>
      <c r="FS29" s="112" t="str">
        <f t="shared" ref="FS29:FS48" si="191">HYPERLINK("http://www.rki.de/DE/Content/Infekt/Impfen/Materialien/Downloads-DTaPIPVHibHepB/DTaPIPVHibHepB_arabisch.pdf?__blob=publicationFile","x")</f>
        <v>x</v>
      </c>
      <c r="FT29" s="112" t="str">
        <f t="shared" ref="FT29:FT48" si="192">HYPERLINK("http://www.rki.de/DE/Content/Infekt/Impfen/Materialien/Downloads-Varizellen/Varizellen-Impfinfo-arabisch.pdf;jsessionid=65B697F4EE7EDA8A1ED9E2C4CD6C74EC.2_cid363?__blob=publicationFile","x")</f>
        <v>x</v>
      </c>
      <c r="FU29" s="112" t="str">
        <f t="shared" ref="FU29:FU48" si="193">HYPERLINK("http://www.rki.de/DE/Content/Infekt/Impfen/Materialien/Downloads-Tdap-IPV/Tdap-IPV-arabisch.pdf?__blob=publicationFile","x")</f>
        <v>x</v>
      </c>
      <c r="FV29" s="112" t="str">
        <f t="shared" ref="FV29:FV48" si="194">HYPERLINK("http://www.rki.de/DE/Content/Infekt/Impfen/Materialien/Downloads-Influenza_nasal/Influenza_nasal-arabisch.pdf?__blob=publicationFile","x")</f>
        <v>x</v>
      </c>
      <c r="FW29" s="112" t="str">
        <f t="shared" ref="FW29:FW48" si="195">HYPERLINK("http://www.medical-tribune.de/fileadmin/PDF/Arthrose_arabisch.pdf","x")</f>
        <v>x</v>
      </c>
      <c r="FX29" s="112" t="str">
        <f t="shared" ref="FX29:FX48" si="196">HYPERLINK("http://www.medical-tribune.de/fileadmin/PDF/Asthma_arabisch.pdf","x")</f>
        <v>x</v>
      </c>
      <c r="FY29" s="112" t="str">
        <f t="shared" ref="FY29:FY48" si="197">HYPERLINK("http://www.medical-tribune.de/fileadmin/PDF/Bluthochdruck_arabisch.pdf","x")</f>
        <v>x</v>
      </c>
      <c r="FZ29" s="112"/>
      <c r="GA29" s="112" t="str">
        <f t="shared" ref="GA29:GA48" si="198">HYPERLINK("http://www.medical-tribune.de/fileadmin/PDF/COPD_arabisch.pdf","x")</f>
        <v>x</v>
      </c>
      <c r="GB29" s="112"/>
      <c r="GC29" s="112" t="str">
        <f t="shared" ref="GC29:GC48" si="199">HYPERLINK("http://www.ethno-medizinisches-zentrum.de/images/PDF-Files/lf_diabete_arab.pdf","x")</f>
        <v>x</v>
      </c>
      <c r="GD29" s="112"/>
      <c r="GE29" s="112"/>
      <c r="GF29" s="112"/>
      <c r="GG29" s="112"/>
      <c r="GH29" s="112" t="str">
        <f t="shared" ref="GH29:GH48" si="200">HYPERLINK("http://www.tipdoc.de/bus/pdf/hepatitis/Hep_B_Webseite.pdf","x")</f>
        <v>x</v>
      </c>
      <c r="GI29" s="112" t="str">
        <f t="shared" ref="GI29:GI48" si="201">HYPERLINK("http://www.tipdoc.de/bus/pdf/hepatitis/Hep_C_Webseite.pdf","x")</f>
        <v>x</v>
      </c>
      <c r="GJ29" s="111"/>
      <c r="GK29" s="111"/>
      <c r="GL29" s="112" t="str">
        <f t="shared" ref="GL29:GL48" si="202">HYPERLINK("http://www.rki.de/DE/Content/Infekt/Impfen/Materialien/Downloads-Influenza/Influenza-arabisch.pdf?__blob=publicationFile","x")</f>
        <v>x</v>
      </c>
      <c r="GM29" s="112"/>
      <c r="GN29" s="112" t="str">
        <f t="shared" ref="GN29:GN48" si="203">HYPERLINK("http://www.aponet.de/arabisch/20151111-so-unterscheiden-sich-grippe-und-erkaeltung.html","x")</f>
        <v>x</v>
      </c>
      <c r="GO29" s="112" t="str">
        <f t="shared" ref="GO29:GO48" si="204">HYPERLINK("http://www.tipdoc.de/grafik/pdf/kopflaeuse/Kopflaeuse_ARAB.pdf","x")</f>
        <v>x</v>
      </c>
      <c r="GP29" s="112"/>
      <c r="GQ29" s="112" t="str">
        <f t="shared" ref="GQ29:GQ48" si="205">HYPERLINK("http://www.tipdoc.com/bus/pdf/kraetze/tipdoc_Scabies_ARAB.pdf","x")</f>
        <v>x</v>
      </c>
      <c r="GR29" s="112" t="str">
        <f t="shared" ref="GR29:GR48" si="206">HYPERLINK("http://www.tipdoc.com/bus/pdf/MagenDarmHaende/MagenDarmHaende_Arab.pdf","x")</f>
        <v>x</v>
      </c>
      <c r="GS29" s="112"/>
      <c r="GT29" s="112" t="str">
        <f t="shared" ref="GT29:GT48" si="207">HYPERLINK("http://www.medical-tribune.de/fileadmin/PDF/Rueckenschmerzen_arabisch.pdf","x")</f>
        <v>x</v>
      </c>
      <c r="GU29" s="112"/>
      <c r="GV29" s="112"/>
      <c r="GW29" s="112" t="str">
        <f t="shared" ref="GW29:GW48" si="208">HYPERLINK("http://www.medical-tribune.de/fileadmin/PDF/Schwindel_arabisch.pdf","x")</f>
        <v>x</v>
      </c>
      <c r="GX29" s="112"/>
      <c r="GY29" s="112"/>
      <c r="GZ29" s="112"/>
      <c r="HA29" s="112"/>
      <c r="HB29" s="112" t="str">
        <f t="shared" si="48"/>
        <v>x</v>
      </c>
      <c r="HC29" s="112" t="str">
        <f t="shared" ref="HC29:HC48" si="209">HYPERLINK("https://www.zahnaerzte-wl.de/images/_PDF-suche/KZV_ZÄK/ENDSTAND_Ankreuzbogen_Ich_verstehe.pdf","x")</f>
        <v>x</v>
      </c>
      <c r="HD29" s="112" t="str">
        <f t="shared" ref="HD29:HD48" si="210">HYPERLINK("https://www.zahnaerzte-wl.de/images/_PDF-suche/KZV_ZÄK/Anschreiben_Patienten_arabisch.pdf","x")</f>
        <v>x</v>
      </c>
      <c r="HE29" s="112" t="str">
        <f t="shared" ref="HE29:HE48" si="211">HYPERLINK("https://www.zahnaerzte-wl.de/images/_PDF-suche/KZV_ZÄK/Fragebogen_arabisch.pdf","x")</f>
        <v>x</v>
      </c>
      <c r="HF29" s="112" t="str">
        <f t="shared" ref="HF29:HF48" si="212">HYPERLINK("https://www.zahnaerzte-wl.de/images/_PDF-suche/KZV_ZÄK/Patientenerhebungsbogen_arabisch.pdf","x")</f>
        <v>x</v>
      </c>
      <c r="HG29" s="112"/>
      <c r="HH29" s="112"/>
      <c r="HI29" s="112" t="str">
        <f t="shared" ref="HI29:HI48" si="213">HYPERLINK("http://www.ibbc-berlin.de/media/Bro_de-arab.pdf","x")</f>
        <v>x</v>
      </c>
      <c r="HJ29" s="112"/>
      <c r="HK29" s="112" t="str">
        <f t="shared" ref="HK29:HK48" si="214">HYPERLINK("http://www.ethno-medizinisches-zentrum.de/images/PDF-Files/lf_depression__arab.pdf","x")</f>
        <v>x</v>
      </c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 t="str">
        <f t="shared" ref="HW29:HW48" si="215">HYPERLINK("http://www.bkk-psychisch-gesund.de/fileadmin/user_upload/Dokumente/Versicherte/Broschueren/Wegweiser_Psychotherapie_arabisch.pdf","x")</f>
        <v>x</v>
      </c>
      <c r="HX29" s="112" t="str">
        <f t="shared" si="108"/>
        <v>x</v>
      </c>
      <c r="HY29" s="112" t="str">
        <f t="shared" si="109"/>
        <v>x</v>
      </c>
      <c r="HZ29" s="112"/>
      <c r="IA29" s="112"/>
      <c r="IB29" s="112"/>
      <c r="IC29" s="112" t="str">
        <f t="shared" ref="IC29:IC48" si="216">HYPERLINK("http://www.susannestein.de/VIA-online/trauma-bilderbuch-arabisch.pdf","x")</f>
        <v>x</v>
      </c>
      <c r="ID29" s="112"/>
      <c r="IE29" s="112"/>
      <c r="IF29" s="112"/>
      <c r="IG29" s="111"/>
      <c r="IH29" s="112"/>
      <c r="II29" s="112"/>
      <c r="IJ29" s="112" t="str">
        <f t="shared" ref="IJ29:IJ48" si="217">HYPERLINK("http://www.bamf.de/SharedDocs/Anlagen/DE/Publikationen/Flyer/Lassen-Sie-Sich-Beraten/lassen-sie-sich-beraten_ar.pdf?__blob=publicationFile","x")</f>
        <v>x</v>
      </c>
      <c r="IK29" s="112" t="str">
        <f t="shared" ref="IK29:IK48" si="218">HYPERLINK("http://www.bamf.de/SharedDocs/Anlagen/DE/Publikationen/Flyer/flyer-erstorientierung-asylsuchende_arabisch.pdf?__blob=publicationFile","x")</f>
        <v>x</v>
      </c>
      <c r="IL29" s="111"/>
      <c r="IM29" s="112" t="str">
        <f t="shared" ref="IM29:IM48" si="219">HYPERLINK("https://www.bamf.de/SharedDocs/Anlagen/DE/Publikationen/Broschueren/willkommen-in-deutschland_ar.pdf?__blob=publicationFile","x")</f>
        <v>x</v>
      </c>
      <c r="IN29" s="112"/>
      <c r="IO29" s="111"/>
      <c r="IP29" s="112" t="str">
        <f t="shared" ref="IP29:IP48" si="220">HYPERLINK("http://www.bamf.de/SharedDocs/Anlagen/DE/Publikationen/Flyer/Lernen-Sie-Deutsch/lernen-sie-deutsch_ar.pdf?__blob=publicationFile","x")</f>
        <v>x</v>
      </c>
      <c r="IQ29" s="112" t="str">
        <f t="shared" ref="IQ29:IQ48" si="221">HYPERLINK("http://www.asyl.net/fileadmin/user_upload/redaktion/Dokumente/Arbeitshilfen/150910_Wie_l%C3%A4uft_ein_Asylverfahren_ab_%C3%9Cberblickstext_Arabisch.pdf","x")</f>
        <v>x</v>
      </c>
      <c r="IR29" s="111"/>
      <c r="IS29" s="111"/>
      <c r="IT29" s="111"/>
      <c r="IU29" s="112" t="str">
        <f t="shared" ref="IU29:IU48" si="222">HYPERLINK("http://www.asyl.net/fileadmin/user_upload/infoblatt_anhoerung/Infoblatt_2015_ar_fin.pdf","x")</f>
        <v>x</v>
      </c>
      <c r="IV29" s="112" t="str">
        <f t="shared" ref="IV29:IV48" si="223">HYPERLINK("http://efi-landsberg.de/asyl/wp-content/uploads/2014/04/Merkblatt-Asylbewerber-Fluechtlinge.pdf","x")</f>
        <v>x</v>
      </c>
      <c r="IW29" s="112"/>
      <c r="IX29" s="112" t="str">
        <f t="shared" ref="IX29:IX48" si="224">HYPERLINK("http://www.bamf.de/SharedDocs/Anlagen/DE/Publikationen/Broschueren/broschuere-eat-a4-ar-arabisch.pdf?__blob=publicationFile","x")</f>
        <v>x</v>
      </c>
      <c r="IY29" s="111"/>
      <c r="IZ29" s="112" t="str">
        <f t="shared" ref="IZ29:IZ48" si="225">HYPERLINK("http://fluechtlingsrat-bw.de/informationen-fuer-fluechtlinge.html","x")</f>
        <v>x</v>
      </c>
      <c r="JA29" s="111"/>
      <c r="JB29" s="112"/>
      <c r="JC29" s="111"/>
      <c r="JD29" s="112"/>
      <c r="JE29" s="112"/>
      <c r="JF29" s="112" t="str">
        <f t="shared" ref="JF29:JF48" si="226">HYPERLINK("http://www.bamf.de/SharedDocs/Anlagen/DE/Publikationen/Flyer/Ehegattennachzug/ehegattennachzug-ar.pdf?__blob=publicationFile","x")</f>
        <v>x</v>
      </c>
      <c r="JG29" s="112" t="str">
        <f t="shared" ref="JG29:JG48" si="227">HYPERLINK("https://familyreunion-syria.diplo.de/webportal/index.html#start","x")</f>
        <v>x</v>
      </c>
      <c r="JH29" s="111"/>
      <c r="JI29" s="112"/>
      <c r="JJ29" s="112" t="str">
        <f t="shared" ref="JJ29:JJ48" si="228">HYPERLINK("https://www.arbeitsagentur.de/web/wcm/idc/groups/public/documents/webdatei/mdaw/mjgz/~edisp/l6019022dstbai784629.pdf?_ba.sid=L6019022DSTBAI788745","x")</f>
        <v>x</v>
      </c>
      <c r="JK29" s="112" t="str">
        <f t="shared" ref="JK29:JK48" si="229">HYPERLINK("http://www.kub-berlin.org/formularprojekt/de/arabisch-antraege-und-anlagen/","x")</f>
        <v>x</v>
      </c>
      <c r="JL29" s="112" t="str">
        <f t="shared" ref="JL29:JL48" si="230">HYPERLINK("https://www.arbeitsagentur.de/web/content/DE/Formulare/Detail/index.htm?dfContentId=L6019022DSTBAI485740","x")</f>
        <v>x</v>
      </c>
      <c r="JM29" s="112"/>
      <c r="JN29" s="112"/>
      <c r="JO29" s="112"/>
      <c r="JP29" s="112"/>
      <c r="JQ29" s="112" t="str">
        <f t="shared" si="110"/>
        <v>x</v>
      </c>
      <c r="JR29" s="112"/>
      <c r="JS29" s="112" t="str">
        <f t="shared" ref="JS29:JS48" si="231">HYPERLINK("http://www.b-umf.de/images/willkommen/willkommensbroschurearabisch-web.pdf","x")</f>
        <v>x</v>
      </c>
      <c r="JT29" s="111"/>
      <c r="JU29" s="111"/>
      <c r="JV29" s="112"/>
      <c r="JW29" s="112"/>
      <c r="JX29" s="112"/>
      <c r="JY29" s="112"/>
      <c r="JZ29" s="112" t="str">
        <f t="shared" ref="JZ29:JZ48" si="232">HYPERLINK("http://www.kas.de/wf/de/33.43117/","x")</f>
        <v>x</v>
      </c>
      <c r="KA29" s="112" t="str">
        <f t="shared" ref="KA29:KA48" si="233">HYPERLINK("http://www.refugeeguide.de/dl/RefugeeGuide_ar_930.pdf","x")</f>
        <v>x</v>
      </c>
      <c r="KB29" s="112" t="str">
        <f t="shared" ref="KB29:KB48" si="234">HYPERLINK("http://www.bpb.de/shop/buecher/grundgesetz/215136/grundgesetz-auf-arabisch","x")</f>
        <v>x</v>
      </c>
      <c r="KC29" s="112" t="str">
        <f t="shared" ref="KC29:KC48" si="235">HYPERLINK("http://www.wedel.de/fileadmin/user_upload/media/pdf/Rathaus_und_Politik/20160118_PM_Broschuere.pdf","x")</f>
        <v>x</v>
      </c>
      <c r="KD29" s="112" t="str">
        <f t="shared" si="111"/>
        <v>x</v>
      </c>
      <c r="KE29" s="112" t="str">
        <f t="shared" ref="KE29:KE48" si="236">HYPERLINK("http://sab.landtag.sachsen.de/dokumente/landtagskurier/Grundwerte-A5-international_web_08012016.pdf","x")</f>
        <v>x</v>
      </c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1"/>
      <c r="LC29" s="111"/>
      <c r="LD29" s="111"/>
      <c r="LE29" s="111"/>
      <c r="LF29" s="112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2"/>
      <c r="LT29" s="111"/>
      <c r="LU29" s="111"/>
      <c r="LV29" s="111"/>
      <c r="LW29" s="111"/>
      <c r="LX29" s="111"/>
      <c r="LY29" s="112" t="str">
        <f t="shared" ref="LY29:LY48" si="237">HYPERLINK("http://www.bjf.info/projekte/cinemanya","x")</f>
        <v>x</v>
      </c>
      <c r="LZ29" s="111"/>
      <c r="MA29" s="111"/>
      <c r="MB29" s="111"/>
      <c r="MC29" s="112" t="str">
        <f t="shared" ref="MC29:MC48" si="238">HYPERLINK("http://www.rki.de/DE/Content/Infekt/IfSG/Belehrungsbogen/belehrungsbogen_lebensmittel_arabisch.pdf?__blob=publicationFile","x")</f>
        <v>x</v>
      </c>
      <c r="MD29" s="111"/>
      <c r="ME29" s="112" t="str">
        <f t="shared" ref="ME29:ME48" si="239">HYPERLINK("http://www.gdv.de/wp-content/uploads/2016/01/Information_Brandschutz_Fluechtlingsheim_-Sicherheit_mehrsprachig.pdf","x")</f>
        <v>x</v>
      </c>
      <c r="MF29" s="112" t="str">
        <f t="shared" ref="MF29:MF48" si="240">HYPERLINK("http://www.gdv.de/wp-content/uploads/2016/01/Information_Verhalten-im-Brandfall_mehrsprachig.pdf","x")</f>
        <v>x</v>
      </c>
      <c r="MG29" s="112" t="str">
        <f t="shared" ref="MG29:MG48" si="241">HYPERLINK("http://www.aha-region.de/fileadmin/Download/pdf/aha_Plakat_Muelltrennung_ar.pdf","x")</f>
        <v>x</v>
      </c>
      <c r="MH29" s="112" t="str">
        <f t="shared" si="112"/>
        <v>x</v>
      </c>
    </row>
    <row r="30" spans="1:346" x14ac:dyDescent="0.25">
      <c r="A30" s="110" t="s">
        <v>1</v>
      </c>
      <c r="B30" s="101" t="s">
        <v>50</v>
      </c>
      <c r="C30" s="102"/>
      <c r="D30" s="102"/>
      <c r="E30" s="102"/>
      <c r="F30" s="102"/>
      <c r="G30" s="102"/>
      <c r="H30" s="102"/>
      <c r="I30" s="102"/>
      <c r="J30" s="103"/>
      <c r="K30" s="112" t="str">
        <f t="shared" si="113"/>
        <v>x</v>
      </c>
      <c r="L30" s="111"/>
      <c r="M30" s="112" t="str">
        <f t="shared" si="84"/>
        <v>x</v>
      </c>
      <c r="N30" s="112" t="str">
        <f t="shared" si="114"/>
        <v>x</v>
      </c>
      <c r="O30" s="112" t="str">
        <f t="shared" si="115"/>
        <v>x</v>
      </c>
      <c r="P30" s="112" t="str">
        <f t="shared" si="116"/>
        <v>x</v>
      </c>
      <c r="Q30" s="112" t="str">
        <f t="shared" si="117"/>
        <v>x</v>
      </c>
      <c r="R30" s="112"/>
      <c r="S30" s="112" t="str">
        <f t="shared" si="118"/>
        <v>x</v>
      </c>
      <c r="T30" s="112" t="str">
        <f t="shared" si="119"/>
        <v>x</v>
      </c>
      <c r="U30" s="112"/>
      <c r="V30" s="112"/>
      <c r="W30" s="112" t="str">
        <f t="shared" si="120"/>
        <v>x</v>
      </c>
      <c r="X30" s="112" t="str">
        <f t="shared" si="121"/>
        <v>x</v>
      </c>
      <c r="Y30" s="112"/>
      <c r="Z30" s="112"/>
      <c r="AA30" s="112"/>
      <c r="AB30" s="112"/>
      <c r="AC30" s="112" t="str">
        <f t="shared" si="122"/>
        <v>x</v>
      </c>
      <c r="AD30" s="112"/>
      <c r="AE30" s="112" t="str">
        <f t="shared" si="123"/>
        <v>x</v>
      </c>
      <c r="AF30" s="112" t="str">
        <f t="shared" si="124"/>
        <v>x</v>
      </c>
      <c r="AG30" s="111"/>
      <c r="AH30" s="112" t="str">
        <f t="shared" si="125"/>
        <v>x</v>
      </c>
      <c r="AI30" s="112" t="str">
        <f t="shared" si="126"/>
        <v>x</v>
      </c>
      <c r="AJ30" s="112" t="str">
        <f t="shared" si="127"/>
        <v>x</v>
      </c>
      <c r="AK30" s="112" t="str">
        <f t="shared" si="128"/>
        <v>x</v>
      </c>
      <c r="AL30" s="112"/>
      <c r="AM30" s="112" t="str">
        <f t="shared" si="129"/>
        <v>x</v>
      </c>
      <c r="AN30" s="112"/>
      <c r="AO30" s="112"/>
      <c r="AP30" s="112"/>
      <c r="AQ30" s="112"/>
      <c r="AR30" s="112"/>
      <c r="AS30" s="112" t="str">
        <f t="shared" si="130"/>
        <v>x</v>
      </c>
      <c r="AT30" s="112"/>
      <c r="AU30" s="114" t="str">
        <f t="shared" si="131"/>
        <v>x</v>
      </c>
      <c r="AV30" s="114" t="str">
        <f t="shared" si="85"/>
        <v>x</v>
      </c>
      <c r="AW30" s="114" t="str">
        <f t="shared" si="86"/>
        <v>x</v>
      </c>
      <c r="AX30" s="112" t="str">
        <f t="shared" si="132"/>
        <v>x</v>
      </c>
      <c r="AY30" s="111"/>
      <c r="AZ30" s="112" t="str">
        <f t="shared" si="87"/>
        <v>x</v>
      </c>
      <c r="BA30" s="112" t="str">
        <f t="shared" si="88"/>
        <v>x</v>
      </c>
      <c r="BB30" s="112"/>
      <c r="BC30" s="112" t="str">
        <f t="shared" si="133"/>
        <v>x</v>
      </c>
      <c r="BD30" s="112" t="str">
        <f t="shared" si="134"/>
        <v>x</v>
      </c>
      <c r="BE30" s="112" t="str">
        <f t="shared" si="135"/>
        <v>x</v>
      </c>
      <c r="BF30" s="111"/>
      <c r="BG30" s="112" t="str">
        <f t="shared" si="136"/>
        <v>x</v>
      </c>
      <c r="BH30" s="112" t="str">
        <f t="shared" si="137"/>
        <v>x</v>
      </c>
      <c r="BI30" s="112" t="str">
        <f t="shared" si="138"/>
        <v>x</v>
      </c>
      <c r="BJ30" s="112" t="str">
        <f t="shared" si="139"/>
        <v>x</v>
      </c>
      <c r="BK30" s="112" t="str">
        <f t="shared" si="140"/>
        <v>x</v>
      </c>
      <c r="BL30" s="112" t="str">
        <f t="shared" si="89"/>
        <v>x</v>
      </c>
      <c r="BM30" s="112" t="str">
        <f t="shared" si="141"/>
        <v>x</v>
      </c>
      <c r="BN30" s="111"/>
      <c r="BO30" s="111"/>
      <c r="BP30" s="112" t="str">
        <f t="shared" si="142"/>
        <v>x</v>
      </c>
      <c r="BQ30" s="111"/>
      <c r="BR30" s="112" t="str">
        <f t="shared" si="90"/>
        <v>x</v>
      </c>
      <c r="BS30" s="112" t="str">
        <f t="shared" si="143"/>
        <v>x</v>
      </c>
      <c r="BT30" s="111"/>
      <c r="BU30" s="112" t="str">
        <f t="shared" si="91"/>
        <v>x</v>
      </c>
      <c r="BV30" s="112" t="str">
        <f t="shared" si="144"/>
        <v>x</v>
      </c>
      <c r="BW30" s="112"/>
      <c r="BX30" s="112"/>
      <c r="BY30" s="112" t="str">
        <f t="shared" si="145"/>
        <v>x</v>
      </c>
      <c r="BZ30" s="112" t="str">
        <f t="shared" si="92"/>
        <v>x</v>
      </c>
      <c r="CA30" s="112" t="str">
        <f t="shared" si="93"/>
        <v>x</v>
      </c>
      <c r="CB30" s="112" t="str">
        <f t="shared" si="94"/>
        <v>x</v>
      </c>
      <c r="CC30" s="112"/>
      <c r="CD30" s="112"/>
      <c r="CE30" s="112" t="str">
        <f t="shared" si="146"/>
        <v>x</v>
      </c>
      <c r="CF30" s="112" t="str">
        <f t="shared" si="147"/>
        <v>x</v>
      </c>
      <c r="CG30" s="112" t="str">
        <f t="shared" si="148"/>
        <v>x</v>
      </c>
      <c r="CH30" s="112"/>
      <c r="CI30" s="112" t="str">
        <f t="shared" si="149"/>
        <v>x</v>
      </c>
      <c r="CJ30" s="112" t="str">
        <f t="shared" si="95"/>
        <v>x</v>
      </c>
      <c r="CK30" s="112" t="str">
        <f t="shared" si="150"/>
        <v>x</v>
      </c>
      <c r="CL30" s="112"/>
      <c r="CM30" s="112"/>
      <c r="CN30" s="112"/>
      <c r="CO30" s="112" t="str">
        <f t="shared" si="151"/>
        <v>x</v>
      </c>
      <c r="CP30" s="112"/>
      <c r="CQ30" s="112" t="str">
        <f t="shared" si="152"/>
        <v>x</v>
      </c>
      <c r="CR30" s="112"/>
      <c r="CS30" s="112"/>
      <c r="CT30" s="112" t="str">
        <f t="shared" si="153"/>
        <v>x</v>
      </c>
      <c r="CU30" s="112"/>
      <c r="CV30" s="112"/>
      <c r="CW30" s="112"/>
      <c r="CX30" s="112" t="str">
        <f t="shared" si="154"/>
        <v>x</v>
      </c>
      <c r="CY30" s="112"/>
      <c r="CZ30" s="112" t="str">
        <f t="shared" si="96"/>
        <v>x</v>
      </c>
      <c r="DA30" s="112"/>
      <c r="DB30" s="115" t="str">
        <f t="shared" si="155"/>
        <v>x</v>
      </c>
      <c r="DC30" s="112"/>
      <c r="DD30" s="112"/>
      <c r="DE30" s="112" t="str">
        <f t="shared" si="97"/>
        <v>x</v>
      </c>
      <c r="DF30" s="115" t="str">
        <f t="shared" si="98"/>
        <v>x</v>
      </c>
      <c r="DG30" s="112" t="str">
        <f t="shared" si="99"/>
        <v>x</v>
      </c>
      <c r="DH30" s="112" t="str">
        <f t="shared" si="100"/>
        <v>x</v>
      </c>
      <c r="DI30" s="112" t="str">
        <f t="shared" si="156"/>
        <v>x</v>
      </c>
      <c r="DJ30" s="112"/>
      <c r="DK30" s="112" t="str">
        <f t="shared" si="157"/>
        <v>x</v>
      </c>
      <c r="DL30" s="112"/>
      <c r="DM30" s="112"/>
      <c r="DN30" s="112" t="str">
        <f t="shared" si="158"/>
        <v>x</v>
      </c>
      <c r="DO30" s="111"/>
      <c r="DP30" s="112" t="str">
        <f t="shared" si="159"/>
        <v>x</v>
      </c>
      <c r="DQ30" s="112" t="str">
        <f t="shared" si="160"/>
        <v>x</v>
      </c>
      <c r="DR30" s="112" t="str">
        <f t="shared" si="161"/>
        <v>x</v>
      </c>
      <c r="DS30" s="112" t="str">
        <f t="shared" si="162"/>
        <v>x</v>
      </c>
      <c r="DT30" s="112"/>
      <c r="DU30" s="112" t="str">
        <f t="shared" si="163"/>
        <v>x</v>
      </c>
      <c r="DV30" s="112"/>
      <c r="DW30" s="112" t="str">
        <f t="shared" si="164"/>
        <v>x</v>
      </c>
      <c r="DX30" s="112" t="str">
        <f t="shared" si="165"/>
        <v>x</v>
      </c>
      <c r="DY30" s="112" t="str">
        <f t="shared" si="166"/>
        <v>x</v>
      </c>
      <c r="DZ30" s="112" t="str">
        <f t="shared" si="167"/>
        <v>x</v>
      </c>
      <c r="EA30" s="112" t="str">
        <f t="shared" si="168"/>
        <v>x</v>
      </c>
      <c r="EB30" s="112" t="str">
        <f t="shared" si="169"/>
        <v>x</v>
      </c>
      <c r="EC30" s="111"/>
      <c r="ED30" s="111"/>
      <c r="EE30" s="111"/>
      <c r="EF30" s="111"/>
      <c r="EG30" s="111"/>
      <c r="EH30" s="111"/>
      <c r="EI30" s="112"/>
      <c r="EJ30" s="112" t="str">
        <f t="shared" si="170"/>
        <v>x</v>
      </c>
      <c r="EK30" s="112" t="str">
        <f t="shared" si="171"/>
        <v>x</v>
      </c>
      <c r="EL30" s="112" t="str">
        <f t="shared" si="172"/>
        <v>x</v>
      </c>
      <c r="EM30" s="112" t="str">
        <f t="shared" si="173"/>
        <v>x</v>
      </c>
      <c r="EN30" s="112" t="str">
        <f t="shared" si="174"/>
        <v>x</v>
      </c>
      <c r="EO30" s="117" t="str">
        <f t="shared" si="101"/>
        <v>x</v>
      </c>
      <c r="EP30" s="117" t="str">
        <f t="shared" si="175"/>
        <v>x</v>
      </c>
      <c r="EQ30" s="112" t="str">
        <f t="shared" si="176"/>
        <v>x</v>
      </c>
      <c r="ER30" s="112"/>
      <c r="ES30" s="112" t="str">
        <f t="shared" si="102"/>
        <v>x</v>
      </c>
      <c r="ET30" s="112" t="str">
        <f t="shared" si="177"/>
        <v>x</v>
      </c>
      <c r="EU30" s="112" t="str">
        <f t="shared" si="178"/>
        <v>x</v>
      </c>
      <c r="EV30" s="112" t="str">
        <f t="shared" si="103"/>
        <v>x</v>
      </c>
      <c r="EW30" s="112" t="str">
        <f t="shared" si="179"/>
        <v>x</v>
      </c>
      <c r="EX30" s="112" t="str">
        <f t="shared" si="180"/>
        <v>x</v>
      </c>
      <c r="EY30" s="112" t="str">
        <f t="shared" si="181"/>
        <v>x</v>
      </c>
      <c r="EZ30" s="112"/>
      <c r="FA30" s="112" t="str">
        <f t="shared" si="182"/>
        <v>x</v>
      </c>
      <c r="FB30" s="111"/>
      <c r="FC30" s="112" t="str">
        <f t="shared" si="104"/>
        <v>x</v>
      </c>
      <c r="FD30" s="112" t="str">
        <f t="shared" si="105"/>
        <v>x</v>
      </c>
      <c r="FE30" s="112" t="str">
        <f t="shared" si="106"/>
        <v>x</v>
      </c>
      <c r="FF30" s="112" t="str">
        <f t="shared" si="107"/>
        <v>x</v>
      </c>
      <c r="FG30" s="111"/>
      <c r="FH30" s="111"/>
      <c r="FI30" s="112" t="str">
        <f t="shared" si="183"/>
        <v>x</v>
      </c>
      <c r="FJ30" s="112" t="str">
        <f t="shared" si="184"/>
        <v>x</v>
      </c>
      <c r="FK30" s="112" t="str">
        <f t="shared" si="185"/>
        <v>x</v>
      </c>
      <c r="FL30" s="112"/>
      <c r="FM30" s="112" t="str">
        <f t="shared" si="186"/>
        <v>x</v>
      </c>
      <c r="FN30" s="112"/>
      <c r="FO30" s="112" t="str">
        <f t="shared" si="187"/>
        <v>x</v>
      </c>
      <c r="FP30" s="112" t="str">
        <f t="shared" si="188"/>
        <v>x</v>
      </c>
      <c r="FQ30" s="112" t="str">
        <f t="shared" si="189"/>
        <v>x</v>
      </c>
      <c r="FR30" s="112" t="str">
        <f t="shared" si="190"/>
        <v>x</v>
      </c>
      <c r="FS30" s="112" t="str">
        <f t="shared" si="191"/>
        <v>x</v>
      </c>
      <c r="FT30" s="112" t="str">
        <f t="shared" si="192"/>
        <v>x</v>
      </c>
      <c r="FU30" s="112" t="str">
        <f t="shared" si="193"/>
        <v>x</v>
      </c>
      <c r="FV30" s="112" t="str">
        <f t="shared" si="194"/>
        <v>x</v>
      </c>
      <c r="FW30" s="112" t="str">
        <f t="shared" si="195"/>
        <v>x</v>
      </c>
      <c r="FX30" s="112" t="str">
        <f t="shared" si="196"/>
        <v>x</v>
      </c>
      <c r="FY30" s="112" t="str">
        <f t="shared" si="197"/>
        <v>x</v>
      </c>
      <c r="FZ30" s="112"/>
      <c r="GA30" s="112" t="str">
        <f t="shared" si="198"/>
        <v>x</v>
      </c>
      <c r="GB30" s="112"/>
      <c r="GC30" s="112" t="str">
        <f t="shared" si="199"/>
        <v>x</v>
      </c>
      <c r="GD30" s="112"/>
      <c r="GE30" s="112"/>
      <c r="GF30" s="112"/>
      <c r="GG30" s="112"/>
      <c r="GH30" s="112" t="str">
        <f t="shared" si="200"/>
        <v>x</v>
      </c>
      <c r="GI30" s="112" t="str">
        <f t="shared" si="201"/>
        <v>x</v>
      </c>
      <c r="GJ30" s="111"/>
      <c r="GK30" s="111"/>
      <c r="GL30" s="112" t="str">
        <f t="shared" si="202"/>
        <v>x</v>
      </c>
      <c r="GM30" s="112"/>
      <c r="GN30" s="112" t="str">
        <f t="shared" si="203"/>
        <v>x</v>
      </c>
      <c r="GO30" s="112" t="str">
        <f t="shared" si="204"/>
        <v>x</v>
      </c>
      <c r="GP30" s="112"/>
      <c r="GQ30" s="112" t="str">
        <f t="shared" si="205"/>
        <v>x</v>
      </c>
      <c r="GR30" s="112" t="str">
        <f t="shared" si="206"/>
        <v>x</v>
      </c>
      <c r="GS30" s="112"/>
      <c r="GT30" s="112" t="str">
        <f t="shared" si="207"/>
        <v>x</v>
      </c>
      <c r="GU30" s="112"/>
      <c r="GV30" s="112"/>
      <c r="GW30" s="112" t="str">
        <f t="shared" si="208"/>
        <v>x</v>
      </c>
      <c r="GX30" s="112"/>
      <c r="GY30" s="112"/>
      <c r="GZ30" s="112"/>
      <c r="HA30" s="112"/>
      <c r="HB30" s="112" t="str">
        <f t="shared" si="48"/>
        <v>x</v>
      </c>
      <c r="HC30" s="112" t="str">
        <f t="shared" si="209"/>
        <v>x</v>
      </c>
      <c r="HD30" s="112" t="str">
        <f t="shared" si="210"/>
        <v>x</v>
      </c>
      <c r="HE30" s="112" t="str">
        <f t="shared" si="211"/>
        <v>x</v>
      </c>
      <c r="HF30" s="112" t="str">
        <f t="shared" si="212"/>
        <v>x</v>
      </c>
      <c r="HG30" s="112"/>
      <c r="HH30" s="112"/>
      <c r="HI30" s="112" t="str">
        <f t="shared" si="213"/>
        <v>x</v>
      </c>
      <c r="HJ30" s="112"/>
      <c r="HK30" s="112" t="str">
        <f t="shared" si="214"/>
        <v>x</v>
      </c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 t="str">
        <f t="shared" si="215"/>
        <v>x</v>
      </c>
      <c r="HX30" s="112" t="str">
        <f t="shared" si="108"/>
        <v>x</v>
      </c>
      <c r="HY30" s="112" t="str">
        <f t="shared" si="109"/>
        <v>x</v>
      </c>
      <c r="HZ30" s="112"/>
      <c r="IA30" s="112"/>
      <c r="IB30" s="112"/>
      <c r="IC30" s="112" t="str">
        <f t="shared" si="216"/>
        <v>x</v>
      </c>
      <c r="ID30" s="112"/>
      <c r="IE30" s="112"/>
      <c r="IF30" s="112"/>
      <c r="IG30" s="111"/>
      <c r="IH30" s="112"/>
      <c r="II30" s="112"/>
      <c r="IJ30" s="112" t="str">
        <f t="shared" si="217"/>
        <v>x</v>
      </c>
      <c r="IK30" s="112" t="str">
        <f t="shared" si="218"/>
        <v>x</v>
      </c>
      <c r="IL30" s="111"/>
      <c r="IM30" s="112" t="str">
        <f t="shared" si="219"/>
        <v>x</v>
      </c>
      <c r="IN30" s="112"/>
      <c r="IO30" s="111"/>
      <c r="IP30" s="112" t="str">
        <f t="shared" si="220"/>
        <v>x</v>
      </c>
      <c r="IQ30" s="112" t="str">
        <f t="shared" si="221"/>
        <v>x</v>
      </c>
      <c r="IR30" s="111"/>
      <c r="IS30" s="111"/>
      <c r="IT30" s="111"/>
      <c r="IU30" s="112" t="str">
        <f t="shared" si="222"/>
        <v>x</v>
      </c>
      <c r="IV30" s="112" t="str">
        <f t="shared" si="223"/>
        <v>x</v>
      </c>
      <c r="IW30" s="112"/>
      <c r="IX30" s="112" t="str">
        <f t="shared" si="224"/>
        <v>x</v>
      </c>
      <c r="IY30" s="111"/>
      <c r="IZ30" s="112" t="str">
        <f t="shared" si="225"/>
        <v>x</v>
      </c>
      <c r="JA30" s="111"/>
      <c r="JB30" s="112"/>
      <c r="JC30" s="111"/>
      <c r="JD30" s="112"/>
      <c r="JE30" s="112"/>
      <c r="JF30" s="112" t="str">
        <f t="shared" si="226"/>
        <v>x</v>
      </c>
      <c r="JG30" s="112" t="str">
        <f t="shared" si="227"/>
        <v>x</v>
      </c>
      <c r="JH30" s="111"/>
      <c r="JI30" s="112"/>
      <c r="JJ30" s="112" t="str">
        <f t="shared" si="228"/>
        <v>x</v>
      </c>
      <c r="JK30" s="112" t="str">
        <f t="shared" si="229"/>
        <v>x</v>
      </c>
      <c r="JL30" s="112" t="str">
        <f t="shared" si="230"/>
        <v>x</v>
      </c>
      <c r="JM30" s="112"/>
      <c r="JN30" s="112"/>
      <c r="JO30" s="112"/>
      <c r="JP30" s="112"/>
      <c r="JQ30" s="112" t="str">
        <f t="shared" si="110"/>
        <v>x</v>
      </c>
      <c r="JR30" s="112"/>
      <c r="JS30" s="112" t="str">
        <f t="shared" si="231"/>
        <v>x</v>
      </c>
      <c r="JT30" s="111"/>
      <c r="JU30" s="111"/>
      <c r="JV30" s="112"/>
      <c r="JW30" s="112"/>
      <c r="JX30" s="112"/>
      <c r="JY30" s="112"/>
      <c r="JZ30" s="112" t="str">
        <f t="shared" si="232"/>
        <v>x</v>
      </c>
      <c r="KA30" s="112" t="str">
        <f t="shared" si="233"/>
        <v>x</v>
      </c>
      <c r="KB30" s="112" t="str">
        <f t="shared" si="234"/>
        <v>x</v>
      </c>
      <c r="KC30" s="112" t="str">
        <f t="shared" si="235"/>
        <v>x</v>
      </c>
      <c r="KD30" s="112" t="str">
        <f t="shared" si="111"/>
        <v>x</v>
      </c>
      <c r="KE30" s="112" t="str">
        <f t="shared" si="236"/>
        <v>x</v>
      </c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1"/>
      <c r="LC30" s="111"/>
      <c r="LD30" s="111"/>
      <c r="LE30" s="111"/>
      <c r="LF30" s="112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2"/>
      <c r="LT30" s="111"/>
      <c r="LU30" s="111"/>
      <c r="LV30" s="111"/>
      <c r="LW30" s="111"/>
      <c r="LX30" s="111"/>
      <c r="LY30" s="112" t="str">
        <f t="shared" si="237"/>
        <v>x</v>
      </c>
      <c r="LZ30" s="111"/>
      <c r="MA30" s="111"/>
      <c r="MB30" s="111"/>
      <c r="MC30" s="112" t="str">
        <f t="shared" si="238"/>
        <v>x</v>
      </c>
      <c r="MD30" s="111"/>
      <c r="ME30" s="112" t="str">
        <f t="shared" si="239"/>
        <v>x</v>
      </c>
      <c r="MF30" s="112" t="str">
        <f t="shared" si="240"/>
        <v>x</v>
      </c>
      <c r="MG30" s="112" t="str">
        <f t="shared" si="241"/>
        <v>x</v>
      </c>
      <c r="MH30" s="112" t="str">
        <f t="shared" si="112"/>
        <v>x</v>
      </c>
    </row>
    <row r="31" spans="1:346" x14ac:dyDescent="0.25">
      <c r="A31" s="110" t="s">
        <v>1</v>
      </c>
      <c r="B31" s="101" t="s">
        <v>51</v>
      </c>
      <c r="C31" s="102"/>
      <c r="D31" s="102"/>
      <c r="E31" s="102"/>
      <c r="F31" s="102"/>
      <c r="G31" s="102"/>
      <c r="H31" s="102"/>
      <c r="I31" s="102"/>
      <c r="J31" s="103"/>
      <c r="K31" s="112" t="str">
        <f t="shared" si="113"/>
        <v>x</v>
      </c>
      <c r="L31" s="111"/>
      <c r="M31" s="112" t="str">
        <f t="shared" si="84"/>
        <v>x</v>
      </c>
      <c r="N31" s="112" t="str">
        <f t="shared" si="114"/>
        <v>x</v>
      </c>
      <c r="O31" s="112" t="str">
        <f t="shared" si="115"/>
        <v>x</v>
      </c>
      <c r="P31" s="112" t="str">
        <f t="shared" si="116"/>
        <v>x</v>
      </c>
      <c r="Q31" s="112" t="str">
        <f t="shared" si="117"/>
        <v>x</v>
      </c>
      <c r="R31" s="112"/>
      <c r="S31" s="112" t="str">
        <f t="shared" si="118"/>
        <v>x</v>
      </c>
      <c r="T31" s="112" t="str">
        <f t="shared" si="119"/>
        <v>x</v>
      </c>
      <c r="U31" s="112"/>
      <c r="V31" s="112"/>
      <c r="W31" s="112" t="str">
        <f t="shared" si="120"/>
        <v>x</v>
      </c>
      <c r="X31" s="112" t="str">
        <f t="shared" si="121"/>
        <v>x</v>
      </c>
      <c r="Y31" s="112"/>
      <c r="Z31" s="112"/>
      <c r="AA31" s="112"/>
      <c r="AB31" s="112"/>
      <c r="AC31" s="112" t="str">
        <f t="shared" si="122"/>
        <v>x</v>
      </c>
      <c r="AD31" s="112"/>
      <c r="AE31" s="112" t="str">
        <f t="shared" si="123"/>
        <v>x</v>
      </c>
      <c r="AF31" s="112" t="str">
        <f t="shared" si="124"/>
        <v>x</v>
      </c>
      <c r="AG31" s="111"/>
      <c r="AH31" s="112" t="str">
        <f t="shared" si="125"/>
        <v>x</v>
      </c>
      <c r="AI31" s="112" t="str">
        <f t="shared" si="126"/>
        <v>x</v>
      </c>
      <c r="AJ31" s="112" t="str">
        <f t="shared" si="127"/>
        <v>x</v>
      </c>
      <c r="AK31" s="112" t="str">
        <f t="shared" si="128"/>
        <v>x</v>
      </c>
      <c r="AL31" s="112"/>
      <c r="AM31" s="112" t="str">
        <f t="shared" si="129"/>
        <v>x</v>
      </c>
      <c r="AN31" s="112"/>
      <c r="AO31" s="112"/>
      <c r="AP31" s="112"/>
      <c r="AQ31" s="112"/>
      <c r="AR31" s="112"/>
      <c r="AS31" s="112" t="str">
        <f t="shared" si="130"/>
        <v>x</v>
      </c>
      <c r="AT31" s="112"/>
      <c r="AU31" s="114" t="str">
        <f t="shared" si="131"/>
        <v>x</v>
      </c>
      <c r="AV31" s="114" t="str">
        <f t="shared" si="85"/>
        <v>x</v>
      </c>
      <c r="AW31" s="114" t="str">
        <f t="shared" si="86"/>
        <v>x</v>
      </c>
      <c r="AX31" s="112" t="str">
        <f t="shared" si="132"/>
        <v>x</v>
      </c>
      <c r="AY31" s="111"/>
      <c r="AZ31" s="112" t="str">
        <f t="shared" si="87"/>
        <v>x</v>
      </c>
      <c r="BA31" s="112" t="str">
        <f t="shared" si="88"/>
        <v>x</v>
      </c>
      <c r="BB31" s="112"/>
      <c r="BC31" s="112" t="str">
        <f t="shared" si="133"/>
        <v>x</v>
      </c>
      <c r="BD31" s="112" t="str">
        <f t="shared" si="134"/>
        <v>x</v>
      </c>
      <c r="BE31" s="112" t="str">
        <f t="shared" si="135"/>
        <v>x</v>
      </c>
      <c r="BF31" s="111"/>
      <c r="BG31" s="112" t="str">
        <f t="shared" si="136"/>
        <v>x</v>
      </c>
      <c r="BH31" s="112" t="str">
        <f t="shared" si="137"/>
        <v>x</v>
      </c>
      <c r="BI31" s="112" t="str">
        <f t="shared" si="138"/>
        <v>x</v>
      </c>
      <c r="BJ31" s="112" t="str">
        <f t="shared" si="139"/>
        <v>x</v>
      </c>
      <c r="BK31" s="112" t="str">
        <f t="shared" si="140"/>
        <v>x</v>
      </c>
      <c r="BL31" s="112" t="str">
        <f t="shared" si="89"/>
        <v>x</v>
      </c>
      <c r="BM31" s="112" t="str">
        <f t="shared" si="141"/>
        <v>x</v>
      </c>
      <c r="BN31" s="111"/>
      <c r="BO31" s="111"/>
      <c r="BP31" s="112" t="str">
        <f t="shared" si="142"/>
        <v>x</v>
      </c>
      <c r="BQ31" s="111"/>
      <c r="BR31" s="112" t="str">
        <f t="shared" si="90"/>
        <v>x</v>
      </c>
      <c r="BS31" s="112" t="str">
        <f t="shared" si="143"/>
        <v>x</v>
      </c>
      <c r="BT31" s="111"/>
      <c r="BU31" s="112" t="str">
        <f t="shared" si="91"/>
        <v>x</v>
      </c>
      <c r="BV31" s="112" t="str">
        <f t="shared" si="144"/>
        <v>x</v>
      </c>
      <c r="BW31" s="112"/>
      <c r="BX31" s="112"/>
      <c r="BY31" s="112" t="str">
        <f t="shared" si="145"/>
        <v>x</v>
      </c>
      <c r="BZ31" s="112" t="str">
        <f t="shared" si="92"/>
        <v>x</v>
      </c>
      <c r="CA31" s="112" t="str">
        <f t="shared" si="93"/>
        <v>x</v>
      </c>
      <c r="CB31" s="112" t="str">
        <f t="shared" si="94"/>
        <v>x</v>
      </c>
      <c r="CC31" s="112"/>
      <c r="CD31" s="112"/>
      <c r="CE31" s="112" t="str">
        <f t="shared" si="146"/>
        <v>x</v>
      </c>
      <c r="CF31" s="112" t="str">
        <f t="shared" si="147"/>
        <v>x</v>
      </c>
      <c r="CG31" s="112" t="str">
        <f t="shared" si="148"/>
        <v>x</v>
      </c>
      <c r="CH31" s="112"/>
      <c r="CI31" s="112" t="str">
        <f t="shared" si="149"/>
        <v>x</v>
      </c>
      <c r="CJ31" s="112" t="str">
        <f t="shared" si="95"/>
        <v>x</v>
      </c>
      <c r="CK31" s="112" t="str">
        <f t="shared" si="150"/>
        <v>x</v>
      </c>
      <c r="CL31" s="112"/>
      <c r="CM31" s="112"/>
      <c r="CN31" s="112"/>
      <c r="CO31" s="112" t="str">
        <f t="shared" si="151"/>
        <v>x</v>
      </c>
      <c r="CP31" s="112"/>
      <c r="CQ31" s="112" t="str">
        <f t="shared" si="152"/>
        <v>x</v>
      </c>
      <c r="CR31" s="112"/>
      <c r="CS31" s="112"/>
      <c r="CT31" s="112" t="str">
        <f t="shared" si="153"/>
        <v>x</v>
      </c>
      <c r="CU31" s="112"/>
      <c r="CV31" s="112"/>
      <c r="CW31" s="112"/>
      <c r="CX31" s="112" t="str">
        <f t="shared" si="154"/>
        <v>x</v>
      </c>
      <c r="CY31" s="112"/>
      <c r="CZ31" s="112" t="str">
        <f t="shared" si="96"/>
        <v>x</v>
      </c>
      <c r="DA31" s="112"/>
      <c r="DB31" s="115" t="str">
        <f t="shared" si="155"/>
        <v>x</v>
      </c>
      <c r="DC31" s="112"/>
      <c r="DD31" s="112"/>
      <c r="DE31" s="112" t="str">
        <f t="shared" si="97"/>
        <v>x</v>
      </c>
      <c r="DF31" s="115" t="str">
        <f t="shared" si="98"/>
        <v>x</v>
      </c>
      <c r="DG31" s="112" t="str">
        <f t="shared" si="99"/>
        <v>x</v>
      </c>
      <c r="DH31" s="112" t="str">
        <f t="shared" si="100"/>
        <v>x</v>
      </c>
      <c r="DI31" s="112" t="str">
        <f t="shared" si="156"/>
        <v>x</v>
      </c>
      <c r="DJ31" s="112"/>
      <c r="DK31" s="112" t="str">
        <f t="shared" si="157"/>
        <v>x</v>
      </c>
      <c r="DL31" s="112"/>
      <c r="DM31" s="112"/>
      <c r="DN31" s="112" t="str">
        <f t="shared" si="158"/>
        <v>x</v>
      </c>
      <c r="DO31" s="111"/>
      <c r="DP31" s="112" t="str">
        <f t="shared" si="159"/>
        <v>x</v>
      </c>
      <c r="DQ31" s="112" t="str">
        <f t="shared" si="160"/>
        <v>x</v>
      </c>
      <c r="DR31" s="112" t="str">
        <f t="shared" si="161"/>
        <v>x</v>
      </c>
      <c r="DS31" s="112" t="str">
        <f t="shared" si="162"/>
        <v>x</v>
      </c>
      <c r="DT31" s="112"/>
      <c r="DU31" s="112" t="str">
        <f t="shared" si="163"/>
        <v>x</v>
      </c>
      <c r="DV31" s="112"/>
      <c r="DW31" s="112" t="str">
        <f t="shared" si="164"/>
        <v>x</v>
      </c>
      <c r="DX31" s="112" t="str">
        <f t="shared" si="165"/>
        <v>x</v>
      </c>
      <c r="DY31" s="112" t="str">
        <f t="shared" si="166"/>
        <v>x</v>
      </c>
      <c r="DZ31" s="112" t="str">
        <f t="shared" si="167"/>
        <v>x</v>
      </c>
      <c r="EA31" s="112" t="str">
        <f t="shared" si="168"/>
        <v>x</v>
      </c>
      <c r="EB31" s="112" t="str">
        <f t="shared" si="169"/>
        <v>x</v>
      </c>
      <c r="EC31" s="111"/>
      <c r="ED31" s="111"/>
      <c r="EE31" s="111"/>
      <c r="EF31" s="111"/>
      <c r="EG31" s="111"/>
      <c r="EH31" s="111"/>
      <c r="EI31" s="112"/>
      <c r="EJ31" s="112" t="str">
        <f t="shared" si="170"/>
        <v>x</v>
      </c>
      <c r="EK31" s="112" t="str">
        <f t="shared" si="171"/>
        <v>x</v>
      </c>
      <c r="EL31" s="112" t="str">
        <f t="shared" si="172"/>
        <v>x</v>
      </c>
      <c r="EM31" s="112" t="str">
        <f t="shared" si="173"/>
        <v>x</v>
      </c>
      <c r="EN31" s="112" t="str">
        <f t="shared" si="174"/>
        <v>x</v>
      </c>
      <c r="EO31" s="117" t="str">
        <f t="shared" si="101"/>
        <v>x</v>
      </c>
      <c r="EP31" s="117" t="str">
        <f t="shared" si="175"/>
        <v>x</v>
      </c>
      <c r="EQ31" s="112" t="str">
        <f t="shared" si="176"/>
        <v>x</v>
      </c>
      <c r="ER31" s="112"/>
      <c r="ES31" s="112" t="str">
        <f t="shared" si="102"/>
        <v>x</v>
      </c>
      <c r="ET31" s="112" t="str">
        <f t="shared" si="177"/>
        <v>x</v>
      </c>
      <c r="EU31" s="112" t="str">
        <f t="shared" si="178"/>
        <v>x</v>
      </c>
      <c r="EV31" s="112" t="str">
        <f t="shared" si="103"/>
        <v>x</v>
      </c>
      <c r="EW31" s="112" t="str">
        <f t="shared" si="179"/>
        <v>x</v>
      </c>
      <c r="EX31" s="112" t="str">
        <f t="shared" si="180"/>
        <v>x</v>
      </c>
      <c r="EY31" s="112" t="str">
        <f t="shared" si="181"/>
        <v>x</v>
      </c>
      <c r="EZ31" s="112"/>
      <c r="FA31" s="112" t="str">
        <f t="shared" si="182"/>
        <v>x</v>
      </c>
      <c r="FB31" s="111"/>
      <c r="FC31" s="112" t="str">
        <f t="shared" si="104"/>
        <v>x</v>
      </c>
      <c r="FD31" s="112" t="str">
        <f t="shared" si="105"/>
        <v>x</v>
      </c>
      <c r="FE31" s="112" t="str">
        <f t="shared" si="106"/>
        <v>x</v>
      </c>
      <c r="FF31" s="112" t="str">
        <f t="shared" si="107"/>
        <v>x</v>
      </c>
      <c r="FG31" s="111"/>
      <c r="FH31" s="111"/>
      <c r="FI31" s="112" t="str">
        <f t="shared" si="183"/>
        <v>x</v>
      </c>
      <c r="FJ31" s="112" t="str">
        <f t="shared" si="184"/>
        <v>x</v>
      </c>
      <c r="FK31" s="112" t="str">
        <f t="shared" si="185"/>
        <v>x</v>
      </c>
      <c r="FL31" s="112"/>
      <c r="FM31" s="112" t="str">
        <f t="shared" si="186"/>
        <v>x</v>
      </c>
      <c r="FN31" s="112"/>
      <c r="FO31" s="112" t="str">
        <f t="shared" si="187"/>
        <v>x</v>
      </c>
      <c r="FP31" s="112" t="str">
        <f t="shared" si="188"/>
        <v>x</v>
      </c>
      <c r="FQ31" s="112" t="str">
        <f t="shared" si="189"/>
        <v>x</v>
      </c>
      <c r="FR31" s="112" t="str">
        <f t="shared" si="190"/>
        <v>x</v>
      </c>
      <c r="FS31" s="112" t="str">
        <f t="shared" si="191"/>
        <v>x</v>
      </c>
      <c r="FT31" s="112" t="str">
        <f t="shared" si="192"/>
        <v>x</v>
      </c>
      <c r="FU31" s="112" t="str">
        <f t="shared" si="193"/>
        <v>x</v>
      </c>
      <c r="FV31" s="112" t="str">
        <f t="shared" si="194"/>
        <v>x</v>
      </c>
      <c r="FW31" s="112" t="str">
        <f t="shared" si="195"/>
        <v>x</v>
      </c>
      <c r="FX31" s="112" t="str">
        <f t="shared" si="196"/>
        <v>x</v>
      </c>
      <c r="FY31" s="112" t="str">
        <f t="shared" si="197"/>
        <v>x</v>
      </c>
      <c r="FZ31" s="112"/>
      <c r="GA31" s="112" t="str">
        <f t="shared" si="198"/>
        <v>x</v>
      </c>
      <c r="GB31" s="112"/>
      <c r="GC31" s="112" t="str">
        <f t="shared" si="199"/>
        <v>x</v>
      </c>
      <c r="GD31" s="112"/>
      <c r="GE31" s="112"/>
      <c r="GF31" s="112"/>
      <c r="GG31" s="112"/>
      <c r="GH31" s="112" t="str">
        <f t="shared" si="200"/>
        <v>x</v>
      </c>
      <c r="GI31" s="112" t="str">
        <f t="shared" si="201"/>
        <v>x</v>
      </c>
      <c r="GJ31" s="111"/>
      <c r="GK31" s="111"/>
      <c r="GL31" s="112" t="str">
        <f t="shared" si="202"/>
        <v>x</v>
      </c>
      <c r="GM31" s="112"/>
      <c r="GN31" s="112" t="str">
        <f t="shared" si="203"/>
        <v>x</v>
      </c>
      <c r="GO31" s="112" t="str">
        <f t="shared" si="204"/>
        <v>x</v>
      </c>
      <c r="GP31" s="112"/>
      <c r="GQ31" s="112" t="str">
        <f t="shared" si="205"/>
        <v>x</v>
      </c>
      <c r="GR31" s="112" t="str">
        <f t="shared" si="206"/>
        <v>x</v>
      </c>
      <c r="GS31" s="112"/>
      <c r="GT31" s="112" t="str">
        <f t="shared" si="207"/>
        <v>x</v>
      </c>
      <c r="GU31" s="112"/>
      <c r="GV31" s="112"/>
      <c r="GW31" s="112" t="str">
        <f t="shared" si="208"/>
        <v>x</v>
      </c>
      <c r="GX31" s="112"/>
      <c r="GY31" s="112"/>
      <c r="GZ31" s="112"/>
      <c r="HA31" s="112"/>
      <c r="HB31" s="112" t="str">
        <f t="shared" si="48"/>
        <v>x</v>
      </c>
      <c r="HC31" s="112" t="str">
        <f t="shared" si="209"/>
        <v>x</v>
      </c>
      <c r="HD31" s="112" t="str">
        <f t="shared" si="210"/>
        <v>x</v>
      </c>
      <c r="HE31" s="112" t="str">
        <f t="shared" si="211"/>
        <v>x</v>
      </c>
      <c r="HF31" s="112" t="str">
        <f t="shared" si="212"/>
        <v>x</v>
      </c>
      <c r="HG31" s="112"/>
      <c r="HH31" s="112"/>
      <c r="HI31" s="112" t="str">
        <f t="shared" si="213"/>
        <v>x</v>
      </c>
      <c r="HJ31" s="112"/>
      <c r="HK31" s="112" t="str">
        <f t="shared" si="214"/>
        <v>x</v>
      </c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 t="str">
        <f t="shared" si="215"/>
        <v>x</v>
      </c>
      <c r="HX31" s="112" t="str">
        <f t="shared" si="108"/>
        <v>x</v>
      </c>
      <c r="HY31" s="112" t="str">
        <f t="shared" si="109"/>
        <v>x</v>
      </c>
      <c r="HZ31" s="112"/>
      <c r="IA31" s="112"/>
      <c r="IB31" s="112"/>
      <c r="IC31" s="112" t="str">
        <f t="shared" si="216"/>
        <v>x</v>
      </c>
      <c r="ID31" s="112"/>
      <c r="IE31" s="112"/>
      <c r="IF31" s="112"/>
      <c r="IG31" s="111"/>
      <c r="IH31" s="112"/>
      <c r="II31" s="112"/>
      <c r="IJ31" s="112" t="str">
        <f t="shared" si="217"/>
        <v>x</v>
      </c>
      <c r="IK31" s="112" t="str">
        <f t="shared" si="218"/>
        <v>x</v>
      </c>
      <c r="IL31" s="111"/>
      <c r="IM31" s="112" t="str">
        <f t="shared" si="219"/>
        <v>x</v>
      </c>
      <c r="IN31" s="112"/>
      <c r="IO31" s="111"/>
      <c r="IP31" s="112" t="str">
        <f t="shared" si="220"/>
        <v>x</v>
      </c>
      <c r="IQ31" s="112" t="str">
        <f t="shared" si="221"/>
        <v>x</v>
      </c>
      <c r="IR31" s="111"/>
      <c r="IS31" s="111"/>
      <c r="IT31" s="111"/>
      <c r="IU31" s="112" t="str">
        <f t="shared" si="222"/>
        <v>x</v>
      </c>
      <c r="IV31" s="112" t="str">
        <f t="shared" si="223"/>
        <v>x</v>
      </c>
      <c r="IW31" s="112"/>
      <c r="IX31" s="112" t="str">
        <f t="shared" si="224"/>
        <v>x</v>
      </c>
      <c r="IY31" s="111"/>
      <c r="IZ31" s="112" t="str">
        <f t="shared" si="225"/>
        <v>x</v>
      </c>
      <c r="JA31" s="111"/>
      <c r="JB31" s="112"/>
      <c r="JC31" s="111"/>
      <c r="JD31" s="112"/>
      <c r="JE31" s="112"/>
      <c r="JF31" s="112" t="str">
        <f t="shared" si="226"/>
        <v>x</v>
      </c>
      <c r="JG31" s="112" t="str">
        <f t="shared" si="227"/>
        <v>x</v>
      </c>
      <c r="JH31" s="111"/>
      <c r="JI31" s="112"/>
      <c r="JJ31" s="112" t="str">
        <f t="shared" si="228"/>
        <v>x</v>
      </c>
      <c r="JK31" s="112" t="str">
        <f t="shared" si="229"/>
        <v>x</v>
      </c>
      <c r="JL31" s="112" t="str">
        <f t="shared" si="230"/>
        <v>x</v>
      </c>
      <c r="JM31" s="112"/>
      <c r="JN31" s="112"/>
      <c r="JO31" s="112"/>
      <c r="JP31" s="112"/>
      <c r="JQ31" s="112" t="str">
        <f t="shared" si="110"/>
        <v>x</v>
      </c>
      <c r="JR31" s="112"/>
      <c r="JS31" s="112" t="str">
        <f t="shared" si="231"/>
        <v>x</v>
      </c>
      <c r="JT31" s="111"/>
      <c r="JU31" s="111"/>
      <c r="JV31" s="112"/>
      <c r="JW31" s="112"/>
      <c r="JX31" s="112"/>
      <c r="JY31" s="112"/>
      <c r="JZ31" s="112" t="str">
        <f t="shared" si="232"/>
        <v>x</v>
      </c>
      <c r="KA31" s="112" t="str">
        <f t="shared" si="233"/>
        <v>x</v>
      </c>
      <c r="KB31" s="112" t="str">
        <f t="shared" si="234"/>
        <v>x</v>
      </c>
      <c r="KC31" s="112" t="str">
        <f t="shared" si="235"/>
        <v>x</v>
      </c>
      <c r="KD31" s="112" t="str">
        <f t="shared" si="111"/>
        <v>x</v>
      </c>
      <c r="KE31" s="112" t="str">
        <f t="shared" si="236"/>
        <v>x</v>
      </c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1"/>
      <c r="LC31" s="111"/>
      <c r="LD31" s="111"/>
      <c r="LE31" s="111"/>
      <c r="LF31" s="112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2"/>
      <c r="LT31" s="111"/>
      <c r="LU31" s="111"/>
      <c r="LV31" s="111"/>
      <c r="LW31" s="111"/>
      <c r="LX31" s="111"/>
      <c r="LY31" s="112" t="str">
        <f t="shared" si="237"/>
        <v>x</v>
      </c>
      <c r="LZ31" s="111"/>
      <c r="MA31" s="111"/>
      <c r="MB31" s="111"/>
      <c r="MC31" s="112" t="str">
        <f t="shared" si="238"/>
        <v>x</v>
      </c>
      <c r="MD31" s="111"/>
      <c r="ME31" s="112" t="str">
        <f t="shared" si="239"/>
        <v>x</v>
      </c>
      <c r="MF31" s="112" t="str">
        <f t="shared" si="240"/>
        <v>x</v>
      </c>
      <c r="MG31" s="112" t="str">
        <f t="shared" si="241"/>
        <v>x</v>
      </c>
      <c r="MH31" s="112" t="str">
        <f t="shared" si="112"/>
        <v>x</v>
      </c>
    </row>
    <row r="32" spans="1:346" x14ac:dyDescent="0.25">
      <c r="A32" s="110" t="s">
        <v>1</v>
      </c>
      <c r="B32" s="101" t="s">
        <v>52</v>
      </c>
      <c r="C32" s="102"/>
      <c r="D32" s="102"/>
      <c r="E32" s="102"/>
      <c r="F32" s="102"/>
      <c r="G32" s="102"/>
      <c r="H32" s="102"/>
      <c r="I32" s="102"/>
      <c r="J32" s="103"/>
      <c r="K32" s="112" t="str">
        <f t="shared" si="113"/>
        <v>x</v>
      </c>
      <c r="L32" s="111"/>
      <c r="M32" s="112" t="str">
        <f t="shared" si="84"/>
        <v>x</v>
      </c>
      <c r="N32" s="112" t="str">
        <f t="shared" si="114"/>
        <v>x</v>
      </c>
      <c r="O32" s="112" t="str">
        <f t="shared" si="115"/>
        <v>x</v>
      </c>
      <c r="P32" s="112" t="str">
        <f t="shared" si="116"/>
        <v>x</v>
      </c>
      <c r="Q32" s="112" t="str">
        <f t="shared" si="117"/>
        <v>x</v>
      </c>
      <c r="R32" s="112"/>
      <c r="S32" s="112" t="str">
        <f t="shared" si="118"/>
        <v>x</v>
      </c>
      <c r="T32" s="112" t="str">
        <f t="shared" si="119"/>
        <v>x</v>
      </c>
      <c r="U32" s="112"/>
      <c r="V32" s="112"/>
      <c r="W32" s="112" t="str">
        <f t="shared" si="120"/>
        <v>x</v>
      </c>
      <c r="X32" s="112" t="str">
        <f t="shared" si="121"/>
        <v>x</v>
      </c>
      <c r="Y32" s="112"/>
      <c r="Z32" s="112"/>
      <c r="AA32" s="112"/>
      <c r="AB32" s="112"/>
      <c r="AC32" s="112" t="str">
        <f t="shared" si="122"/>
        <v>x</v>
      </c>
      <c r="AD32" s="112"/>
      <c r="AE32" s="112" t="str">
        <f t="shared" si="123"/>
        <v>x</v>
      </c>
      <c r="AF32" s="112" t="str">
        <f t="shared" si="124"/>
        <v>x</v>
      </c>
      <c r="AG32" s="111"/>
      <c r="AH32" s="112" t="str">
        <f t="shared" si="125"/>
        <v>x</v>
      </c>
      <c r="AI32" s="112" t="str">
        <f t="shared" si="126"/>
        <v>x</v>
      </c>
      <c r="AJ32" s="112" t="str">
        <f t="shared" si="127"/>
        <v>x</v>
      </c>
      <c r="AK32" s="112" t="str">
        <f t="shared" si="128"/>
        <v>x</v>
      </c>
      <c r="AL32" s="112"/>
      <c r="AM32" s="112" t="str">
        <f t="shared" si="129"/>
        <v>x</v>
      </c>
      <c r="AN32" s="112"/>
      <c r="AO32" s="112"/>
      <c r="AP32" s="112"/>
      <c r="AQ32" s="112"/>
      <c r="AR32" s="112"/>
      <c r="AS32" s="112" t="str">
        <f t="shared" si="130"/>
        <v>x</v>
      </c>
      <c r="AT32" s="112"/>
      <c r="AU32" s="114" t="str">
        <f t="shared" si="131"/>
        <v>x</v>
      </c>
      <c r="AV32" s="114" t="str">
        <f t="shared" si="85"/>
        <v>x</v>
      </c>
      <c r="AW32" s="114" t="str">
        <f t="shared" si="86"/>
        <v>x</v>
      </c>
      <c r="AX32" s="112" t="str">
        <f t="shared" si="132"/>
        <v>x</v>
      </c>
      <c r="AY32" s="111"/>
      <c r="AZ32" s="112" t="str">
        <f t="shared" si="87"/>
        <v>x</v>
      </c>
      <c r="BA32" s="112" t="str">
        <f t="shared" si="88"/>
        <v>x</v>
      </c>
      <c r="BB32" s="112"/>
      <c r="BC32" s="112" t="str">
        <f t="shared" si="133"/>
        <v>x</v>
      </c>
      <c r="BD32" s="112" t="str">
        <f t="shared" si="134"/>
        <v>x</v>
      </c>
      <c r="BE32" s="112" t="str">
        <f t="shared" si="135"/>
        <v>x</v>
      </c>
      <c r="BF32" s="111"/>
      <c r="BG32" s="112" t="str">
        <f t="shared" si="136"/>
        <v>x</v>
      </c>
      <c r="BH32" s="112" t="str">
        <f t="shared" si="137"/>
        <v>x</v>
      </c>
      <c r="BI32" s="112" t="str">
        <f t="shared" si="138"/>
        <v>x</v>
      </c>
      <c r="BJ32" s="112" t="str">
        <f t="shared" si="139"/>
        <v>x</v>
      </c>
      <c r="BK32" s="112" t="str">
        <f t="shared" si="140"/>
        <v>x</v>
      </c>
      <c r="BL32" s="112" t="str">
        <f t="shared" si="89"/>
        <v>x</v>
      </c>
      <c r="BM32" s="112" t="str">
        <f t="shared" si="141"/>
        <v>x</v>
      </c>
      <c r="BN32" s="111"/>
      <c r="BO32" s="111"/>
      <c r="BP32" s="112" t="str">
        <f t="shared" si="142"/>
        <v>x</v>
      </c>
      <c r="BQ32" s="111"/>
      <c r="BR32" s="112" t="str">
        <f t="shared" si="90"/>
        <v>x</v>
      </c>
      <c r="BS32" s="112" t="str">
        <f t="shared" si="143"/>
        <v>x</v>
      </c>
      <c r="BT32" s="111"/>
      <c r="BU32" s="112" t="str">
        <f t="shared" si="91"/>
        <v>x</v>
      </c>
      <c r="BV32" s="112" t="str">
        <f t="shared" si="144"/>
        <v>x</v>
      </c>
      <c r="BW32" s="112"/>
      <c r="BX32" s="112"/>
      <c r="BY32" s="112" t="str">
        <f t="shared" si="145"/>
        <v>x</v>
      </c>
      <c r="BZ32" s="112" t="str">
        <f t="shared" si="92"/>
        <v>x</v>
      </c>
      <c r="CA32" s="112" t="str">
        <f t="shared" si="93"/>
        <v>x</v>
      </c>
      <c r="CB32" s="112" t="str">
        <f t="shared" si="94"/>
        <v>x</v>
      </c>
      <c r="CC32" s="112"/>
      <c r="CD32" s="112"/>
      <c r="CE32" s="112" t="str">
        <f t="shared" si="146"/>
        <v>x</v>
      </c>
      <c r="CF32" s="112" t="str">
        <f t="shared" si="147"/>
        <v>x</v>
      </c>
      <c r="CG32" s="112" t="str">
        <f t="shared" si="148"/>
        <v>x</v>
      </c>
      <c r="CH32" s="112"/>
      <c r="CI32" s="112" t="str">
        <f t="shared" si="149"/>
        <v>x</v>
      </c>
      <c r="CJ32" s="112" t="str">
        <f t="shared" si="95"/>
        <v>x</v>
      </c>
      <c r="CK32" s="112" t="str">
        <f t="shared" si="150"/>
        <v>x</v>
      </c>
      <c r="CL32" s="112"/>
      <c r="CM32" s="112"/>
      <c r="CN32" s="112"/>
      <c r="CO32" s="112" t="str">
        <f t="shared" si="151"/>
        <v>x</v>
      </c>
      <c r="CP32" s="112"/>
      <c r="CQ32" s="112" t="str">
        <f t="shared" si="152"/>
        <v>x</v>
      </c>
      <c r="CR32" s="112"/>
      <c r="CS32" s="112"/>
      <c r="CT32" s="112" t="str">
        <f t="shared" si="153"/>
        <v>x</v>
      </c>
      <c r="CU32" s="112"/>
      <c r="CV32" s="112"/>
      <c r="CW32" s="112"/>
      <c r="CX32" s="112" t="str">
        <f t="shared" si="154"/>
        <v>x</v>
      </c>
      <c r="CY32" s="112"/>
      <c r="CZ32" s="112" t="str">
        <f t="shared" si="96"/>
        <v>x</v>
      </c>
      <c r="DA32" s="112"/>
      <c r="DB32" s="115" t="str">
        <f t="shared" si="155"/>
        <v>x</v>
      </c>
      <c r="DC32" s="112"/>
      <c r="DD32" s="112"/>
      <c r="DE32" s="112" t="str">
        <f t="shared" si="97"/>
        <v>x</v>
      </c>
      <c r="DF32" s="115" t="str">
        <f t="shared" si="98"/>
        <v>x</v>
      </c>
      <c r="DG32" s="112" t="str">
        <f t="shared" si="99"/>
        <v>x</v>
      </c>
      <c r="DH32" s="112" t="str">
        <f t="shared" si="100"/>
        <v>x</v>
      </c>
      <c r="DI32" s="112" t="str">
        <f t="shared" si="156"/>
        <v>x</v>
      </c>
      <c r="DJ32" s="112"/>
      <c r="DK32" s="112" t="str">
        <f t="shared" si="157"/>
        <v>x</v>
      </c>
      <c r="DL32" s="112"/>
      <c r="DM32" s="112"/>
      <c r="DN32" s="112" t="str">
        <f t="shared" si="158"/>
        <v>x</v>
      </c>
      <c r="DO32" s="111"/>
      <c r="DP32" s="112" t="str">
        <f t="shared" si="159"/>
        <v>x</v>
      </c>
      <c r="DQ32" s="112" t="str">
        <f t="shared" si="160"/>
        <v>x</v>
      </c>
      <c r="DR32" s="112" t="str">
        <f t="shared" si="161"/>
        <v>x</v>
      </c>
      <c r="DS32" s="112" t="str">
        <f t="shared" si="162"/>
        <v>x</v>
      </c>
      <c r="DT32" s="112"/>
      <c r="DU32" s="112" t="str">
        <f t="shared" si="163"/>
        <v>x</v>
      </c>
      <c r="DV32" s="112"/>
      <c r="DW32" s="112" t="str">
        <f t="shared" si="164"/>
        <v>x</v>
      </c>
      <c r="DX32" s="112" t="str">
        <f t="shared" si="165"/>
        <v>x</v>
      </c>
      <c r="DY32" s="112" t="str">
        <f t="shared" si="166"/>
        <v>x</v>
      </c>
      <c r="DZ32" s="112" t="str">
        <f t="shared" si="167"/>
        <v>x</v>
      </c>
      <c r="EA32" s="112" t="str">
        <f t="shared" si="168"/>
        <v>x</v>
      </c>
      <c r="EB32" s="112" t="str">
        <f t="shared" si="169"/>
        <v>x</v>
      </c>
      <c r="EC32" s="111"/>
      <c r="ED32" s="111"/>
      <c r="EE32" s="111"/>
      <c r="EF32" s="111"/>
      <c r="EG32" s="111"/>
      <c r="EH32" s="111"/>
      <c r="EI32" s="112"/>
      <c r="EJ32" s="112" t="str">
        <f t="shared" si="170"/>
        <v>x</v>
      </c>
      <c r="EK32" s="112" t="str">
        <f t="shared" si="171"/>
        <v>x</v>
      </c>
      <c r="EL32" s="112" t="str">
        <f t="shared" si="172"/>
        <v>x</v>
      </c>
      <c r="EM32" s="112" t="str">
        <f t="shared" si="173"/>
        <v>x</v>
      </c>
      <c r="EN32" s="112" t="str">
        <f t="shared" si="174"/>
        <v>x</v>
      </c>
      <c r="EO32" s="117" t="str">
        <f t="shared" si="101"/>
        <v>x</v>
      </c>
      <c r="EP32" s="117" t="str">
        <f t="shared" si="175"/>
        <v>x</v>
      </c>
      <c r="EQ32" s="112" t="str">
        <f t="shared" si="176"/>
        <v>x</v>
      </c>
      <c r="ER32" s="112"/>
      <c r="ES32" s="112" t="str">
        <f t="shared" si="102"/>
        <v>x</v>
      </c>
      <c r="ET32" s="112" t="str">
        <f t="shared" si="177"/>
        <v>x</v>
      </c>
      <c r="EU32" s="112" t="str">
        <f t="shared" si="178"/>
        <v>x</v>
      </c>
      <c r="EV32" s="112" t="str">
        <f t="shared" si="103"/>
        <v>x</v>
      </c>
      <c r="EW32" s="112" t="str">
        <f t="shared" si="179"/>
        <v>x</v>
      </c>
      <c r="EX32" s="112" t="str">
        <f t="shared" si="180"/>
        <v>x</v>
      </c>
      <c r="EY32" s="112" t="str">
        <f t="shared" si="181"/>
        <v>x</v>
      </c>
      <c r="EZ32" s="112"/>
      <c r="FA32" s="112" t="str">
        <f t="shared" si="182"/>
        <v>x</v>
      </c>
      <c r="FB32" s="111"/>
      <c r="FC32" s="112" t="str">
        <f t="shared" si="104"/>
        <v>x</v>
      </c>
      <c r="FD32" s="112" t="str">
        <f t="shared" si="105"/>
        <v>x</v>
      </c>
      <c r="FE32" s="112" t="str">
        <f t="shared" si="106"/>
        <v>x</v>
      </c>
      <c r="FF32" s="112" t="str">
        <f t="shared" si="107"/>
        <v>x</v>
      </c>
      <c r="FG32" s="111"/>
      <c r="FH32" s="111"/>
      <c r="FI32" s="112" t="str">
        <f t="shared" si="183"/>
        <v>x</v>
      </c>
      <c r="FJ32" s="112" t="str">
        <f t="shared" si="184"/>
        <v>x</v>
      </c>
      <c r="FK32" s="112" t="str">
        <f t="shared" si="185"/>
        <v>x</v>
      </c>
      <c r="FL32" s="112"/>
      <c r="FM32" s="112" t="str">
        <f t="shared" si="186"/>
        <v>x</v>
      </c>
      <c r="FN32" s="112"/>
      <c r="FO32" s="112" t="str">
        <f t="shared" si="187"/>
        <v>x</v>
      </c>
      <c r="FP32" s="112" t="str">
        <f t="shared" si="188"/>
        <v>x</v>
      </c>
      <c r="FQ32" s="112" t="str">
        <f t="shared" si="189"/>
        <v>x</v>
      </c>
      <c r="FR32" s="112" t="str">
        <f t="shared" si="190"/>
        <v>x</v>
      </c>
      <c r="FS32" s="112" t="str">
        <f t="shared" si="191"/>
        <v>x</v>
      </c>
      <c r="FT32" s="112" t="str">
        <f t="shared" si="192"/>
        <v>x</v>
      </c>
      <c r="FU32" s="112" t="str">
        <f t="shared" si="193"/>
        <v>x</v>
      </c>
      <c r="FV32" s="112" t="str">
        <f t="shared" si="194"/>
        <v>x</v>
      </c>
      <c r="FW32" s="112" t="str">
        <f t="shared" si="195"/>
        <v>x</v>
      </c>
      <c r="FX32" s="112" t="str">
        <f t="shared" si="196"/>
        <v>x</v>
      </c>
      <c r="FY32" s="112" t="str">
        <f t="shared" si="197"/>
        <v>x</v>
      </c>
      <c r="FZ32" s="112"/>
      <c r="GA32" s="112" t="str">
        <f t="shared" si="198"/>
        <v>x</v>
      </c>
      <c r="GB32" s="112"/>
      <c r="GC32" s="112" t="str">
        <f t="shared" si="199"/>
        <v>x</v>
      </c>
      <c r="GD32" s="112"/>
      <c r="GE32" s="112"/>
      <c r="GF32" s="112"/>
      <c r="GG32" s="112"/>
      <c r="GH32" s="112" t="str">
        <f t="shared" si="200"/>
        <v>x</v>
      </c>
      <c r="GI32" s="112" t="str">
        <f t="shared" si="201"/>
        <v>x</v>
      </c>
      <c r="GJ32" s="111"/>
      <c r="GK32" s="111"/>
      <c r="GL32" s="112" t="str">
        <f t="shared" si="202"/>
        <v>x</v>
      </c>
      <c r="GM32" s="112"/>
      <c r="GN32" s="112" t="str">
        <f t="shared" si="203"/>
        <v>x</v>
      </c>
      <c r="GO32" s="112" t="str">
        <f t="shared" si="204"/>
        <v>x</v>
      </c>
      <c r="GP32" s="112"/>
      <c r="GQ32" s="112" t="str">
        <f t="shared" si="205"/>
        <v>x</v>
      </c>
      <c r="GR32" s="112" t="str">
        <f t="shared" si="206"/>
        <v>x</v>
      </c>
      <c r="GS32" s="112"/>
      <c r="GT32" s="112" t="str">
        <f t="shared" si="207"/>
        <v>x</v>
      </c>
      <c r="GU32" s="112"/>
      <c r="GV32" s="112"/>
      <c r="GW32" s="112" t="str">
        <f t="shared" si="208"/>
        <v>x</v>
      </c>
      <c r="GX32" s="112"/>
      <c r="GY32" s="112"/>
      <c r="GZ32" s="112"/>
      <c r="HA32" s="112"/>
      <c r="HB32" s="112" t="str">
        <f t="shared" si="48"/>
        <v>x</v>
      </c>
      <c r="HC32" s="112" t="str">
        <f t="shared" si="209"/>
        <v>x</v>
      </c>
      <c r="HD32" s="112" t="str">
        <f t="shared" si="210"/>
        <v>x</v>
      </c>
      <c r="HE32" s="112" t="str">
        <f t="shared" si="211"/>
        <v>x</v>
      </c>
      <c r="HF32" s="112" t="str">
        <f t="shared" si="212"/>
        <v>x</v>
      </c>
      <c r="HG32" s="112"/>
      <c r="HH32" s="112"/>
      <c r="HI32" s="112" t="str">
        <f t="shared" si="213"/>
        <v>x</v>
      </c>
      <c r="HJ32" s="112"/>
      <c r="HK32" s="112" t="str">
        <f t="shared" si="214"/>
        <v>x</v>
      </c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 t="str">
        <f t="shared" si="215"/>
        <v>x</v>
      </c>
      <c r="HX32" s="112" t="str">
        <f t="shared" si="108"/>
        <v>x</v>
      </c>
      <c r="HY32" s="112" t="str">
        <f t="shared" si="109"/>
        <v>x</v>
      </c>
      <c r="HZ32" s="112"/>
      <c r="IA32" s="112"/>
      <c r="IB32" s="112"/>
      <c r="IC32" s="112" t="str">
        <f t="shared" si="216"/>
        <v>x</v>
      </c>
      <c r="ID32" s="112"/>
      <c r="IE32" s="112"/>
      <c r="IF32" s="112"/>
      <c r="IG32" s="111"/>
      <c r="IH32" s="112"/>
      <c r="II32" s="112"/>
      <c r="IJ32" s="112" t="str">
        <f t="shared" si="217"/>
        <v>x</v>
      </c>
      <c r="IK32" s="112" t="str">
        <f t="shared" si="218"/>
        <v>x</v>
      </c>
      <c r="IL32" s="111"/>
      <c r="IM32" s="112" t="str">
        <f t="shared" si="219"/>
        <v>x</v>
      </c>
      <c r="IN32" s="112"/>
      <c r="IO32" s="111"/>
      <c r="IP32" s="112" t="str">
        <f t="shared" si="220"/>
        <v>x</v>
      </c>
      <c r="IQ32" s="112" t="str">
        <f t="shared" si="221"/>
        <v>x</v>
      </c>
      <c r="IR32" s="111"/>
      <c r="IS32" s="111"/>
      <c r="IT32" s="111"/>
      <c r="IU32" s="112" t="str">
        <f t="shared" si="222"/>
        <v>x</v>
      </c>
      <c r="IV32" s="112" t="str">
        <f t="shared" si="223"/>
        <v>x</v>
      </c>
      <c r="IW32" s="112"/>
      <c r="IX32" s="112" t="str">
        <f t="shared" si="224"/>
        <v>x</v>
      </c>
      <c r="IY32" s="111"/>
      <c r="IZ32" s="112" t="str">
        <f t="shared" si="225"/>
        <v>x</v>
      </c>
      <c r="JA32" s="111"/>
      <c r="JB32" s="112"/>
      <c r="JC32" s="111"/>
      <c r="JD32" s="112"/>
      <c r="JE32" s="112"/>
      <c r="JF32" s="112" t="str">
        <f t="shared" si="226"/>
        <v>x</v>
      </c>
      <c r="JG32" s="112" t="str">
        <f t="shared" si="227"/>
        <v>x</v>
      </c>
      <c r="JH32" s="111"/>
      <c r="JI32" s="112"/>
      <c r="JJ32" s="112" t="str">
        <f t="shared" si="228"/>
        <v>x</v>
      </c>
      <c r="JK32" s="112" t="str">
        <f t="shared" si="229"/>
        <v>x</v>
      </c>
      <c r="JL32" s="112" t="str">
        <f t="shared" si="230"/>
        <v>x</v>
      </c>
      <c r="JM32" s="112"/>
      <c r="JN32" s="112"/>
      <c r="JO32" s="112"/>
      <c r="JP32" s="112"/>
      <c r="JQ32" s="112" t="str">
        <f t="shared" si="110"/>
        <v>x</v>
      </c>
      <c r="JR32" s="112"/>
      <c r="JS32" s="112" t="str">
        <f t="shared" si="231"/>
        <v>x</v>
      </c>
      <c r="JT32" s="111"/>
      <c r="JU32" s="111"/>
      <c r="JV32" s="112"/>
      <c r="JW32" s="112"/>
      <c r="JX32" s="112"/>
      <c r="JY32" s="112"/>
      <c r="JZ32" s="112" t="str">
        <f t="shared" si="232"/>
        <v>x</v>
      </c>
      <c r="KA32" s="112" t="str">
        <f t="shared" si="233"/>
        <v>x</v>
      </c>
      <c r="KB32" s="112" t="str">
        <f t="shared" si="234"/>
        <v>x</v>
      </c>
      <c r="KC32" s="112" t="str">
        <f t="shared" si="235"/>
        <v>x</v>
      </c>
      <c r="KD32" s="112" t="str">
        <f t="shared" si="111"/>
        <v>x</v>
      </c>
      <c r="KE32" s="112" t="str">
        <f t="shared" si="236"/>
        <v>x</v>
      </c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1"/>
      <c r="LC32" s="111"/>
      <c r="LD32" s="111"/>
      <c r="LE32" s="111"/>
      <c r="LF32" s="112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2"/>
      <c r="LT32" s="111"/>
      <c r="LU32" s="111"/>
      <c r="LV32" s="111"/>
      <c r="LW32" s="111"/>
      <c r="LX32" s="111"/>
      <c r="LY32" s="112" t="str">
        <f t="shared" si="237"/>
        <v>x</v>
      </c>
      <c r="LZ32" s="111"/>
      <c r="MA32" s="111"/>
      <c r="MB32" s="111"/>
      <c r="MC32" s="112" t="str">
        <f t="shared" si="238"/>
        <v>x</v>
      </c>
      <c r="MD32" s="111"/>
      <c r="ME32" s="112" t="str">
        <f t="shared" si="239"/>
        <v>x</v>
      </c>
      <c r="MF32" s="112" t="str">
        <f t="shared" si="240"/>
        <v>x</v>
      </c>
      <c r="MG32" s="112" t="str">
        <f t="shared" si="241"/>
        <v>x</v>
      </c>
      <c r="MH32" s="112" t="str">
        <f t="shared" si="112"/>
        <v>x</v>
      </c>
    </row>
    <row r="33" spans="1:346" x14ac:dyDescent="0.25">
      <c r="A33" s="110" t="s">
        <v>1</v>
      </c>
      <c r="B33" s="101" t="s">
        <v>379</v>
      </c>
      <c r="C33" s="102"/>
      <c r="D33" s="102"/>
      <c r="E33" s="102"/>
      <c r="F33" s="102"/>
      <c r="G33" s="102"/>
      <c r="H33" s="102"/>
      <c r="I33" s="102"/>
      <c r="J33" s="103"/>
      <c r="K33" s="112" t="str">
        <f t="shared" si="113"/>
        <v>x</v>
      </c>
      <c r="L33" s="111"/>
      <c r="M33" s="112" t="str">
        <f t="shared" si="84"/>
        <v>x</v>
      </c>
      <c r="N33" s="112" t="str">
        <f t="shared" si="114"/>
        <v>x</v>
      </c>
      <c r="O33" s="112" t="str">
        <f t="shared" si="115"/>
        <v>x</v>
      </c>
      <c r="P33" s="112" t="str">
        <f t="shared" si="116"/>
        <v>x</v>
      </c>
      <c r="Q33" s="112" t="str">
        <f t="shared" si="117"/>
        <v>x</v>
      </c>
      <c r="R33" s="112"/>
      <c r="S33" s="112" t="str">
        <f t="shared" si="118"/>
        <v>x</v>
      </c>
      <c r="T33" s="112" t="str">
        <f t="shared" si="119"/>
        <v>x</v>
      </c>
      <c r="U33" s="112"/>
      <c r="V33" s="112"/>
      <c r="W33" s="112" t="str">
        <f t="shared" si="120"/>
        <v>x</v>
      </c>
      <c r="X33" s="112" t="str">
        <f t="shared" si="121"/>
        <v>x</v>
      </c>
      <c r="Y33" s="112"/>
      <c r="Z33" s="112"/>
      <c r="AA33" s="112"/>
      <c r="AB33" s="112"/>
      <c r="AC33" s="112" t="str">
        <f t="shared" si="122"/>
        <v>x</v>
      </c>
      <c r="AD33" s="112"/>
      <c r="AE33" s="112" t="str">
        <f t="shared" si="123"/>
        <v>x</v>
      </c>
      <c r="AF33" s="112" t="str">
        <f t="shared" si="124"/>
        <v>x</v>
      </c>
      <c r="AG33" s="111"/>
      <c r="AH33" s="112" t="str">
        <f t="shared" si="125"/>
        <v>x</v>
      </c>
      <c r="AI33" s="112" t="str">
        <f t="shared" si="126"/>
        <v>x</v>
      </c>
      <c r="AJ33" s="112" t="str">
        <f t="shared" si="127"/>
        <v>x</v>
      </c>
      <c r="AK33" s="112" t="str">
        <f t="shared" si="128"/>
        <v>x</v>
      </c>
      <c r="AL33" s="112"/>
      <c r="AM33" s="112" t="str">
        <f t="shared" si="129"/>
        <v>x</v>
      </c>
      <c r="AN33" s="112"/>
      <c r="AO33" s="112"/>
      <c r="AP33" s="112"/>
      <c r="AQ33" s="112"/>
      <c r="AR33" s="112"/>
      <c r="AS33" s="112" t="str">
        <f t="shared" si="130"/>
        <v>x</v>
      </c>
      <c r="AT33" s="112"/>
      <c r="AU33" s="114" t="str">
        <f t="shared" si="131"/>
        <v>x</v>
      </c>
      <c r="AV33" s="114" t="str">
        <f t="shared" si="85"/>
        <v>x</v>
      </c>
      <c r="AW33" s="114" t="str">
        <f t="shared" si="86"/>
        <v>x</v>
      </c>
      <c r="AX33" s="112" t="str">
        <f t="shared" si="132"/>
        <v>x</v>
      </c>
      <c r="AY33" s="111"/>
      <c r="AZ33" s="112" t="str">
        <f t="shared" si="87"/>
        <v>x</v>
      </c>
      <c r="BA33" s="112" t="str">
        <f t="shared" si="88"/>
        <v>x</v>
      </c>
      <c r="BB33" s="112"/>
      <c r="BC33" s="112" t="str">
        <f t="shared" si="133"/>
        <v>x</v>
      </c>
      <c r="BD33" s="112" t="str">
        <f t="shared" si="134"/>
        <v>x</v>
      </c>
      <c r="BE33" s="112" t="str">
        <f t="shared" si="135"/>
        <v>x</v>
      </c>
      <c r="BF33" s="111"/>
      <c r="BG33" s="112" t="str">
        <f t="shared" si="136"/>
        <v>x</v>
      </c>
      <c r="BH33" s="112" t="str">
        <f t="shared" si="137"/>
        <v>x</v>
      </c>
      <c r="BI33" s="112" t="str">
        <f t="shared" si="138"/>
        <v>x</v>
      </c>
      <c r="BJ33" s="112" t="str">
        <f t="shared" si="139"/>
        <v>x</v>
      </c>
      <c r="BK33" s="112" t="str">
        <f t="shared" si="140"/>
        <v>x</v>
      </c>
      <c r="BL33" s="112" t="str">
        <f t="shared" si="89"/>
        <v>x</v>
      </c>
      <c r="BM33" s="112" t="str">
        <f t="shared" si="141"/>
        <v>x</v>
      </c>
      <c r="BN33" s="111"/>
      <c r="BO33" s="111"/>
      <c r="BP33" s="112" t="str">
        <f t="shared" si="142"/>
        <v>x</v>
      </c>
      <c r="BQ33" s="111"/>
      <c r="BR33" s="112" t="str">
        <f t="shared" si="90"/>
        <v>x</v>
      </c>
      <c r="BS33" s="112" t="str">
        <f t="shared" si="143"/>
        <v>x</v>
      </c>
      <c r="BT33" s="111"/>
      <c r="BU33" s="112" t="str">
        <f t="shared" si="91"/>
        <v>x</v>
      </c>
      <c r="BV33" s="112" t="str">
        <f t="shared" si="144"/>
        <v>x</v>
      </c>
      <c r="BW33" s="112"/>
      <c r="BX33" s="112"/>
      <c r="BY33" s="112" t="str">
        <f t="shared" si="145"/>
        <v>x</v>
      </c>
      <c r="BZ33" s="112" t="str">
        <f t="shared" si="92"/>
        <v>x</v>
      </c>
      <c r="CA33" s="112" t="str">
        <f t="shared" si="93"/>
        <v>x</v>
      </c>
      <c r="CB33" s="112" t="str">
        <f t="shared" si="94"/>
        <v>x</v>
      </c>
      <c r="CC33" s="112"/>
      <c r="CD33" s="112"/>
      <c r="CE33" s="112" t="str">
        <f t="shared" si="146"/>
        <v>x</v>
      </c>
      <c r="CF33" s="112" t="str">
        <f t="shared" si="147"/>
        <v>x</v>
      </c>
      <c r="CG33" s="112" t="str">
        <f t="shared" si="148"/>
        <v>x</v>
      </c>
      <c r="CH33" s="112"/>
      <c r="CI33" s="112" t="str">
        <f t="shared" si="149"/>
        <v>x</v>
      </c>
      <c r="CJ33" s="112" t="str">
        <f t="shared" si="95"/>
        <v>x</v>
      </c>
      <c r="CK33" s="112" t="str">
        <f t="shared" si="150"/>
        <v>x</v>
      </c>
      <c r="CL33" s="112"/>
      <c r="CM33" s="112"/>
      <c r="CN33" s="112"/>
      <c r="CO33" s="112" t="str">
        <f t="shared" si="151"/>
        <v>x</v>
      </c>
      <c r="CP33" s="112"/>
      <c r="CQ33" s="112" t="str">
        <f t="shared" si="152"/>
        <v>x</v>
      </c>
      <c r="CR33" s="112"/>
      <c r="CS33" s="112"/>
      <c r="CT33" s="112" t="str">
        <f t="shared" si="153"/>
        <v>x</v>
      </c>
      <c r="CU33" s="112"/>
      <c r="CV33" s="112"/>
      <c r="CW33" s="112"/>
      <c r="CX33" s="112" t="str">
        <f t="shared" si="154"/>
        <v>x</v>
      </c>
      <c r="CY33" s="112"/>
      <c r="CZ33" s="112" t="str">
        <f t="shared" si="96"/>
        <v>x</v>
      </c>
      <c r="DA33" s="112"/>
      <c r="DB33" s="115" t="str">
        <f t="shared" si="155"/>
        <v>x</v>
      </c>
      <c r="DC33" s="112"/>
      <c r="DD33" s="112"/>
      <c r="DE33" s="112" t="str">
        <f t="shared" si="97"/>
        <v>x</v>
      </c>
      <c r="DF33" s="115" t="str">
        <f t="shared" si="98"/>
        <v>x</v>
      </c>
      <c r="DG33" s="112" t="str">
        <f t="shared" si="99"/>
        <v>x</v>
      </c>
      <c r="DH33" s="112" t="str">
        <f t="shared" si="100"/>
        <v>x</v>
      </c>
      <c r="DI33" s="112" t="str">
        <f t="shared" si="156"/>
        <v>x</v>
      </c>
      <c r="DJ33" s="112"/>
      <c r="DK33" s="112" t="str">
        <f t="shared" si="157"/>
        <v>x</v>
      </c>
      <c r="DL33" s="112"/>
      <c r="DM33" s="112"/>
      <c r="DN33" s="112" t="str">
        <f t="shared" si="158"/>
        <v>x</v>
      </c>
      <c r="DO33" s="111"/>
      <c r="DP33" s="112" t="str">
        <f t="shared" si="159"/>
        <v>x</v>
      </c>
      <c r="DQ33" s="112" t="str">
        <f t="shared" si="160"/>
        <v>x</v>
      </c>
      <c r="DR33" s="112" t="str">
        <f t="shared" si="161"/>
        <v>x</v>
      </c>
      <c r="DS33" s="112" t="str">
        <f t="shared" si="162"/>
        <v>x</v>
      </c>
      <c r="DT33" s="112"/>
      <c r="DU33" s="112" t="str">
        <f t="shared" si="163"/>
        <v>x</v>
      </c>
      <c r="DV33" s="112"/>
      <c r="DW33" s="112" t="str">
        <f t="shared" si="164"/>
        <v>x</v>
      </c>
      <c r="DX33" s="112" t="str">
        <f t="shared" si="165"/>
        <v>x</v>
      </c>
      <c r="DY33" s="112" t="str">
        <f t="shared" si="166"/>
        <v>x</v>
      </c>
      <c r="DZ33" s="112" t="str">
        <f t="shared" si="167"/>
        <v>x</v>
      </c>
      <c r="EA33" s="112" t="str">
        <f t="shared" si="168"/>
        <v>x</v>
      </c>
      <c r="EB33" s="112" t="str">
        <f t="shared" si="169"/>
        <v>x</v>
      </c>
      <c r="EC33" s="111"/>
      <c r="ED33" s="111"/>
      <c r="EE33" s="111"/>
      <c r="EF33" s="111"/>
      <c r="EG33" s="111"/>
      <c r="EH33" s="111"/>
      <c r="EI33" s="112"/>
      <c r="EJ33" s="112" t="str">
        <f t="shared" si="170"/>
        <v>x</v>
      </c>
      <c r="EK33" s="112" t="str">
        <f t="shared" si="171"/>
        <v>x</v>
      </c>
      <c r="EL33" s="112" t="str">
        <f t="shared" si="172"/>
        <v>x</v>
      </c>
      <c r="EM33" s="112" t="str">
        <f t="shared" si="173"/>
        <v>x</v>
      </c>
      <c r="EN33" s="112" t="str">
        <f t="shared" si="174"/>
        <v>x</v>
      </c>
      <c r="EO33" s="117" t="str">
        <f t="shared" si="101"/>
        <v>x</v>
      </c>
      <c r="EP33" s="117" t="str">
        <f t="shared" si="175"/>
        <v>x</v>
      </c>
      <c r="EQ33" s="112" t="str">
        <f t="shared" si="176"/>
        <v>x</v>
      </c>
      <c r="ER33" s="112"/>
      <c r="ES33" s="112" t="str">
        <f t="shared" si="102"/>
        <v>x</v>
      </c>
      <c r="ET33" s="112" t="str">
        <f t="shared" si="177"/>
        <v>x</v>
      </c>
      <c r="EU33" s="112" t="str">
        <f t="shared" si="178"/>
        <v>x</v>
      </c>
      <c r="EV33" s="112" t="str">
        <f t="shared" si="103"/>
        <v>x</v>
      </c>
      <c r="EW33" s="112" t="str">
        <f t="shared" si="179"/>
        <v>x</v>
      </c>
      <c r="EX33" s="112" t="str">
        <f t="shared" si="180"/>
        <v>x</v>
      </c>
      <c r="EY33" s="112" t="str">
        <f t="shared" si="181"/>
        <v>x</v>
      </c>
      <c r="EZ33" s="112"/>
      <c r="FA33" s="112" t="str">
        <f t="shared" si="182"/>
        <v>x</v>
      </c>
      <c r="FB33" s="111"/>
      <c r="FC33" s="112" t="str">
        <f t="shared" si="104"/>
        <v>x</v>
      </c>
      <c r="FD33" s="112" t="str">
        <f t="shared" si="105"/>
        <v>x</v>
      </c>
      <c r="FE33" s="112" t="str">
        <f t="shared" si="106"/>
        <v>x</v>
      </c>
      <c r="FF33" s="112" t="str">
        <f t="shared" si="107"/>
        <v>x</v>
      </c>
      <c r="FG33" s="111"/>
      <c r="FH33" s="111"/>
      <c r="FI33" s="112" t="str">
        <f t="shared" si="183"/>
        <v>x</v>
      </c>
      <c r="FJ33" s="112" t="str">
        <f t="shared" si="184"/>
        <v>x</v>
      </c>
      <c r="FK33" s="112" t="str">
        <f t="shared" si="185"/>
        <v>x</v>
      </c>
      <c r="FL33" s="112"/>
      <c r="FM33" s="112" t="str">
        <f t="shared" si="186"/>
        <v>x</v>
      </c>
      <c r="FN33" s="112"/>
      <c r="FO33" s="112" t="str">
        <f t="shared" si="187"/>
        <v>x</v>
      </c>
      <c r="FP33" s="112" t="str">
        <f t="shared" si="188"/>
        <v>x</v>
      </c>
      <c r="FQ33" s="112" t="str">
        <f t="shared" si="189"/>
        <v>x</v>
      </c>
      <c r="FR33" s="112" t="str">
        <f t="shared" si="190"/>
        <v>x</v>
      </c>
      <c r="FS33" s="112" t="str">
        <f t="shared" si="191"/>
        <v>x</v>
      </c>
      <c r="FT33" s="112" t="str">
        <f t="shared" si="192"/>
        <v>x</v>
      </c>
      <c r="FU33" s="112" t="str">
        <f t="shared" si="193"/>
        <v>x</v>
      </c>
      <c r="FV33" s="112" t="str">
        <f t="shared" si="194"/>
        <v>x</v>
      </c>
      <c r="FW33" s="112" t="str">
        <f t="shared" si="195"/>
        <v>x</v>
      </c>
      <c r="FX33" s="112" t="str">
        <f t="shared" si="196"/>
        <v>x</v>
      </c>
      <c r="FY33" s="112" t="str">
        <f t="shared" si="197"/>
        <v>x</v>
      </c>
      <c r="FZ33" s="112"/>
      <c r="GA33" s="112" t="str">
        <f t="shared" si="198"/>
        <v>x</v>
      </c>
      <c r="GB33" s="112"/>
      <c r="GC33" s="112" t="str">
        <f t="shared" si="199"/>
        <v>x</v>
      </c>
      <c r="GD33" s="112"/>
      <c r="GE33" s="112"/>
      <c r="GF33" s="112"/>
      <c r="GG33" s="112"/>
      <c r="GH33" s="112" t="str">
        <f t="shared" si="200"/>
        <v>x</v>
      </c>
      <c r="GI33" s="112" t="str">
        <f t="shared" si="201"/>
        <v>x</v>
      </c>
      <c r="GJ33" s="111"/>
      <c r="GK33" s="111"/>
      <c r="GL33" s="112" t="str">
        <f t="shared" si="202"/>
        <v>x</v>
      </c>
      <c r="GM33" s="112"/>
      <c r="GN33" s="112" t="str">
        <f t="shared" si="203"/>
        <v>x</v>
      </c>
      <c r="GO33" s="112" t="str">
        <f t="shared" si="204"/>
        <v>x</v>
      </c>
      <c r="GP33" s="112"/>
      <c r="GQ33" s="112" t="str">
        <f t="shared" si="205"/>
        <v>x</v>
      </c>
      <c r="GR33" s="112" t="str">
        <f t="shared" si="206"/>
        <v>x</v>
      </c>
      <c r="GS33" s="112"/>
      <c r="GT33" s="112" t="str">
        <f t="shared" si="207"/>
        <v>x</v>
      </c>
      <c r="GU33" s="112"/>
      <c r="GV33" s="112"/>
      <c r="GW33" s="112" t="str">
        <f t="shared" si="208"/>
        <v>x</v>
      </c>
      <c r="GX33" s="112"/>
      <c r="GY33" s="112"/>
      <c r="GZ33" s="112"/>
      <c r="HA33" s="112"/>
      <c r="HB33" s="112" t="str">
        <f t="shared" si="48"/>
        <v>x</v>
      </c>
      <c r="HC33" s="112" t="str">
        <f t="shared" si="209"/>
        <v>x</v>
      </c>
      <c r="HD33" s="112" t="str">
        <f t="shared" si="210"/>
        <v>x</v>
      </c>
      <c r="HE33" s="112" t="str">
        <f t="shared" si="211"/>
        <v>x</v>
      </c>
      <c r="HF33" s="112" t="str">
        <f t="shared" si="212"/>
        <v>x</v>
      </c>
      <c r="HG33" s="112"/>
      <c r="HH33" s="112"/>
      <c r="HI33" s="112" t="str">
        <f t="shared" si="213"/>
        <v>x</v>
      </c>
      <c r="HJ33" s="112"/>
      <c r="HK33" s="112" t="str">
        <f t="shared" si="214"/>
        <v>x</v>
      </c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 t="str">
        <f t="shared" si="215"/>
        <v>x</v>
      </c>
      <c r="HX33" s="112" t="str">
        <f t="shared" si="108"/>
        <v>x</v>
      </c>
      <c r="HY33" s="112" t="str">
        <f t="shared" si="109"/>
        <v>x</v>
      </c>
      <c r="HZ33" s="112"/>
      <c r="IA33" s="112"/>
      <c r="IB33" s="112"/>
      <c r="IC33" s="112" t="str">
        <f t="shared" si="216"/>
        <v>x</v>
      </c>
      <c r="ID33" s="112"/>
      <c r="IE33" s="112"/>
      <c r="IF33" s="112"/>
      <c r="IG33" s="111"/>
      <c r="IH33" s="112"/>
      <c r="II33" s="112"/>
      <c r="IJ33" s="112" t="str">
        <f t="shared" si="217"/>
        <v>x</v>
      </c>
      <c r="IK33" s="112" t="str">
        <f t="shared" si="218"/>
        <v>x</v>
      </c>
      <c r="IL33" s="111"/>
      <c r="IM33" s="112" t="str">
        <f t="shared" si="219"/>
        <v>x</v>
      </c>
      <c r="IN33" s="112"/>
      <c r="IO33" s="111"/>
      <c r="IP33" s="112" t="str">
        <f t="shared" si="220"/>
        <v>x</v>
      </c>
      <c r="IQ33" s="112" t="str">
        <f t="shared" si="221"/>
        <v>x</v>
      </c>
      <c r="IR33" s="111"/>
      <c r="IS33" s="111"/>
      <c r="IT33" s="111"/>
      <c r="IU33" s="112" t="str">
        <f t="shared" si="222"/>
        <v>x</v>
      </c>
      <c r="IV33" s="112" t="str">
        <f t="shared" si="223"/>
        <v>x</v>
      </c>
      <c r="IW33" s="112"/>
      <c r="IX33" s="112" t="str">
        <f t="shared" si="224"/>
        <v>x</v>
      </c>
      <c r="IY33" s="111"/>
      <c r="IZ33" s="112" t="str">
        <f t="shared" si="225"/>
        <v>x</v>
      </c>
      <c r="JA33" s="111"/>
      <c r="JB33" s="112"/>
      <c r="JC33" s="111"/>
      <c r="JD33" s="112"/>
      <c r="JE33" s="112"/>
      <c r="JF33" s="112" t="str">
        <f t="shared" si="226"/>
        <v>x</v>
      </c>
      <c r="JG33" s="112" t="str">
        <f t="shared" si="227"/>
        <v>x</v>
      </c>
      <c r="JH33" s="111"/>
      <c r="JI33" s="112"/>
      <c r="JJ33" s="112" t="str">
        <f t="shared" si="228"/>
        <v>x</v>
      </c>
      <c r="JK33" s="112" t="str">
        <f t="shared" si="229"/>
        <v>x</v>
      </c>
      <c r="JL33" s="112" t="str">
        <f t="shared" si="230"/>
        <v>x</v>
      </c>
      <c r="JM33" s="112"/>
      <c r="JN33" s="112"/>
      <c r="JO33" s="112"/>
      <c r="JP33" s="112"/>
      <c r="JQ33" s="112" t="str">
        <f t="shared" si="110"/>
        <v>x</v>
      </c>
      <c r="JR33" s="112"/>
      <c r="JS33" s="112" t="str">
        <f t="shared" si="231"/>
        <v>x</v>
      </c>
      <c r="JT33" s="111"/>
      <c r="JU33" s="111"/>
      <c r="JV33" s="112"/>
      <c r="JW33" s="112"/>
      <c r="JX33" s="112"/>
      <c r="JY33" s="112"/>
      <c r="JZ33" s="112" t="str">
        <f t="shared" si="232"/>
        <v>x</v>
      </c>
      <c r="KA33" s="112" t="str">
        <f t="shared" si="233"/>
        <v>x</v>
      </c>
      <c r="KB33" s="112" t="str">
        <f t="shared" si="234"/>
        <v>x</v>
      </c>
      <c r="KC33" s="112" t="str">
        <f t="shared" si="235"/>
        <v>x</v>
      </c>
      <c r="KD33" s="112" t="str">
        <f t="shared" si="111"/>
        <v>x</v>
      </c>
      <c r="KE33" s="112" t="str">
        <f t="shared" si="236"/>
        <v>x</v>
      </c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1"/>
      <c r="LC33" s="111"/>
      <c r="LD33" s="111"/>
      <c r="LE33" s="111"/>
      <c r="LF33" s="112"/>
      <c r="LG33" s="111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2"/>
      <c r="LT33" s="111"/>
      <c r="LU33" s="111"/>
      <c r="LV33" s="111"/>
      <c r="LW33" s="111"/>
      <c r="LX33" s="111"/>
      <c r="LY33" s="112" t="str">
        <f t="shared" si="237"/>
        <v>x</v>
      </c>
      <c r="LZ33" s="111"/>
      <c r="MA33" s="111"/>
      <c r="MB33" s="111"/>
      <c r="MC33" s="112" t="str">
        <f t="shared" si="238"/>
        <v>x</v>
      </c>
      <c r="MD33" s="111"/>
      <c r="ME33" s="112" t="str">
        <f t="shared" si="239"/>
        <v>x</v>
      </c>
      <c r="MF33" s="112" t="str">
        <f t="shared" si="240"/>
        <v>x</v>
      </c>
      <c r="MG33" s="112" t="str">
        <f t="shared" si="241"/>
        <v>x</v>
      </c>
      <c r="MH33" s="112" t="str">
        <f t="shared" si="112"/>
        <v>x</v>
      </c>
    </row>
    <row r="34" spans="1:346" x14ac:dyDescent="0.25">
      <c r="A34" s="110" t="s">
        <v>1</v>
      </c>
      <c r="B34" s="101" t="s">
        <v>53</v>
      </c>
      <c r="C34" s="102"/>
      <c r="D34" s="102"/>
      <c r="E34" s="102"/>
      <c r="F34" s="102"/>
      <c r="G34" s="102"/>
      <c r="H34" s="102"/>
      <c r="I34" s="102"/>
      <c r="J34" s="103"/>
      <c r="K34" s="112" t="str">
        <f t="shared" si="113"/>
        <v>x</v>
      </c>
      <c r="L34" s="111"/>
      <c r="M34" s="112" t="str">
        <f t="shared" si="84"/>
        <v>x</v>
      </c>
      <c r="N34" s="112" t="str">
        <f t="shared" si="114"/>
        <v>x</v>
      </c>
      <c r="O34" s="112" t="str">
        <f t="shared" si="115"/>
        <v>x</v>
      </c>
      <c r="P34" s="112" t="str">
        <f t="shared" si="116"/>
        <v>x</v>
      </c>
      <c r="Q34" s="112" t="str">
        <f t="shared" si="117"/>
        <v>x</v>
      </c>
      <c r="R34" s="112"/>
      <c r="S34" s="112" t="str">
        <f t="shared" si="118"/>
        <v>x</v>
      </c>
      <c r="T34" s="112" t="str">
        <f t="shared" si="119"/>
        <v>x</v>
      </c>
      <c r="U34" s="112"/>
      <c r="V34" s="112"/>
      <c r="W34" s="112" t="str">
        <f t="shared" si="120"/>
        <v>x</v>
      </c>
      <c r="X34" s="112" t="str">
        <f t="shared" si="121"/>
        <v>x</v>
      </c>
      <c r="Y34" s="112"/>
      <c r="Z34" s="112"/>
      <c r="AA34" s="112"/>
      <c r="AB34" s="112"/>
      <c r="AC34" s="112" t="str">
        <f t="shared" si="122"/>
        <v>x</v>
      </c>
      <c r="AD34" s="112"/>
      <c r="AE34" s="112" t="str">
        <f t="shared" si="123"/>
        <v>x</v>
      </c>
      <c r="AF34" s="112" t="str">
        <f t="shared" si="124"/>
        <v>x</v>
      </c>
      <c r="AG34" s="111"/>
      <c r="AH34" s="112" t="str">
        <f t="shared" si="125"/>
        <v>x</v>
      </c>
      <c r="AI34" s="112" t="str">
        <f t="shared" si="126"/>
        <v>x</v>
      </c>
      <c r="AJ34" s="112" t="str">
        <f t="shared" si="127"/>
        <v>x</v>
      </c>
      <c r="AK34" s="112" t="str">
        <f t="shared" si="128"/>
        <v>x</v>
      </c>
      <c r="AL34" s="112"/>
      <c r="AM34" s="112" t="str">
        <f t="shared" si="129"/>
        <v>x</v>
      </c>
      <c r="AN34" s="112"/>
      <c r="AO34" s="112"/>
      <c r="AP34" s="112"/>
      <c r="AQ34" s="112"/>
      <c r="AR34" s="112"/>
      <c r="AS34" s="112" t="str">
        <f t="shared" si="130"/>
        <v>x</v>
      </c>
      <c r="AT34" s="112"/>
      <c r="AU34" s="114" t="str">
        <f t="shared" si="131"/>
        <v>x</v>
      </c>
      <c r="AV34" s="114" t="str">
        <f t="shared" si="85"/>
        <v>x</v>
      </c>
      <c r="AW34" s="114" t="str">
        <f t="shared" si="86"/>
        <v>x</v>
      </c>
      <c r="AX34" s="112" t="str">
        <f t="shared" si="132"/>
        <v>x</v>
      </c>
      <c r="AY34" s="111"/>
      <c r="AZ34" s="112" t="str">
        <f t="shared" si="87"/>
        <v>x</v>
      </c>
      <c r="BA34" s="112" t="str">
        <f t="shared" si="88"/>
        <v>x</v>
      </c>
      <c r="BB34" s="112"/>
      <c r="BC34" s="112" t="str">
        <f t="shared" si="133"/>
        <v>x</v>
      </c>
      <c r="BD34" s="112" t="str">
        <f t="shared" si="134"/>
        <v>x</v>
      </c>
      <c r="BE34" s="112" t="str">
        <f t="shared" si="135"/>
        <v>x</v>
      </c>
      <c r="BF34" s="111"/>
      <c r="BG34" s="112" t="str">
        <f t="shared" si="136"/>
        <v>x</v>
      </c>
      <c r="BH34" s="112" t="str">
        <f t="shared" si="137"/>
        <v>x</v>
      </c>
      <c r="BI34" s="112" t="str">
        <f t="shared" si="138"/>
        <v>x</v>
      </c>
      <c r="BJ34" s="112" t="str">
        <f t="shared" si="139"/>
        <v>x</v>
      </c>
      <c r="BK34" s="112" t="str">
        <f t="shared" si="140"/>
        <v>x</v>
      </c>
      <c r="BL34" s="112" t="str">
        <f t="shared" si="89"/>
        <v>x</v>
      </c>
      <c r="BM34" s="112" t="str">
        <f t="shared" si="141"/>
        <v>x</v>
      </c>
      <c r="BN34" s="111"/>
      <c r="BO34" s="111"/>
      <c r="BP34" s="112" t="str">
        <f t="shared" si="142"/>
        <v>x</v>
      </c>
      <c r="BQ34" s="111"/>
      <c r="BR34" s="112" t="str">
        <f t="shared" si="90"/>
        <v>x</v>
      </c>
      <c r="BS34" s="112" t="str">
        <f t="shared" si="143"/>
        <v>x</v>
      </c>
      <c r="BT34" s="111"/>
      <c r="BU34" s="112" t="str">
        <f t="shared" si="91"/>
        <v>x</v>
      </c>
      <c r="BV34" s="112" t="str">
        <f t="shared" si="144"/>
        <v>x</v>
      </c>
      <c r="BW34" s="112"/>
      <c r="BX34" s="112"/>
      <c r="BY34" s="112" t="str">
        <f t="shared" si="145"/>
        <v>x</v>
      </c>
      <c r="BZ34" s="112" t="str">
        <f t="shared" si="92"/>
        <v>x</v>
      </c>
      <c r="CA34" s="112" t="str">
        <f t="shared" si="93"/>
        <v>x</v>
      </c>
      <c r="CB34" s="112" t="str">
        <f t="shared" si="94"/>
        <v>x</v>
      </c>
      <c r="CC34" s="112"/>
      <c r="CD34" s="112"/>
      <c r="CE34" s="112" t="str">
        <f t="shared" si="146"/>
        <v>x</v>
      </c>
      <c r="CF34" s="112" t="str">
        <f t="shared" si="147"/>
        <v>x</v>
      </c>
      <c r="CG34" s="112" t="str">
        <f t="shared" si="148"/>
        <v>x</v>
      </c>
      <c r="CH34" s="112"/>
      <c r="CI34" s="112" t="str">
        <f t="shared" si="149"/>
        <v>x</v>
      </c>
      <c r="CJ34" s="112" t="str">
        <f t="shared" si="95"/>
        <v>x</v>
      </c>
      <c r="CK34" s="112" t="str">
        <f t="shared" si="150"/>
        <v>x</v>
      </c>
      <c r="CL34" s="112"/>
      <c r="CM34" s="112"/>
      <c r="CN34" s="112"/>
      <c r="CO34" s="112" t="str">
        <f t="shared" si="151"/>
        <v>x</v>
      </c>
      <c r="CP34" s="112"/>
      <c r="CQ34" s="112" t="str">
        <f t="shared" si="152"/>
        <v>x</v>
      </c>
      <c r="CR34" s="112"/>
      <c r="CS34" s="112"/>
      <c r="CT34" s="112" t="str">
        <f t="shared" si="153"/>
        <v>x</v>
      </c>
      <c r="CU34" s="112"/>
      <c r="CV34" s="112"/>
      <c r="CW34" s="112"/>
      <c r="CX34" s="112" t="str">
        <f t="shared" si="154"/>
        <v>x</v>
      </c>
      <c r="CY34" s="112"/>
      <c r="CZ34" s="112" t="str">
        <f t="shared" si="96"/>
        <v>x</v>
      </c>
      <c r="DA34" s="112"/>
      <c r="DB34" s="115" t="str">
        <f t="shared" si="155"/>
        <v>x</v>
      </c>
      <c r="DC34" s="112"/>
      <c r="DD34" s="112"/>
      <c r="DE34" s="112" t="str">
        <f t="shared" si="97"/>
        <v>x</v>
      </c>
      <c r="DF34" s="115" t="str">
        <f t="shared" si="98"/>
        <v>x</v>
      </c>
      <c r="DG34" s="112" t="str">
        <f t="shared" si="99"/>
        <v>x</v>
      </c>
      <c r="DH34" s="112" t="str">
        <f t="shared" si="100"/>
        <v>x</v>
      </c>
      <c r="DI34" s="112" t="str">
        <f t="shared" si="156"/>
        <v>x</v>
      </c>
      <c r="DJ34" s="112"/>
      <c r="DK34" s="112" t="str">
        <f t="shared" si="157"/>
        <v>x</v>
      </c>
      <c r="DL34" s="112"/>
      <c r="DM34" s="112"/>
      <c r="DN34" s="112" t="str">
        <f t="shared" si="158"/>
        <v>x</v>
      </c>
      <c r="DO34" s="111"/>
      <c r="DP34" s="112" t="str">
        <f t="shared" si="159"/>
        <v>x</v>
      </c>
      <c r="DQ34" s="112" t="str">
        <f t="shared" si="160"/>
        <v>x</v>
      </c>
      <c r="DR34" s="112" t="str">
        <f t="shared" si="161"/>
        <v>x</v>
      </c>
      <c r="DS34" s="112" t="str">
        <f t="shared" si="162"/>
        <v>x</v>
      </c>
      <c r="DT34" s="112"/>
      <c r="DU34" s="112" t="str">
        <f t="shared" si="163"/>
        <v>x</v>
      </c>
      <c r="DV34" s="112"/>
      <c r="DW34" s="112" t="str">
        <f t="shared" si="164"/>
        <v>x</v>
      </c>
      <c r="DX34" s="112" t="str">
        <f t="shared" si="165"/>
        <v>x</v>
      </c>
      <c r="DY34" s="112" t="str">
        <f t="shared" si="166"/>
        <v>x</v>
      </c>
      <c r="DZ34" s="112" t="str">
        <f t="shared" si="167"/>
        <v>x</v>
      </c>
      <c r="EA34" s="112" t="str">
        <f t="shared" si="168"/>
        <v>x</v>
      </c>
      <c r="EB34" s="112" t="str">
        <f t="shared" si="169"/>
        <v>x</v>
      </c>
      <c r="EC34" s="111"/>
      <c r="ED34" s="111"/>
      <c r="EE34" s="111"/>
      <c r="EF34" s="111"/>
      <c r="EG34" s="111"/>
      <c r="EH34" s="111"/>
      <c r="EI34" s="112"/>
      <c r="EJ34" s="112" t="str">
        <f t="shared" si="170"/>
        <v>x</v>
      </c>
      <c r="EK34" s="112" t="str">
        <f t="shared" si="171"/>
        <v>x</v>
      </c>
      <c r="EL34" s="112" t="str">
        <f t="shared" si="172"/>
        <v>x</v>
      </c>
      <c r="EM34" s="112" t="str">
        <f t="shared" si="173"/>
        <v>x</v>
      </c>
      <c r="EN34" s="112" t="str">
        <f t="shared" si="174"/>
        <v>x</v>
      </c>
      <c r="EO34" s="117" t="str">
        <f t="shared" si="101"/>
        <v>x</v>
      </c>
      <c r="EP34" s="117" t="str">
        <f t="shared" si="175"/>
        <v>x</v>
      </c>
      <c r="EQ34" s="112" t="str">
        <f t="shared" si="176"/>
        <v>x</v>
      </c>
      <c r="ER34" s="112"/>
      <c r="ES34" s="112" t="str">
        <f t="shared" si="102"/>
        <v>x</v>
      </c>
      <c r="ET34" s="112" t="str">
        <f t="shared" si="177"/>
        <v>x</v>
      </c>
      <c r="EU34" s="112" t="str">
        <f t="shared" si="178"/>
        <v>x</v>
      </c>
      <c r="EV34" s="112" t="str">
        <f t="shared" si="103"/>
        <v>x</v>
      </c>
      <c r="EW34" s="112" t="str">
        <f t="shared" si="179"/>
        <v>x</v>
      </c>
      <c r="EX34" s="112" t="str">
        <f t="shared" si="180"/>
        <v>x</v>
      </c>
      <c r="EY34" s="112" t="str">
        <f t="shared" si="181"/>
        <v>x</v>
      </c>
      <c r="EZ34" s="112"/>
      <c r="FA34" s="112" t="str">
        <f t="shared" si="182"/>
        <v>x</v>
      </c>
      <c r="FB34" s="111"/>
      <c r="FC34" s="112" t="str">
        <f t="shared" si="104"/>
        <v>x</v>
      </c>
      <c r="FD34" s="112" t="str">
        <f t="shared" si="105"/>
        <v>x</v>
      </c>
      <c r="FE34" s="112" t="str">
        <f t="shared" si="106"/>
        <v>x</v>
      </c>
      <c r="FF34" s="112" t="str">
        <f t="shared" si="107"/>
        <v>x</v>
      </c>
      <c r="FG34" s="111"/>
      <c r="FH34" s="111"/>
      <c r="FI34" s="112" t="str">
        <f t="shared" si="183"/>
        <v>x</v>
      </c>
      <c r="FJ34" s="112" t="str">
        <f t="shared" si="184"/>
        <v>x</v>
      </c>
      <c r="FK34" s="112" t="str">
        <f t="shared" si="185"/>
        <v>x</v>
      </c>
      <c r="FL34" s="112"/>
      <c r="FM34" s="112" t="str">
        <f t="shared" si="186"/>
        <v>x</v>
      </c>
      <c r="FN34" s="112"/>
      <c r="FO34" s="112" t="str">
        <f t="shared" si="187"/>
        <v>x</v>
      </c>
      <c r="FP34" s="112" t="str">
        <f t="shared" si="188"/>
        <v>x</v>
      </c>
      <c r="FQ34" s="112" t="str">
        <f t="shared" si="189"/>
        <v>x</v>
      </c>
      <c r="FR34" s="112" t="str">
        <f t="shared" si="190"/>
        <v>x</v>
      </c>
      <c r="FS34" s="112" t="str">
        <f t="shared" si="191"/>
        <v>x</v>
      </c>
      <c r="FT34" s="112" t="str">
        <f t="shared" si="192"/>
        <v>x</v>
      </c>
      <c r="FU34" s="112" t="str">
        <f t="shared" si="193"/>
        <v>x</v>
      </c>
      <c r="FV34" s="112" t="str">
        <f t="shared" si="194"/>
        <v>x</v>
      </c>
      <c r="FW34" s="112" t="str">
        <f t="shared" si="195"/>
        <v>x</v>
      </c>
      <c r="FX34" s="112" t="str">
        <f t="shared" si="196"/>
        <v>x</v>
      </c>
      <c r="FY34" s="112" t="str">
        <f t="shared" si="197"/>
        <v>x</v>
      </c>
      <c r="FZ34" s="112"/>
      <c r="GA34" s="112" t="str">
        <f t="shared" si="198"/>
        <v>x</v>
      </c>
      <c r="GB34" s="112"/>
      <c r="GC34" s="112" t="str">
        <f t="shared" si="199"/>
        <v>x</v>
      </c>
      <c r="GD34" s="112"/>
      <c r="GE34" s="112"/>
      <c r="GF34" s="112"/>
      <c r="GG34" s="112"/>
      <c r="GH34" s="112" t="str">
        <f t="shared" si="200"/>
        <v>x</v>
      </c>
      <c r="GI34" s="112" t="str">
        <f t="shared" si="201"/>
        <v>x</v>
      </c>
      <c r="GJ34" s="111"/>
      <c r="GK34" s="111"/>
      <c r="GL34" s="112" t="str">
        <f t="shared" si="202"/>
        <v>x</v>
      </c>
      <c r="GM34" s="112"/>
      <c r="GN34" s="112" t="str">
        <f t="shared" si="203"/>
        <v>x</v>
      </c>
      <c r="GO34" s="112" t="str">
        <f t="shared" si="204"/>
        <v>x</v>
      </c>
      <c r="GP34" s="112"/>
      <c r="GQ34" s="112" t="str">
        <f t="shared" si="205"/>
        <v>x</v>
      </c>
      <c r="GR34" s="112" t="str">
        <f t="shared" si="206"/>
        <v>x</v>
      </c>
      <c r="GS34" s="112"/>
      <c r="GT34" s="112" t="str">
        <f t="shared" si="207"/>
        <v>x</v>
      </c>
      <c r="GU34" s="112"/>
      <c r="GV34" s="112"/>
      <c r="GW34" s="112" t="str">
        <f t="shared" si="208"/>
        <v>x</v>
      </c>
      <c r="GX34" s="112"/>
      <c r="GY34" s="112"/>
      <c r="GZ34" s="112"/>
      <c r="HA34" s="112"/>
      <c r="HB34" s="112" t="str">
        <f t="shared" si="48"/>
        <v>x</v>
      </c>
      <c r="HC34" s="112" t="str">
        <f t="shared" si="209"/>
        <v>x</v>
      </c>
      <c r="HD34" s="112" t="str">
        <f t="shared" si="210"/>
        <v>x</v>
      </c>
      <c r="HE34" s="112" t="str">
        <f t="shared" si="211"/>
        <v>x</v>
      </c>
      <c r="HF34" s="112" t="str">
        <f t="shared" si="212"/>
        <v>x</v>
      </c>
      <c r="HG34" s="112"/>
      <c r="HH34" s="112"/>
      <c r="HI34" s="112" t="str">
        <f t="shared" si="213"/>
        <v>x</v>
      </c>
      <c r="HJ34" s="112"/>
      <c r="HK34" s="112" t="str">
        <f t="shared" si="214"/>
        <v>x</v>
      </c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 t="str">
        <f t="shared" si="215"/>
        <v>x</v>
      </c>
      <c r="HX34" s="112" t="str">
        <f t="shared" si="108"/>
        <v>x</v>
      </c>
      <c r="HY34" s="112" t="str">
        <f t="shared" si="109"/>
        <v>x</v>
      </c>
      <c r="HZ34" s="112"/>
      <c r="IA34" s="112"/>
      <c r="IB34" s="112"/>
      <c r="IC34" s="112" t="str">
        <f t="shared" si="216"/>
        <v>x</v>
      </c>
      <c r="ID34" s="112"/>
      <c r="IE34" s="112"/>
      <c r="IF34" s="112"/>
      <c r="IG34" s="111"/>
      <c r="IH34" s="112"/>
      <c r="II34" s="112"/>
      <c r="IJ34" s="112" t="str">
        <f t="shared" si="217"/>
        <v>x</v>
      </c>
      <c r="IK34" s="112" t="str">
        <f t="shared" si="218"/>
        <v>x</v>
      </c>
      <c r="IL34" s="111"/>
      <c r="IM34" s="112" t="str">
        <f t="shared" si="219"/>
        <v>x</v>
      </c>
      <c r="IN34" s="112"/>
      <c r="IO34" s="111"/>
      <c r="IP34" s="112" t="str">
        <f t="shared" si="220"/>
        <v>x</v>
      </c>
      <c r="IQ34" s="112" t="str">
        <f t="shared" si="221"/>
        <v>x</v>
      </c>
      <c r="IR34" s="111"/>
      <c r="IS34" s="111"/>
      <c r="IT34" s="111"/>
      <c r="IU34" s="112" t="str">
        <f t="shared" si="222"/>
        <v>x</v>
      </c>
      <c r="IV34" s="112" t="str">
        <f t="shared" si="223"/>
        <v>x</v>
      </c>
      <c r="IW34" s="112"/>
      <c r="IX34" s="112" t="str">
        <f t="shared" si="224"/>
        <v>x</v>
      </c>
      <c r="IY34" s="111"/>
      <c r="IZ34" s="112" t="str">
        <f t="shared" si="225"/>
        <v>x</v>
      </c>
      <c r="JA34" s="111"/>
      <c r="JB34" s="112"/>
      <c r="JC34" s="111"/>
      <c r="JD34" s="112"/>
      <c r="JE34" s="112"/>
      <c r="JF34" s="112" t="str">
        <f t="shared" si="226"/>
        <v>x</v>
      </c>
      <c r="JG34" s="112" t="str">
        <f t="shared" si="227"/>
        <v>x</v>
      </c>
      <c r="JH34" s="111"/>
      <c r="JI34" s="112"/>
      <c r="JJ34" s="112" t="str">
        <f t="shared" si="228"/>
        <v>x</v>
      </c>
      <c r="JK34" s="112" t="str">
        <f t="shared" si="229"/>
        <v>x</v>
      </c>
      <c r="JL34" s="112" t="str">
        <f t="shared" si="230"/>
        <v>x</v>
      </c>
      <c r="JM34" s="112"/>
      <c r="JN34" s="112"/>
      <c r="JO34" s="112"/>
      <c r="JP34" s="112"/>
      <c r="JQ34" s="112" t="str">
        <f t="shared" si="110"/>
        <v>x</v>
      </c>
      <c r="JR34" s="112"/>
      <c r="JS34" s="112" t="str">
        <f t="shared" si="231"/>
        <v>x</v>
      </c>
      <c r="JT34" s="111"/>
      <c r="JU34" s="111"/>
      <c r="JV34" s="112"/>
      <c r="JW34" s="112"/>
      <c r="JX34" s="112"/>
      <c r="JY34" s="112"/>
      <c r="JZ34" s="112" t="str">
        <f t="shared" si="232"/>
        <v>x</v>
      </c>
      <c r="KA34" s="112" t="str">
        <f t="shared" si="233"/>
        <v>x</v>
      </c>
      <c r="KB34" s="112" t="str">
        <f t="shared" si="234"/>
        <v>x</v>
      </c>
      <c r="KC34" s="112" t="str">
        <f t="shared" si="235"/>
        <v>x</v>
      </c>
      <c r="KD34" s="112" t="str">
        <f t="shared" si="111"/>
        <v>x</v>
      </c>
      <c r="KE34" s="112" t="str">
        <f t="shared" si="236"/>
        <v>x</v>
      </c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1"/>
      <c r="LC34" s="111"/>
      <c r="LD34" s="111"/>
      <c r="LE34" s="111"/>
      <c r="LF34" s="112"/>
      <c r="LG34" s="111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2"/>
      <c r="LT34" s="111"/>
      <c r="LU34" s="111"/>
      <c r="LV34" s="111"/>
      <c r="LW34" s="111"/>
      <c r="LX34" s="111"/>
      <c r="LY34" s="112" t="str">
        <f t="shared" si="237"/>
        <v>x</v>
      </c>
      <c r="LZ34" s="111"/>
      <c r="MA34" s="111"/>
      <c r="MB34" s="111"/>
      <c r="MC34" s="112" t="str">
        <f t="shared" si="238"/>
        <v>x</v>
      </c>
      <c r="MD34" s="111"/>
      <c r="ME34" s="112" t="str">
        <f t="shared" si="239"/>
        <v>x</v>
      </c>
      <c r="MF34" s="112" t="str">
        <f t="shared" si="240"/>
        <v>x</v>
      </c>
      <c r="MG34" s="112" t="str">
        <f t="shared" si="241"/>
        <v>x</v>
      </c>
      <c r="MH34" s="112" t="str">
        <f t="shared" si="112"/>
        <v>x</v>
      </c>
    </row>
    <row r="35" spans="1:346" x14ac:dyDescent="0.25">
      <c r="A35" s="110" t="s">
        <v>1</v>
      </c>
      <c r="B35" s="101" t="s">
        <v>54</v>
      </c>
      <c r="C35" s="102"/>
      <c r="D35" s="102"/>
      <c r="E35" s="102"/>
      <c r="F35" s="102"/>
      <c r="G35" s="102"/>
      <c r="H35" s="102"/>
      <c r="I35" s="102"/>
      <c r="J35" s="103"/>
      <c r="K35" s="112" t="str">
        <f t="shared" si="113"/>
        <v>x</v>
      </c>
      <c r="L35" s="111"/>
      <c r="M35" s="112" t="str">
        <f t="shared" si="84"/>
        <v>x</v>
      </c>
      <c r="N35" s="112" t="str">
        <f t="shared" si="114"/>
        <v>x</v>
      </c>
      <c r="O35" s="112" t="str">
        <f t="shared" si="115"/>
        <v>x</v>
      </c>
      <c r="P35" s="112" t="str">
        <f t="shared" si="116"/>
        <v>x</v>
      </c>
      <c r="Q35" s="112" t="str">
        <f t="shared" si="117"/>
        <v>x</v>
      </c>
      <c r="R35" s="112"/>
      <c r="S35" s="112" t="str">
        <f t="shared" si="118"/>
        <v>x</v>
      </c>
      <c r="T35" s="112" t="str">
        <f t="shared" si="119"/>
        <v>x</v>
      </c>
      <c r="U35" s="112"/>
      <c r="V35" s="112"/>
      <c r="W35" s="112" t="str">
        <f t="shared" si="120"/>
        <v>x</v>
      </c>
      <c r="X35" s="112" t="str">
        <f t="shared" si="121"/>
        <v>x</v>
      </c>
      <c r="Y35" s="112"/>
      <c r="Z35" s="112"/>
      <c r="AA35" s="112"/>
      <c r="AB35" s="112"/>
      <c r="AC35" s="112" t="str">
        <f t="shared" si="122"/>
        <v>x</v>
      </c>
      <c r="AD35" s="112"/>
      <c r="AE35" s="112" t="str">
        <f t="shared" si="123"/>
        <v>x</v>
      </c>
      <c r="AF35" s="112" t="str">
        <f t="shared" si="124"/>
        <v>x</v>
      </c>
      <c r="AG35" s="111"/>
      <c r="AH35" s="112" t="str">
        <f t="shared" si="125"/>
        <v>x</v>
      </c>
      <c r="AI35" s="112" t="str">
        <f t="shared" si="126"/>
        <v>x</v>
      </c>
      <c r="AJ35" s="112" t="str">
        <f t="shared" si="127"/>
        <v>x</v>
      </c>
      <c r="AK35" s="112" t="str">
        <f t="shared" si="128"/>
        <v>x</v>
      </c>
      <c r="AL35" s="112"/>
      <c r="AM35" s="112" t="str">
        <f t="shared" si="129"/>
        <v>x</v>
      </c>
      <c r="AN35" s="112"/>
      <c r="AO35" s="112"/>
      <c r="AP35" s="112"/>
      <c r="AQ35" s="112"/>
      <c r="AR35" s="112"/>
      <c r="AS35" s="112" t="str">
        <f t="shared" si="130"/>
        <v>x</v>
      </c>
      <c r="AT35" s="112"/>
      <c r="AU35" s="114" t="str">
        <f t="shared" si="131"/>
        <v>x</v>
      </c>
      <c r="AV35" s="114" t="str">
        <f t="shared" si="85"/>
        <v>x</v>
      </c>
      <c r="AW35" s="114" t="str">
        <f t="shared" si="86"/>
        <v>x</v>
      </c>
      <c r="AX35" s="112" t="str">
        <f t="shared" si="132"/>
        <v>x</v>
      </c>
      <c r="AY35" s="111"/>
      <c r="AZ35" s="112" t="str">
        <f t="shared" si="87"/>
        <v>x</v>
      </c>
      <c r="BA35" s="112" t="str">
        <f t="shared" si="88"/>
        <v>x</v>
      </c>
      <c r="BB35" s="112"/>
      <c r="BC35" s="112" t="str">
        <f t="shared" si="133"/>
        <v>x</v>
      </c>
      <c r="BD35" s="112" t="str">
        <f t="shared" si="134"/>
        <v>x</v>
      </c>
      <c r="BE35" s="112" t="str">
        <f t="shared" si="135"/>
        <v>x</v>
      </c>
      <c r="BF35" s="111"/>
      <c r="BG35" s="112" t="str">
        <f t="shared" si="136"/>
        <v>x</v>
      </c>
      <c r="BH35" s="112" t="str">
        <f t="shared" si="137"/>
        <v>x</v>
      </c>
      <c r="BI35" s="112" t="str">
        <f t="shared" si="138"/>
        <v>x</v>
      </c>
      <c r="BJ35" s="112" t="str">
        <f t="shared" si="139"/>
        <v>x</v>
      </c>
      <c r="BK35" s="112" t="str">
        <f t="shared" si="140"/>
        <v>x</v>
      </c>
      <c r="BL35" s="112" t="str">
        <f t="shared" si="89"/>
        <v>x</v>
      </c>
      <c r="BM35" s="112" t="str">
        <f t="shared" si="141"/>
        <v>x</v>
      </c>
      <c r="BN35" s="111"/>
      <c r="BO35" s="111"/>
      <c r="BP35" s="112" t="str">
        <f t="shared" si="142"/>
        <v>x</v>
      </c>
      <c r="BQ35" s="111"/>
      <c r="BR35" s="112" t="str">
        <f t="shared" si="90"/>
        <v>x</v>
      </c>
      <c r="BS35" s="112" t="str">
        <f t="shared" si="143"/>
        <v>x</v>
      </c>
      <c r="BT35" s="111"/>
      <c r="BU35" s="112" t="str">
        <f t="shared" si="91"/>
        <v>x</v>
      </c>
      <c r="BV35" s="112" t="str">
        <f t="shared" si="144"/>
        <v>x</v>
      </c>
      <c r="BW35" s="112"/>
      <c r="BX35" s="112"/>
      <c r="BY35" s="112" t="str">
        <f t="shared" si="145"/>
        <v>x</v>
      </c>
      <c r="BZ35" s="112" t="str">
        <f t="shared" si="92"/>
        <v>x</v>
      </c>
      <c r="CA35" s="112" t="str">
        <f t="shared" si="93"/>
        <v>x</v>
      </c>
      <c r="CB35" s="112" t="str">
        <f t="shared" si="94"/>
        <v>x</v>
      </c>
      <c r="CC35" s="112"/>
      <c r="CD35" s="112"/>
      <c r="CE35" s="112" t="str">
        <f t="shared" si="146"/>
        <v>x</v>
      </c>
      <c r="CF35" s="112" t="str">
        <f t="shared" si="147"/>
        <v>x</v>
      </c>
      <c r="CG35" s="112" t="str">
        <f t="shared" si="148"/>
        <v>x</v>
      </c>
      <c r="CH35" s="112"/>
      <c r="CI35" s="112" t="str">
        <f t="shared" si="149"/>
        <v>x</v>
      </c>
      <c r="CJ35" s="112" t="str">
        <f t="shared" si="95"/>
        <v>x</v>
      </c>
      <c r="CK35" s="112" t="str">
        <f t="shared" si="150"/>
        <v>x</v>
      </c>
      <c r="CL35" s="112"/>
      <c r="CM35" s="112"/>
      <c r="CN35" s="112"/>
      <c r="CO35" s="112" t="str">
        <f t="shared" si="151"/>
        <v>x</v>
      </c>
      <c r="CP35" s="112"/>
      <c r="CQ35" s="112" t="str">
        <f t="shared" si="152"/>
        <v>x</v>
      </c>
      <c r="CR35" s="112"/>
      <c r="CS35" s="112"/>
      <c r="CT35" s="112" t="str">
        <f t="shared" si="153"/>
        <v>x</v>
      </c>
      <c r="CU35" s="112"/>
      <c r="CV35" s="112"/>
      <c r="CW35" s="112"/>
      <c r="CX35" s="112" t="str">
        <f t="shared" si="154"/>
        <v>x</v>
      </c>
      <c r="CY35" s="112"/>
      <c r="CZ35" s="112" t="str">
        <f t="shared" si="96"/>
        <v>x</v>
      </c>
      <c r="DA35" s="112"/>
      <c r="DB35" s="115" t="str">
        <f t="shared" si="155"/>
        <v>x</v>
      </c>
      <c r="DC35" s="112"/>
      <c r="DD35" s="112"/>
      <c r="DE35" s="112" t="str">
        <f t="shared" si="97"/>
        <v>x</v>
      </c>
      <c r="DF35" s="115" t="str">
        <f t="shared" si="98"/>
        <v>x</v>
      </c>
      <c r="DG35" s="112" t="str">
        <f t="shared" si="99"/>
        <v>x</v>
      </c>
      <c r="DH35" s="112" t="str">
        <f t="shared" si="100"/>
        <v>x</v>
      </c>
      <c r="DI35" s="112" t="str">
        <f t="shared" si="156"/>
        <v>x</v>
      </c>
      <c r="DJ35" s="112"/>
      <c r="DK35" s="112" t="str">
        <f t="shared" si="157"/>
        <v>x</v>
      </c>
      <c r="DL35" s="112"/>
      <c r="DM35" s="112"/>
      <c r="DN35" s="112" t="str">
        <f t="shared" si="158"/>
        <v>x</v>
      </c>
      <c r="DO35" s="111"/>
      <c r="DP35" s="112" t="str">
        <f t="shared" si="159"/>
        <v>x</v>
      </c>
      <c r="DQ35" s="112" t="str">
        <f t="shared" si="160"/>
        <v>x</v>
      </c>
      <c r="DR35" s="112" t="str">
        <f t="shared" si="161"/>
        <v>x</v>
      </c>
      <c r="DS35" s="112" t="str">
        <f t="shared" si="162"/>
        <v>x</v>
      </c>
      <c r="DT35" s="112"/>
      <c r="DU35" s="112" t="str">
        <f t="shared" si="163"/>
        <v>x</v>
      </c>
      <c r="DV35" s="112"/>
      <c r="DW35" s="112" t="str">
        <f t="shared" si="164"/>
        <v>x</v>
      </c>
      <c r="DX35" s="112" t="str">
        <f t="shared" si="165"/>
        <v>x</v>
      </c>
      <c r="DY35" s="112" t="str">
        <f t="shared" si="166"/>
        <v>x</v>
      </c>
      <c r="DZ35" s="112" t="str">
        <f t="shared" si="167"/>
        <v>x</v>
      </c>
      <c r="EA35" s="112" t="str">
        <f t="shared" si="168"/>
        <v>x</v>
      </c>
      <c r="EB35" s="112" t="str">
        <f t="shared" si="169"/>
        <v>x</v>
      </c>
      <c r="EC35" s="111"/>
      <c r="ED35" s="111"/>
      <c r="EE35" s="111"/>
      <c r="EF35" s="111"/>
      <c r="EG35" s="111"/>
      <c r="EH35" s="111"/>
      <c r="EI35" s="112"/>
      <c r="EJ35" s="112" t="str">
        <f t="shared" si="170"/>
        <v>x</v>
      </c>
      <c r="EK35" s="112" t="str">
        <f t="shared" si="171"/>
        <v>x</v>
      </c>
      <c r="EL35" s="112" t="str">
        <f t="shared" si="172"/>
        <v>x</v>
      </c>
      <c r="EM35" s="112" t="str">
        <f t="shared" si="173"/>
        <v>x</v>
      </c>
      <c r="EN35" s="112" t="str">
        <f t="shared" si="174"/>
        <v>x</v>
      </c>
      <c r="EO35" s="117" t="str">
        <f t="shared" si="101"/>
        <v>x</v>
      </c>
      <c r="EP35" s="117" t="str">
        <f t="shared" si="175"/>
        <v>x</v>
      </c>
      <c r="EQ35" s="112" t="str">
        <f t="shared" si="176"/>
        <v>x</v>
      </c>
      <c r="ER35" s="112"/>
      <c r="ES35" s="112" t="str">
        <f t="shared" si="102"/>
        <v>x</v>
      </c>
      <c r="ET35" s="112" t="str">
        <f t="shared" si="177"/>
        <v>x</v>
      </c>
      <c r="EU35" s="112" t="str">
        <f t="shared" si="178"/>
        <v>x</v>
      </c>
      <c r="EV35" s="112" t="str">
        <f t="shared" si="103"/>
        <v>x</v>
      </c>
      <c r="EW35" s="112" t="str">
        <f t="shared" si="179"/>
        <v>x</v>
      </c>
      <c r="EX35" s="112" t="str">
        <f t="shared" si="180"/>
        <v>x</v>
      </c>
      <c r="EY35" s="112" t="str">
        <f t="shared" si="181"/>
        <v>x</v>
      </c>
      <c r="EZ35" s="112"/>
      <c r="FA35" s="112" t="str">
        <f t="shared" si="182"/>
        <v>x</v>
      </c>
      <c r="FB35" s="111"/>
      <c r="FC35" s="112" t="str">
        <f t="shared" si="104"/>
        <v>x</v>
      </c>
      <c r="FD35" s="112" t="str">
        <f t="shared" si="105"/>
        <v>x</v>
      </c>
      <c r="FE35" s="112" t="str">
        <f t="shared" si="106"/>
        <v>x</v>
      </c>
      <c r="FF35" s="112" t="str">
        <f t="shared" si="107"/>
        <v>x</v>
      </c>
      <c r="FG35" s="111"/>
      <c r="FH35" s="111"/>
      <c r="FI35" s="112" t="str">
        <f t="shared" si="183"/>
        <v>x</v>
      </c>
      <c r="FJ35" s="112" t="str">
        <f t="shared" si="184"/>
        <v>x</v>
      </c>
      <c r="FK35" s="112" t="str">
        <f t="shared" si="185"/>
        <v>x</v>
      </c>
      <c r="FL35" s="112"/>
      <c r="FM35" s="112" t="str">
        <f t="shared" si="186"/>
        <v>x</v>
      </c>
      <c r="FN35" s="112"/>
      <c r="FO35" s="112" t="str">
        <f t="shared" si="187"/>
        <v>x</v>
      </c>
      <c r="FP35" s="112" t="str">
        <f t="shared" si="188"/>
        <v>x</v>
      </c>
      <c r="FQ35" s="112" t="str">
        <f t="shared" si="189"/>
        <v>x</v>
      </c>
      <c r="FR35" s="112" t="str">
        <f t="shared" si="190"/>
        <v>x</v>
      </c>
      <c r="FS35" s="112" t="str">
        <f t="shared" si="191"/>
        <v>x</v>
      </c>
      <c r="FT35" s="112" t="str">
        <f t="shared" si="192"/>
        <v>x</v>
      </c>
      <c r="FU35" s="112" t="str">
        <f t="shared" si="193"/>
        <v>x</v>
      </c>
      <c r="FV35" s="112" t="str">
        <f t="shared" si="194"/>
        <v>x</v>
      </c>
      <c r="FW35" s="112" t="str">
        <f t="shared" si="195"/>
        <v>x</v>
      </c>
      <c r="FX35" s="112" t="str">
        <f t="shared" si="196"/>
        <v>x</v>
      </c>
      <c r="FY35" s="112" t="str">
        <f t="shared" si="197"/>
        <v>x</v>
      </c>
      <c r="FZ35" s="112"/>
      <c r="GA35" s="112" t="str">
        <f t="shared" si="198"/>
        <v>x</v>
      </c>
      <c r="GB35" s="112"/>
      <c r="GC35" s="112" t="str">
        <f t="shared" si="199"/>
        <v>x</v>
      </c>
      <c r="GD35" s="112"/>
      <c r="GE35" s="112"/>
      <c r="GF35" s="112"/>
      <c r="GG35" s="112"/>
      <c r="GH35" s="112" t="str">
        <f t="shared" si="200"/>
        <v>x</v>
      </c>
      <c r="GI35" s="112" t="str">
        <f t="shared" si="201"/>
        <v>x</v>
      </c>
      <c r="GJ35" s="111"/>
      <c r="GK35" s="111"/>
      <c r="GL35" s="112" t="str">
        <f t="shared" si="202"/>
        <v>x</v>
      </c>
      <c r="GM35" s="112"/>
      <c r="GN35" s="112" t="str">
        <f t="shared" si="203"/>
        <v>x</v>
      </c>
      <c r="GO35" s="112" t="str">
        <f t="shared" si="204"/>
        <v>x</v>
      </c>
      <c r="GP35" s="112"/>
      <c r="GQ35" s="112" t="str">
        <f t="shared" si="205"/>
        <v>x</v>
      </c>
      <c r="GR35" s="112" t="str">
        <f t="shared" si="206"/>
        <v>x</v>
      </c>
      <c r="GS35" s="112"/>
      <c r="GT35" s="112" t="str">
        <f t="shared" si="207"/>
        <v>x</v>
      </c>
      <c r="GU35" s="112"/>
      <c r="GV35" s="112"/>
      <c r="GW35" s="112" t="str">
        <f t="shared" si="208"/>
        <v>x</v>
      </c>
      <c r="GX35" s="112"/>
      <c r="GY35" s="112"/>
      <c r="GZ35" s="112"/>
      <c r="HA35" s="112"/>
      <c r="HB35" s="112" t="str">
        <f t="shared" si="48"/>
        <v>x</v>
      </c>
      <c r="HC35" s="112" t="str">
        <f t="shared" si="209"/>
        <v>x</v>
      </c>
      <c r="HD35" s="112" t="str">
        <f t="shared" si="210"/>
        <v>x</v>
      </c>
      <c r="HE35" s="112" t="str">
        <f t="shared" si="211"/>
        <v>x</v>
      </c>
      <c r="HF35" s="112" t="str">
        <f t="shared" si="212"/>
        <v>x</v>
      </c>
      <c r="HG35" s="112"/>
      <c r="HH35" s="112"/>
      <c r="HI35" s="112" t="str">
        <f t="shared" si="213"/>
        <v>x</v>
      </c>
      <c r="HJ35" s="112"/>
      <c r="HK35" s="112" t="str">
        <f t="shared" si="214"/>
        <v>x</v>
      </c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 t="str">
        <f t="shared" si="215"/>
        <v>x</v>
      </c>
      <c r="HX35" s="112" t="str">
        <f t="shared" si="108"/>
        <v>x</v>
      </c>
      <c r="HY35" s="112" t="str">
        <f t="shared" si="109"/>
        <v>x</v>
      </c>
      <c r="HZ35" s="112"/>
      <c r="IA35" s="112"/>
      <c r="IB35" s="112"/>
      <c r="IC35" s="112" t="str">
        <f t="shared" si="216"/>
        <v>x</v>
      </c>
      <c r="ID35" s="112"/>
      <c r="IE35" s="112"/>
      <c r="IF35" s="112"/>
      <c r="IG35" s="111"/>
      <c r="IH35" s="112"/>
      <c r="II35" s="112"/>
      <c r="IJ35" s="112" t="str">
        <f t="shared" si="217"/>
        <v>x</v>
      </c>
      <c r="IK35" s="112" t="str">
        <f t="shared" si="218"/>
        <v>x</v>
      </c>
      <c r="IL35" s="111"/>
      <c r="IM35" s="112" t="str">
        <f t="shared" si="219"/>
        <v>x</v>
      </c>
      <c r="IN35" s="112"/>
      <c r="IO35" s="111"/>
      <c r="IP35" s="112" t="str">
        <f t="shared" si="220"/>
        <v>x</v>
      </c>
      <c r="IQ35" s="112" t="str">
        <f t="shared" si="221"/>
        <v>x</v>
      </c>
      <c r="IR35" s="111"/>
      <c r="IS35" s="111"/>
      <c r="IT35" s="111"/>
      <c r="IU35" s="112" t="str">
        <f t="shared" si="222"/>
        <v>x</v>
      </c>
      <c r="IV35" s="112" t="str">
        <f t="shared" si="223"/>
        <v>x</v>
      </c>
      <c r="IW35" s="112"/>
      <c r="IX35" s="112" t="str">
        <f t="shared" si="224"/>
        <v>x</v>
      </c>
      <c r="IY35" s="111"/>
      <c r="IZ35" s="112" t="str">
        <f t="shared" si="225"/>
        <v>x</v>
      </c>
      <c r="JA35" s="111"/>
      <c r="JB35" s="112"/>
      <c r="JC35" s="111"/>
      <c r="JD35" s="112"/>
      <c r="JE35" s="112"/>
      <c r="JF35" s="112" t="str">
        <f t="shared" si="226"/>
        <v>x</v>
      </c>
      <c r="JG35" s="112" t="str">
        <f t="shared" si="227"/>
        <v>x</v>
      </c>
      <c r="JH35" s="111"/>
      <c r="JI35" s="112"/>
      <c r="JJ35" s="112" t="str">
        <f t="shared" si="228"/>
        <v>x</v>
      </c>
      <c r="JK35" s="112" t="str">
        <f t="shared" si="229"/>
        <v>x</v>
      </c>
      <c r="JL35" s="112" t="str">
        <f t="shared" si="230"/>
        <v>x</v>
      </c>
      <c r="JM35" s="112"/>
      <c r="JN35" s="112"/>
      <c r="JO35" s="112"/>
      <c r="JP35" s="112"/>
      <c r="JQ35" s="112" t="str">
        <f t="shared" si="110"/>
        <v>x</v>
      </c>
      <c r="JR35" s="112"/>
      <c r="JS35" s="112" t="str">
        <f t="shared" si="231"/>
        <v>x</v>
      </c>
      <c r="JT35" s="111"/>
      <c r="JU35" s="111"/>
      <c r="JV35" s="112"/>
      <c r="JW35" s="112"/>
      <c r="JX35" s="112"/>
      <c r="JY35" s="112"/>
      <c r="JZ35" s="112" t="str">
        <f t="shared" si="232"/>
        <v>x</v>
      </c>
      <c r="KA35" s="112" t="str">
        <f t="shared" si="233"/>
        <v>x</v>
      </c>
      <c r="KB35" s="112" t="str">
        <f t="shared" si="234"/>
        <v>x</v>
      </c>
      <c r="KC35" s="112" t="str">
        <f t="shared" si="235"/>
        <v>x</v>
      </c>
      <c r="KD35" s="112" t="str">
        <f t="shared" si="111"/>
        <v>x</v>
      </c>
      <c r="KE35" s="112" t="str">
        <f t="shared" si="236"/>
        <v>x</v>
      </c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1"/>
      <c r="LC35" s="111"/>
      <c r="LD35" s="111"/>
      <c r="LE35" s="111"/>
      <c r="LF35" s="112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2"/>
      <c r="LT35" s="111"/>
      <c r="LU35" s="111"/>
      <c r="LV35" s="111"/>
      <c r="LW35" s="111"/>
      <c r="LX35" s="111"/>
      <c r="LY35" s="112" t="str">
        <f t="shared" si="237"/>
        <v>x</v>
      </c>
      <c r="LZ35" s="111"/>
      <c r="MA35" s="111"/>
      <c r="MB35" s="111"/>
      <c r="MC35" s="112" t="str">
        <f t="shared" si="238"/>
        <v>x</v>
      </c>
      <c r="MD35" s="111"/>
      <c r="ME35" s="112" t="str">
        <f t="shared" si="239"/>
        <v>x</v>
      </c>
      <c r="MF35" s="112" t="str">
        <f t="shared" si="240"/>
        <v>x</v>
      </c>
      <c r="MG35" s="112" t="str">
        <f t="shared" si="241"/>
        <v>x</v>
      </c>
      <c r="MH35" s="112" t="str">
        <f t="shared" si="112"/>
        <v>x</v>
      </c>
    </row>
    <row r="36" spans="1:346" x14ac:dyDescent="0.25">
      <c r="A36" s="110" t="s">
        <v>1</v>
      </c>
      <c r="B36" s="101" t="s">
        <v>55</v>
      </c>
      <c r="C36" s="102"/>
      <c r="D36" s="102"/>
      <c r="E36" s="102"/>
      <c r="F36" s="102"/>
      <c r="G36" s="102"/>
      <c r="H36" s="102"/>
      <c r="I36" s="102"/>
      <c r="J36" s="103"/>
      <c r="K36" s="112" t="str">
        <f t="shared" si="113"/>
        <v>x</v>
      </c>
      <c r="L36" s="111"/>
      <c r="M36" s="112" t="str">
        <f t="shared" si="84"/>
        <v>x</v>
      </c>
      <c r="N36" s="112" t="str">
        <f t="shared" si="114"/>
        <v>x</v>
      </c>
      <c r="O36" s="112" t="str">
        <f t="shared" si="115"/>
        <v>x</v>
      </c>
      <c r="P36" s="112" t="str">
        <f t="shared" si="116"/>
        <v>x</v>
      </c>
      <c r="Q36" s="112" t="str">
        <f t="shared" si="117"/>
        <v>x</v>
      </c>
      <c r="R36" s="112"/>
      <c r="S36" s="112" t="str">
        <f t="shared" si="118"/>
        <v>x</v>
      </c>
      <c r="T36" s="112" t="str">
        <f t="shared" si="119"/>
        <v>x</v>
      </c>
      <c r="U36" s="112"/>
      <c r="V36" s="112"/>
      <c r="W36" s="112" t="str">
        <f t="shared" si="120"/>
        <v>x</v>
      </c>
      <c r="X36" s="112" t="str">
        <f t="shared" si="121"/>
        <v>x</v>
      </c>
      <c r="Y36" s="112"/>
      <c r="Z36" s="112"/>
      <c r="AA36" s="112"/>
      <c r="AB36" s="112"/>
      <c r="AC36" s="112" t="str">
        <f t="shared" si="122"/>
        <v>x</v>
      </c>
      <c r="AD36" s="112"/>
      <c r="AE36" s="112" t="str">
        <f t="shared" si="123"/>
        <v>x</v>
      </c>
      <c r="AF36" s="112" t="str">
        <f t="shared" si="124"/>
        <v>x</v>
      </c>
      <c r="AG36" s="111"/>
      <c r="AH36" s="112" t="str">
        <f t="shared" si="125"/>
        <v>x</v>
      </c>
      <c r="AI36" s="112" t="str">
        <f t="shared" si="126"/>
        <v>x</v>
      </c>
      <c r="AJ36" s="112" t="str">
        <f t="shared" si="127"/>
        <v>x</v>
      </c>
      <c r="AK36" s="112" t="str">
        <f t="shared" si="128"/>
        <v>x</v>
      </c>
      <c r="AL36" s="112"/>
      <c r="AM36" s="112" t="str">
        <f t="shared" si="129"/>
        <v>x</v>
      </c>
      <c r="AN36" s="112"/>
      <c r="AO36" s="112"/>
      <c r="AP36" s="112"/>
      <c r="AQ36" s="112"/>
      <c r="AR36" s="112"/>
      <c r="AS36" s="112" t="str">
        <f t="shared" si="130"/>
        <v>x</v>
      </c>
      <c r="AT36" s="112"/>
      <c r="AU36" s="114" t="str">
        <f t="shared" si="131"/>
        <v>x</v>
      </c>
      <c r="AV36" s="114" t="str">
        <f t="shared" si="85"/>
        <v>x</v>
      </c>
      <c r="AW36" s="114" t="str">
        <f t="shared" si="86"/>
        <v>x</v>
      </c>
      <c r="AX36" s="112" t="str">
        <f t="shared" si="132"/>
        <v>x</v>
      </c>
      <c r="AY36" s="111"/>
      <c r="AZ36" s="112" t="str">
        <f t="shared" si="87"/>
        <v>x</v>
      </c>
      <c r="BA36" s="112" t="str">
        <f t="shared" si="88"/>
        <v>x</v>
      </c>
      <c r="BB36" s="112"/>
      <c r="BC36" s="112" t="str">
        <f t="shared" si="133"/>
        <v>x</v>
      </c>
      <c r="BD36" s="112" t="str">
        <f t="shared" si="134"/>
        <v>x</v>
      </c>
      <c r="BE36" s="112" t="str">
        <f t="shared" si="135"/>
        <v>x</v>
      </c>
      <c r="BF36" s="111"/>
      <c r="BG36" s="112" t="str">
        <f t="shared" si="136"/>
        <v>x</v>
      </c>
      <c r="BH36" s="112" t="str">
        <f t="shared" si="137"/>
        <v>x</v>
      </c>
      <c r="BI36" s="112" t="str">
        <f t="shared" si="138"/>
        <v>x</v>
      </c>
      <c r="BJ36" s="112" t="str">
        <f t="shared" si="139"/>
        <v>x</v>
      </c>
      <c r="BK36" s="112" t="str">
        <f t="shared" si="140"/>
        <v>x</v>
      </c>
      <c r="BL36" s="112" t="str">
        <f t="shared" si="89"/>
        <v>x</v>
      </c>
      <c r="BM36" s="112" t="str">
        <f t="shared" si="141"/>
        <v>x</v>
      </c>
      <c r="BN36" s="111"/>
      <c r="BO36" s="111"/>
      <c r="BP36" s="112" t="str">
        <f t="shared" si="142"/>
        <v>x</v>
      </c>
      <c r="BQ36" s="111"/>
      <c r="BR36" s="112" t="str">
        <f t="shared" si="90"/>
        <v>x</v>
      </c>
      <c r="BS36" s="112" t="str">
        <f t="shared" si="143"/>
        <v>x</v>
      </c>
      <c r="BT36" s="111"/>
      <c r="BU36" s="112" t="str">
        <f t="shared" si="91"/>
        <v>x</v>
      </c>
      <c r="BV36" s="112" t="str">
        <f t="shared" si="144"/>
        <v>x</v>
      </c>
      <c r="BW36" s="112"/>
      <c r="BX36" s="112"/>
      <c r="BY36" s="112" t="str">
        <f t="shared" si="145"/>
        <v>x</v>
      </c>
      <c r="BZ36" s="112" t="str">
        <f t="shared" si="92"/>
        <v>x</v>
      </c>
      <c r="CA36" s="112" t="str">
        <f t="shared" si="93"/>
        <v>x</v>
      </c>
      <c r="CB36" s="112" t="str">
        <f t="shared" si="94"/>
        <v>x</v>
      </c>
      <c r="CC36" s="112"/>
      <c r="CD36" s="112"/>
      <c r="CE36" s="112" t="str">
        <f t="shared" si="146"/>
        <v>x</v>
      </c>
      <c r="CF36" s="112" t="str">
        <f t="shared" si="147"/>
        <v>x</v>
      </c>
      <c r="CG36" s="112" t="str">
        <f t="shared" si="148"/>
        <v>x</v>
      </c>
      <c r="CH36" s="112"/>
      <c r="CI36" s="112" t="str">
        <f t="shared" si="149"/>
        <v>x</v>
      </c>
      <c r="CJ36" s="112" t="str">
        <f t="shared" si="95"/>
        <v>x</v>
      </c>
      <c r="CK36" s="112" t="str">
        <f t="shared" si="150"/>
        <v>x</v>
      </c>
      <c r="CL36" s="112"/>
      <c r="CM36" s="112"/>
      <c r="CN36" s="112"/>
      <c r="CO36" s="112" t="str">
        <f t="shared" si="151"/>
        <v>x</v>
      </c>
      <c r="CP36" s="112"/>
      <c r="CQ36" s="112" t="str">
        <f t="shared" si="152"/>
        <v>x</v>
      </c>
      <c r="CR36" s="112"/>
      <c r="CS36" s="112"/>
      <c r="CT36" s="112" t="str">
        <f t="shared" si="153"/>
        <v>x</v>
      </c>
      <c r="CU36" s="112"/>
      <c r="CV36" s="112"/>
      <c r="CW36" s="112"/>
      <c r="CX36" s="112" t="str">
        <f t="shared" si="154"/>
        <v>x</v>
      </c>
      <c r="CY36" s="112"/>
      <c r="CZ36" s="112" t="str">
        <f t="shared" si="96"/>
        <v>x</v>
      </c>
      <c r="DA36" s="112"/>
      <c r="DB36" s="115" t="str">
        <f t="shared" si="155"/>
        <v>x</v>
      </c>
      <c r="DC36" s="112"/>
      <c r="DD36" s="112"/>
      <c r="DE36" s="112" t="str">
        <f t="shared" si="97"/>
        <v>x</v>
      </c>
      <c r="DF36" s="115" t="str">
        <f t="shared" si="98"/>
        <v>x</v>
      </c>
      <c r="DG36" s="112" t="str">
        <f t="shared" si="99"/>
        <v>x</v>
      </c>
      <c r="DH36" s="112" t="str">
        <f t="shared" si="100"/>
        <v>x</v>
      </c>
      <c r="DI36" s="112" t="str">
        <f t="shared" si="156"/>
        <v>x</v>
      </c>
      <c r="DJ36" s="112"/>
      <c r="DK36" s="112" t="str">
        <f t="shared" si="157"/>
        <v>x</v>
      </c>
      <c r="DL36" s="112"/>
      <c r="DM36" s="112"/>
      <c r="DN36" s="112" t="str">
        <f t="shared" si="158"/>
        <v>x</v>
      </c>
      <c r="DO36" s="111"/>
      <c r="DP36" s="112" t="str">
        <f t="shared" si="159"/>
        <v>x</v>
      </c>
      <c r="DQ36" s="112" t="str">
        <f t="shared" si="160"/>
        <v>x</v>
      </c>
      <c r="DR36" s="112" t="str">
        <f t="shared" si="161"/>
        <v>x</v>
      </c>
      <c r="DS36" s="112" t="str">
        <f t="shared" si="162"/>
        <v>x</v>
      </c>
      <c r="DT36" s="112"/>
      <c r="DU36" s="112" t="str">
        <f t="shared" si="163"/>
        <v>x</v>
      </c>
      <c r="DV36" s="112"/>
      <c r="DW36" s="112" t="str">
        <f t="shared" si="164"/>
        <v>x</v>
      </c>
      <c r="DX36" s="112" t="str">
        <f t="shared" si="165"/>
        <v>x</v>
      </c>
      <c r="DY36" s="112" t="str">
        <f t="shared" si="166"/>
        <v>x</v>
      </c>
      <c r="DZ36" s="112" t="str">
        <f t="shared" si="167"/>
        <v>x</v>
      </c>
      <c r="EA36" s="112" t="str">
        <f t="shared" si="168"/>
        <v>x</v>
      </c>
      <c r="EB36" s="112" t="str">
        <f t="shared" si="169"/>
        <v>x</v>
      </c>
      <c r="EC36" s="111"/>
      <c r="ED36" s="111"/>
      <c r="EE36" s="111"/>
      <c r="EF36" s="111"/>
      <c r="EG36" s="111"/>
      <c r="EH36" s="111"/>
      <c r="EI36" s="112"/>
      <c r="EJ36" s="112" t="str">
        <f t="shared" si="170"/>
        <v>x</v>
      </c>
      <c r="EK36" s="112" t="str">
        <f t="shared" si="171"/>
        <v>x</v>
      </c>
      <c r="EL36" s="112" t="str">
        <f t="shared" si="172"/>
        <v>x</v>
      </c>
      <c r="EM36" s="112" t="str">
        <f t="shared" si="173"/>
        <v>x</v>
      </c>
      <c r="EN36" s="112" t="str">
        <f t="shared" si="174"/>
        <v>x</v>
      </c>
      <c r="EO36" s="117" t="str">
        <f t="shared" si="101"/>
        <v>x</v>
      </c>
      <c r="EP36" s="117" t="str">
        <f t="shared" si="175"/>
        <v>x</v>
      </c>
      <c r="EQ36" s="112" t="str">
        <f t="shared" si="176"/>
        <v>x</v>
      </c>
      <c r="ER36" s="112"/>
      <c r="ES36" s="112" t="str">
        <f t="shared" si="102"/>
        <v>x</v>
      </c>
      <c r="ET36" s="112" t="str">
        <f t="shared" si="177"/>
        <v>x</v>
      </c>
      <c r="EU36" s="112" t="str">
        <f t="shared" si="178"/>
        <v>x</v>
      </c>
      <c r="EV36" s="112" t="str">
        <f t="shared" si="103"/>
        <v>x</v>
      </c>
      <c r="EW36" s="112" t="str">
        <f t="shared" si="179"/>
        <v>x</v>
      </c>
      <c r="EX36" s="112" t="str">
        <f t="shared" si="180"/>
        <v>x</v>
      </c>
      <c r="EY36" s="112" t="str">
        <f t="shared" si="181"/>
        <v>x</v>
      </c>
      <c r="EZ36" s="112"/>
      <c r="FA36" s="112" t="str">
        <f t="shared" si="182"/>
        <v>x</v>
      </c>
      <c r="FB36" s="111"/>
      <c r="FC36" s="112" t="str">
        <f t="shared" si="104"/>
        <v>x</v>
      </c>
      <c r="FD36" s="112" t="str">
        <f t="shared" si="105"/>
        <v>x</v>
      </c>
      <c r="FE36" s="112" t="str">
        <f t="shared" si="106"/>
        <v>x</v>
      </c>
      <c r="FF36" s="112" t="str">
        <f t="shared" si="107"/>
        <v>x</v>
      </c>
      <c r="FG36" s="111"/>
      <c r="FH36" s="111"/>
      <c r="FI36" s="112" t="str">
        <f t="shared" si="183"/>
        <v>x</v>
      </c>
      <c r="FJ36" s="112" t="str">
        <f t="shared" si="184"/>
        <v>x</v>
      </c>
      <c r="FK36" s="112" t="str">
        <f t="shared" si="185"/>
        <v>x</v>
      </c>
      <c r="FL36" s="112"/>
      <c r="FM36" s="112" t="str">
        <f t="shared" si="186"/>
        <v>x</v>
      </c>
      <c r="FN36" s="112"/>
      <c r="FO36" s="112" t="str">
        <f t="shared" si="187"/>
        <v>x</v>
      </c>
      <c r="FP36" s="112" t="str">
        <f t="shared" si="188"/>
        <v>x</v>
      </c>
      <c r="FQ36" s="112" t="str">
        <f t="shared" si="189"/>
        <v>x</v>
      </c>
      <c r="FR36" s="112" t="str">
        <f t="shared" si="190"/>
        <v>x</v>
      </c>
      <c r="FS36" s="112" t="str">
        <f t="shared" si="191"/>
        <v>x</v>
      </c>
      <c r="FT36" s="112" t="str">
        <f t="shared" si="192"/>
        <v>x</v>
      </c>
      <c r="FU36" s="112" t="str">
        <f t="shared" si="193"/>
        <v>x</v>
      </c>
      <c r="FV36" s="112" t="str">
        <f t="shared" si="194"/>
        <v>x</v>
      </c>
      <c r="FW36" s="112" t="str">
        <f t="shared" si="195"/>
        <v>x</v>
      </c>
      <c r="FX36" s="112" t="str">
        <f t="shared" si="196"/>
        <v>x</v>
      </c>
      <c r="FY36" s="112" t="str">
        <f t="shared" si="197"/>
        <v>x</v>
      </c>
      <c r="FZ36" s="112"/>
      <c r="GA36" s="112" t="str">
        <f t="shared" si="198"/>
        <v>x</v>
      </c>
      <c r="GB36" s="112"/>
      <c r="GC36" s="112" t="str">
        <f t="shared" si="199"/>
        <v>x</v>
      </c>
      <c r="GD36" s="112"/>
      <c r="GE36" s="112"/>
      <c r="GF36" s="112"/>
      <c r="GG36" s="112"/>
      <c r="GH36" s="112" t="str">
        <f t="shared" si="200"/>
        <v>x</v>
      </c>
      <c r="GI36" s="112" t="str">
        <f t="shared" si="201"/>
        <v>x</v>
      </c>
      <c r="GJ36" s="111"/>
      <c r="GK36" s="111"/>
      <c r="GL36" s="112" t="str">
        <f t="shared" si="202"/>
        <v>x</v>
      </c>
      <c r="GM36" s="112"/>
      <c r="GN36" s="112" t="str">
        <f t="shared" si="203"/>
        <v>x</v>
      </c>
      <c r="GO36" s="112" t="str">
        <f t="shared" si="204"/>
        <v>x</v>
      </c>
      <c r="GP36" s="112"/>
      <c r="GQ36" s="112" t="str">
        <f t="shared" si="205"/>
        <v>x</v>
      </c>
      <c r="GR36" s="112" t="str">
        <f t="shared" si="206"/>
        <v>x</v>
      </c>
      <c r="GS36" s="112"/>
      <c r="GT36" s="112" t="str">
        <f t="shared" si="207"/>
        <v>x</v>
      </c>
      <c r="GU36" s="112"/>
      <c r="GV36" s="112"/>
      <c r="GW36" s="112" t="str">
        <f t="shared" si="208"/>
        <v>x</v>
      </c>
      <c r="GX36" s="112"/>
      <c r="GY36" s="112"/>
      <c r="GZ36" s="112"/>
      <c r="HA36" s="112"/>
      <c r="HB36" s="112" t="str">
        <f t="shared" si="48"/>
        <v>x</v>
      </c>
      <c r="HC36" s="112" t="str">
        <f t="shared" si="209"/>
        <v>x</v>
      </c>
      <c r="HD36" s="112" t="str">
        <f t="shared" si="210"/>
        <v>x</v>
      </c>
      <c r="HE36" s="112" t="str">
        <f t="shared" si="211"/>
        <v>x</v>
      </c>
      <c r="HF36" s="112" t="str">
        <f t="shared" si="212"/>
        <v>x</v>
      </c>
      <c r="HG36" s="112"/>
      <c r="HH36" s="112"/>
      <c r="HI36" s="112" t="str">
        <f t="shared" si="213"/>
        <v>x</v>
      </c>
      <c r="HJ36" s="112"/>
      <c r="HK36" s="112" t="str">
        <f t="shared" si="214"/>
        <v>x</v>
      </c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 t="str">
        <f t="shared" si="215"/>
        <v>x</v>
      </c>
      <c r="HX36" s="112" t="str">
        <f t="shared" si="108"/>
        <v>x</v>
      </c>
      <c r="HY36" s="112" t="str">
        <f t="shared" si="109"/>
        <v>x</v>
      </c>
      <c r="HZ36" s="112"/>
      <c r="IA36" s="112"/>
      <c r="IB36" s="112"/>
      <c r="IC36" s="112" t="str">
        <f t="shared" si="216"/>
        <v>x</v>
      </c>
      <c r="ID36" s="112"/>
      <c r="IE36" s="112"/>
      <c r="IF36" s="112"/>
      <c r="IG36" s="111"/>
      <c r="IH36" s="112"/>
      <c r="II36" s="112"/>
      <c r="IJ36" s="112" t="str">
        <f t="shared" si="217"/>
        <v>x</v>
      </c>
      <c r="IK36" s="112" t="str">
        <f t="shared" si="218"/>
        <v>x</v>
      </c>
      <c r="IL36" s="111"/>
      <c r="IM36" s="112" t="str">
        <f t="shared" si="219"/>
        <v>x</v>
      </c>
      <c r="IN36" s="112"/>
      <c r="IO36" s="111"/>
      <c r="IP36" s="112" t="str">
        <f t="shared" si="220"/>
        <v>x</v>
      </c>
      <c r="IQ36" s="112" t="str">
        <f t="shared" si="221"/>
        <v>x</v>
      </c>
      <c r="IR36" s="111"/>
      <c r="IS36" s="111"/>
      <c r="IT36" s="111"/>
      <c r="IU36" s="112" t="str">
        <f t="shared" si="222"/>
        <v>x</v>
      </c>
      <c r="IV36" s="112" t="str">
        <f t="shared" si="223"/>
        <v>x</v>
      </c>
      <c r="IW36" s="112"/>
      <c r="IX36" s="112" t="str">
        <f t="shared" si="224"/>
        <v>x</v>
      </c>
      <c r="IY36" s="111"/>
      <c r="IZ36" s="112" t="str">
        <f t="shared" si="225"/>
        <v>x</v>
      </c>
      <c r="JA36" s="111"/>
      <c r="JB36" s="112"/>
      <c r="JC36" s="111"/>
      <c r="JD36" s="112"/>
      <c r="JE36" s="112"/>
      <c r="JF36" s="112" t="str">
        <f t="shared" si="226"/>
        <v>x</v>
      </c>
      <c r="JG36" s="112" t="str">
        <f t="shared" si="227"/>
        <v>x</v>
      </c>
      <c r="JH36" s="111"/>
      <c r="JI36" s="112"/>
      <c r="JJ36" s="112" t="str">
        <f t="shared" si="228"/>
        <v>x</v>
      </c>
      <c r="JK36" s="112" t="str">
        <f t="shared" si="229"/>
        <v>x</v>
      </c>
      <c r="JL36" s="112" t="str">
        <f t="shared" si="230"/>
        <v>x</v>
      </c>
      <c r="JM36" s="112"/>
      <c r="JN36" s="112"/>
      <c r="JO36" s="112"/>
      <c r="JP36" s="112"/>
      <c r="JQ36" s="112" t="str">
        <f t="shared" si="110"/>
        <v>x</v>
      </c>
      <c r="JR36" s="112"/>
      <c r="JS36" s="112" t="str">
        <f t="shared" si="231"/>
        <v>x</v>
      </c>
      <c r="JT36" s="111"/>
      <c r="JU36" s="111"/>
      <c r="JV36" s="112"/>
      <c r="JW36" s="112"/>
      <c r="JX36" s="112"/>
      <c r="JY36" s="112"/>
      <c r="JZ36" s="112" t="str">
        <f t="shared" si="232"/>
        <v>x</v>
      </c>
      <c r="KA36" s="112" t="str">
        <f t="shared" si="233"/>
        <v>x</v>
      </c>
      <c r="KB36" s="112" t="str">
        <f t="shared" si="234"/>
        <v>x</v>
      </c>
      <c r="KC36" s="112" t="str">
        <f t="shared" si="235"/>
        <v>x</v>
      </c>
      <c r="KD36" s="112" t="str">
        <f t="shared" si="111"/>
        <v>x</v>
      </c>
      <c r="KE36" s="112" t="str">
        <f t="shared" si="236"/>
        <v>x</v>
      </c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1"/>
      <c r="LC36" s="111"/>
      <c r="LD36" s="111"/>
      <c r="LE36" s="111"/>
      <c r="LF36" s="112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2"/>
      <c r="LT36" s="111"/>
      <c r="LU36" s="111"/>
      <c r="LV36" s="111"/>
      <c r="LW36" s="111"/>
      <c r="LX36" s="111"/>
      <c r="LY36" s="112" t="str">
        <f t="shared" si="237"/>
        <v>x</v>
      </c>
      <c r="LZ36" s="111"/>
      <c r="MA36" s="111"/>
      <c r="MB36" s="111"/>
      <c r="MC36" s="112" t="str">
        <f t="shared" si="238"/>
        <v>x</v>
      </c>
      <c r="MD36" s="111"/>
      <c r="ME36" s="112" t="str">
        <f t="shared" si="239"/>
        <v>x</v>
      </c>
      <c r="MF36" s="112" t="str">
        <f t="shared" si="240"/>
        <v>x</v>
      </c>
      <c r="MG36" s="112" t="str">
        <f t="shared" si="241"/>
        <v>x</v>
      </c>
      <c r="MH36" s="112" t="str">
        <f t="shared" si="112"/>
        <v>x</v>
      </c>
    </row>
    <row r="37" spans="1:346" x14ac:dyDescent="0.25">
      <c r="A37" s="110" t="s">
        <v>1</v>
      </c>
      <c r="B37" s="101" t="s">
        <v>56</v>
      </c>
      <c r="C37" s="102"/>
      <c r="D37" s="102"/>
      <c r="E37" s="102"/>
      <c r="F37" s="102"/>
      <c r="G37" s="102"/>
      <c r="H37" s="102"/>
      <c r="I37" s="102"/>
      <c r="J37" s="103"/>
      <c r="K37" s="112" t="str">
        <f t="shared" si="113"/>
        <v>x</v>
      </c>
      <c r="L37" s="111"/>
      <c r="M37" s="112" t="str">
        <f t="shared" si="84"/>
        <v>x</v>
      </c>
      <c r="N37" s="112" t="str">
        <f t="shared" si="114"/>
        <v>x</v>
      </c>
      <c r="O37" s="112" t="str">
        <f t="shared" si="115"/>
        <v>x</v>
      </c>
      <c r="P37" s="112" t="str">
        <f t="shared" si="116"/>
        <v>x</v>
      </c>
      <c r="Q37" s="112" t="str">
        <f t="shared" si="117"/>
        <v>x</v>
      </c>
      <c r="R37" s="112"/>
      <c r="S37" s="112" t="str">
        <f t="shared" si="118"/>
        <v>x</v>
      </c>
      <c r="T37" s="112" t="str">
        <f t="shared" si="119"/>
        <v>x</v>
      </c>
      <c r="U37" s="112"/>
      <c r="V37" s="112"/>
      <c r="W37" s="112" t="str">
        <f t="shared" si="120"/>
        <v>x</v>
      </c>
      <c r="X37" s="112" t="str">
        <f t="shared" si="121"/>
        <v>x</v>
      </c>
      <c r="Y37" s="112"/>
      <c r="Z37" s="112"/>
      <c r="AA37" s="112"/>
      <c r="AB37" s="112"/>
      <c r="AC37" s="112" t="str">
        <f t="shared" si="122"/>
        <v>x</v>
      </c>
      <c r="AD37" s="112"/>
      <c r="AE37" s="112" t="str">
        <f t="shared" si="123"/>
        <v>x</v>
      </c>
      <c r="AF37" s="112" t="str">
        <f t="shared" si="124"/>
        <v>x</v>
      </c>
      <c r="AG37" s="111"/>
      <c r="AH37" s="112" t="str">
        <f t="shared" si="125"/>
        <v>x</v>
      </c>
      <c r="AI37" s="112" t="str">
        <f t="shared" si="126"/>
        <v>x</v>
      </c>
      <c r="AJ37" s="112" t="str">
        <f t="shared" si="127"/>
        <v>x</v>
      </c>
      <c r="AK37" s="112" t="str">
        <f t="shared" si="128"/>
        <v>x</v>
      </c>
      <c r="AL37" s="112"/>
      <c r="AM37" s="112" t="str">
        <f t="shared" si="129"/>
        <v>x</v>
      </c>
      <c r="AN37" s="112"/>
      <c r="AO37" s="112"/>
      <c r="AP37" s="112"/>
      <c r="AQ37" s="112"/>
      <c r="AR37" s="112"/>
      <c r="AS37" s="112" t="str">
        <f t="shared" si="130"/>
        <v>x</v>
      </c>
      <c r="AT37" s="112"/>
      <c r="AU37" s="114" t="str">
        <f t="shared" si="131"/>
        <v>x</v>
      </c>
      <c r="AV37" s="114" t="str">
        <f t="shared" si="85"/>
        <v>x</v>
      </c>
      <c r="AW37" s="114" t="str">
        <f t="shared" si="86"/>
        <v>x</v>
      </c>
      <c r="AX37" s="112" t="str">
        <f t="shared" si="132"/>
        <v>x</v>
      </c>
      <c r="AY37" s="111"/>
      <c r="AZ37" s="112" t="str">
        <f t="shared" si="87"/>
        <v>x</v>
      </c>
      <c r="BA37" s="112" t="str">
        <f t="shared" si="88"/>
        <v>x</v>
      </c>
      <c r="BB37" s="112"/>
      <c r="BC37" s="112" t="str">
        <f t="shared" si="133"/>
        <v>x</v>
      </c>
      <c r="BD37" s="112" t="str">
        <f t="shared" si="134"/>
        <v>x</v>
      </c>
      <c r="BE37" s="112" t="str">
        <f t="shared" si="135"/>
        <v>x</v>
      </c>
      <c r="BF37" s="111"/>
      <c r="BG37" s="112" t="str">
        <f t="shared" si="136"/>
        <v>x</v>
      </c>
      <c r="BH37" s="112" t="str">
        <f t="shared" si="137"/>
        <v>x</v>
      </c>
      <c r="BI37" s="112" t="str">
        <f t="shared" si="138"/>
        <v>x</v>
      </c>
      <c r="BJ37" s="112" t="str">
        <f t="shared" si="139"/>
        <v>x</v>
      </c>
      <c r="BK37" s="112" t="str">
        <f t="shared" si="140"/>
        <v>x</v>
      </c>
      <c r="BL37" s="112" t="str">
        <f t="shared" si="89"/>
        <v>x</v>
      </c>
      <c r="BM37" s="112" t="str">
        <f t="shared" si="141"/>
        <v>x</v>
      </c>
      <c r="BN37" s="111"/>
      <c r="BO37" s="111"/>
      <c r="BP37" s="112" t="str">
        <f t="shared" si="142"/>
        <v>x</v>
      </c>
      <c r="BQ37" s="111"/>
      <c r="BR37" s="112" t="str">
        <f t="shared" si="90"/>
        <v>x</v>
      </c>
      <c r="BS37" s="112" t="str">
        <f t="shared" si="143"/>
        <v>x</v>
      </c>
      <c r="BT37" s="111"/>
      <c r="BU37" s="112" t="str">
        <f t="shared" si="91"/>
        <v>x</v>
      </c>
      <c r="BV37" s="112" t="str">
        <f t="shared" si="144"/>
        <v>x</v>
      </c>
      <c r="BW37" s="112"/>
      <c r="BX37" s="112"/>
      <c r="BY37" s="112" t="str">
        <f t="shared" si="145"/>
        <v>x</v>
      </c>
      <c r="BZ37" s="112" t="str">
        <f t="shared" si="92"/>
        <v>x</v>
      </c>
      <c r="CA37" s="112" t="str">
        <f t="shared" si="93"/>
        <v>x</v>
      </c>
      <c r="CB37" s="112" t="str">
        <f t="shared" si="94"/>
        <v>x</v>
      </c>
      <c r="CC37" s="112"/>
      <c r="CD37" s="112"/>
      <c r="CE37" s="112" t="str">
        <f t="shared" si="146"/>
        <v>x</v>
      </c>
      <c r="CF37" s="112" t="str">
        <f t="shared" si="147"/>
        <v>x</v>
      </c>
      <c r="CG37" s="112" t="str">
        <f t="shared" si="148"/>
        <v>x</v>
      </c>
      <c r="CH37" s="112"/>
      <c r="CI37" s="112" t="str">
        <f t="shared" si="149"/>
        <v>x</v>
      </c>
      <c r="CJ37" s="112" t="str">
        <f t="shared" si="95"/>
        <v>x</v>
      </c>
      <c r="CK37" s="112" t="str">
        <f t="shared" si="150"/>
        <v>x</v>
      </c>
      <c r="CL37" s="112"/>
      <c r="CM37" s="112"/>
      <c r="CN37" s="112"/>
      <c r="CO37" s="112" t="str">
        <f t="shared" si="151"/>
        <v>x</v>
      </c>
      <c r="CP37" s="112"/>
      <c r="CQ37" s="112" t="str">
        <f t="shared" si="152"/>
        <v>x</v>
      </c>
      <c r="CR37" s="112"/>
      <c r="CS37" s="112"/>
      <c r="CT37" s="112" t="str">
        <f t="shared" si="153"/>
        <v>x</v>
      </c>
      <c r="CU37" s="112"/>
      <c r="CV37" s="112"/>
      <c r="CW37" s="112"/>
      <c r="CX37" s="112" t="str">
        <f t="shared" si="154"/>
        <v>x</v>
      </c>
      <c r="CY37" s="112"/>
      <c r="CZ37" s="112" t="str">
        <f t="shared" si="96"/>
        <v>x</v>
      </c>
      <c r="DA37" s="112"/>
      <c r="DB37" s="115" t="str">
        <f t="shared" si="155"/>
        <v>x</v>
      </c>
      <c r="DC37" s="112"/>
      <c r="DD37" s="112"/>
      <c r="DE37" s="112" t="str">
        <f t="shared" si="97"/>
        <v>x</v>
      </c>
      <c r="DF37" s="115" t="str">
        <f t="shared" si="98"/>
        <v>x</v>
      </c>
      <c r="DG37" s="112" t="str">
        <f t="shared" si="99"/>
        <v>x</v>
      </c>
      <c r="DH37" s="112" t="str">
        <f t="shared" si="100"/>
        <v>x</v>
      </c>
      <c r="DI37" s="112" t="str">
        <f t="shared" si="156"/>
        <v>x</v>
      </c>
      <c r="DJ37" s="112"/>
      <c r="DK37" s="112" t="str">
        <f t="shared" si="157"/>
        <v>x</v>
      </c>
      <c r="DL37" s="112"/>
      <c r="DM37" s="112"/>
      <c r="DN37" s="112" t="str">
        <f t="shared" si="158"/>
        <v>x</v>
      </c>
      <c r="DO37" s="111"/>
      <c r="DP37" s="112" t="str">
        <f t="shared" si="159"/>
        <v>x</v>
      </c>
      <c r="DQ37" s="112" t="str">
        <f t="shared" si="160"/>
        <v>x</v>
      </c>
      <c r="DR37" s="112" t="str">
        <f t="shared" si="161"/>
        <v>x</v>
      </c>
      <c r="DS37" s="112" t="str">
        <f t="shared" si="162"/>
        <v>x</v>
      </c>
      <c r="DT37" s="112"/>
      <c r="DU37" s="112" t="str">
        <f t="shared" si="163"/>
        <v>x</v>
      </c>
      <c r="DV37" s="112"/>
      <c r="DW37" s="112" t="str">
        <f t="shared" si="164"/>
        <v>x</v>
      </c>
      <c r="DX37" s="112" t="str">
        <f t="shared" si="165"/>
        <v>x</v>
      </c>
      <c r="DY37" s="112" t="str">
        <f t="shared" si="166"/>
        <v>x</v>
      </c>
      <c r="DZ37" s="112" t="str">
        <f t="shared" si="167"/>
        <v>x</v>
      </c>
      <c r="EA37" s="112" t="str">
        <f t="shared" si="168"/>
        <v>x</v>
      </c>
      <c r="EB37" s="112" t="str">
        <f t="shared" si="169"/>
        <v>x</v>
      </c>
      <c r="EC37" s="111"/>
      <c r="ED37" s="111"/>
      <c r="EE37" s="111"/>
      <c r="EF37" s="111"/>
      <c r="EG37" s="111"/>
      <c r="EH37" s="111"/>
      <c r="EI37" s="112"/>
      <c r="EJ37" s="112" t="str">
        <f t="shared" si="170"/>
        <v>x</v>
      </c>
      <c r="EK37" s="112" t="str">
        <f t="shared" si="171"/>
        <v>x</v>
      </c>
      <c r="EL37" s="112" t="str">
        <f t="shared" si="172"/>
        <v>x</v>
      </c>
      <c r="EM37" s="112" t="str">
        <f t="shared" si="173"/>
        <v>x</v>
      </c>
      <c r="EN37" s="112" t="str">
        <f t="shared" si="174"/>
        <v>x</v>
      </c>
      <c r="EO37" s="117" t="str">
        <f t="shared" si="101"/>
        <v>x</v>
      </c>
      <c r="EP37" s="117" t="str">
        <f t="shared" si="175"/>
        <v>x</v>
      </c>
      <c r="EQ37" s="112" t="str">
        <f t="shared" si="176"/>
        <v>x</v>
      </c>
      <c r="ER37" s="112"/>
      <c r="ES37" s="112" t="str">
        <f t="shared" si="102"/>
        <v>x</v>
      </c>
      <c r="ET37" s="112" t="str">
        <f t="shared" si="177"/>
        <v>x</v>
      </c>
      <c r="EU37" s="112" t="str">
        <f t="shared" si="178"/>
        <v>x</v>
      </c>
      <c r="EV37" s="112" t="str">
        <f t="shared" si="103"/>
        <v>x</v>
      </c>
      <c r="EW37" s="112" t="str">
        <f t="shared" si="179"/>
        <v>x</v>
      </c>
      <c r="EX37" s="112" t="str">
        <f t="shared" si="180"/>
        <v>x</v>
      </c>
      <c r="EY37" s="112" t="str">
        <f t="shared" si="181"/>
        <v>x</v>
      </c>
      <c r="EZ37" s="112"/>
      <c r="FA37" s="112" t="str">
        <f t="shared" si="182"/>
        <v>x</v>
      </c>
      <c r="FB37" s="111"/>
      <c r="FC37" s="112" t="str">
        <f t="shared" si="104"/>
        <v>x</v>
      </c>
      <c r="FD37" s="112" t="str">
        <f t="shared" si="105"/>
        <v>x</v>
      </c>
      <c r="FE37" s="112" t="str">
        <f t="shared" si="106"/>
        <v>x</v>
      </c>
      <c r="FF37" s="112" t="str">
        <f t="shared" si="107"/>
        <v>x</v>
      </c>
      <c r="FG37" s="111"/>
      <c r="FH37" s="111"/>
      <c r="FI37" s="112" t="str">
        <f t="shared" si="183"/>
        <v>x</v>
      </c>
      <c r="FJ37" s="112" t="str">
        <f t="shared" si="184"/>
        <v>x</v>
      </c>
      <c r="FK37" s="112" t="str">
        <f t="shared" si="185"/>
        <v>x</v>
      </c>
      <c r="FL37" s="112"/>
      <c r="FM37" s="112" t="str">
        <f t="shared" si="186"/>
        <v>x</v>
      </c>
      <c r="FN37" s="112"/>
      <c r="FO37" s="112" t="str">
        <f t="shared" si="187"/>
        <v>x</v>
      </c>
      <c r="FP37" s="112" t="str">
        <f t="shared" si="188"/>
        <v>x</v>
      </c>
      <c r="FQ37" s="112" t="str">
        <f t="shared" si="189"/>
        <v>x</v>
      </c>
      <c r="FR37" s="112" t="str">
        <f t="shared" si="190"/>
        <v>x</v>
      </c>
      <c r="FS37" s="112" t="str">
        <f t="shared" si="191"/>
        <v>x</v>
      </c>
      <c r="FT37" s="112" t="str">
        <f t="shared" si="192"/>
        <v>x</v>
      </c>
      <c r="FU37" s="112" t="str">
        <f t="shared" si="193"/>
        <v>x</v>
      </c>
      <c r="FV37" s="112" t="str">
        <f t="shared" si="194"/>
        <v>x</v>
      </c>
      <c r="FW37" s="112" t="str">
        <f t="shared" si="195"/>
        <v>x</v>
      </c>
      <c r="FX37" s="112" t="str">
        <f t="shared" si="196"/>
        <v>x</v>
      </c>
      <c r="FY37" s="112" t="str">
        <f t="shared" si="197"/>
        <v>x</v>
      </c>
      <c r="FZ37" s="112"/>
      <c r="GA37" s="112" t="str">
        <f t="shared" si="198"/>
        <v>x</v>
      </c>
      <c r="GB37" s="112"/>
      <c r="GC37" s="112" t="str">
        <f t="shared" si="199"/>
        <v>x</v>
      </c>
      <c r="GD37" s="112"/>
      <c r="GE37" s="112"/>
      <c r="GF37" s="112"/>
      <c r="GG37" s="112"/>
      <c r="GH37" s="112" t="str">
        <f t="shared" si="200"/>
        <v>x</v>
      </c>
      <c r="GI37" s="112" t="str">
        <f t="shared" si="201"/>
        <v>x</v>
      </c>
      <c r="GJ37" s="111"/>
      <c r="GK37" s="111"/>
      <c r="GL37" s="112" t="str">
        <f t="shared" si="202"/>
        <v>x</v>
      </c>
      <c r="GM37" s="112"/>
      <c r="GN37" s="112" t="str">
        <f t="shared" si="203"/>
        <v>x</v>
      </c>
      <c r="GO37" s="112" t="str">
        <f t="shared" si="204"/>
        <v>x</v>
      </c>
      <c r="GP37" s="112"/>
      <c r="GQ37" s="112" t="str">
        <f t="shared" si="205"/>
        <v>x</v>
      </c>
      <c r="GR37" s="112" t="str">
        <f t="shared" si="206"/>
        <v>x</v>
      </c>
      <c r="GS37" s="112"/>
      <c r="GT37" s="112" t="str">
        <f t="shared" si="207"/>
        <v>x</v>
      </c>
      <c r="GU37" s="112"/>
      <c r="GV37" s="112"/>
      <c r="GW37" s="112" t="str">
        <f t="shared" si="208"/>
        <v>x</v>
      </c>
      <c r="GX37" s="112"/>
      <c r="GY37" s="112"/>
      <c r="GZ37" s="112"/>
      <c r="HA37" s="112"/>
      <c r="HB37" s="112" t="str">
        <f t="shared" si="48"/>
        <v>x</v>
      </c>
      <c r="HC37" s="112" t="str">
        <f t="shared" si="209"/>
        <v>x</v>
      </c>
      <c r="HD37" s="112" t="str">
        <f t="shared" si="210"/>
        <v>x</v>
      </c>
      <c r="HE37" s="112" t="str">
        <f t="shared" si="211"/>
        <v>x</v>
      </c>
      <c r="HF37" s="112" t="str">
        <f t="shared" si="212"/>
        <v>x</v>
      </c>
      <c r="HG37" s="112"/>
      <c r="HH37" s="112"/>
      <c r="HI37" s="112" t="str">
        <f t="shared" si="213"/>
        <v>x</v>
      </c>
      <c r="HJ37" s="112"/>
      <c r="HK37" s="112" t="str">
        <f t="shared" si="214"/>
        <v>x</v>
      </c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 t="str">
        <f t="shared" si="215"/>
        <v>x</v>
      </c>
      <c r="HX37" s="112" t="str">
        <f t="shared" si="108"/>
        <v>x</v>
      </c>
      <c r="HY37" s="112" t="str">
        <f t="shared" si="109"/>
        <v>x</v>
      </c>
      <c r="HZ37" s="112"/>
      <c r="IA37" s="112"/>
      <c r="IB37" s="112"/>
      <c r="IC37" s="112" t="str">
        <f t="shared" si="216"/>
        <v>x</v>
      </c>
      <c r="ID37" s="112"/>
      <c r="IE37" s="112"/>
      <c r="IF37" s="112"/>
      <c r="IG37" s="111"/>
      <c r="IH37" s="112"/>
      <c r="II37" s="112"/>
      <c r="IJ37" s="112" t="str">
        <f t="shared" si="217"/>
        <v>x</v>
      </c>
      <c r="IK37" s="112" t="str">
        <f t="shared" si="218"/>
        <v>x</v>
      </c>
      <c r="IL37" s="111"/>
      <c r="IM37" s="112" t="str">
        <f t="shared" si="219"/>
        <v>x</v>
      </c>
      <c r="IN37" s="112"/>
      <c r="IO37" s="111"/>
      <c r="IP37" s="112" t="str">
        <f t="shared" si="220"/>
        <v>x</v>
      </c>
      <c r="IQ37" s="112" t="str">
        <f t="shared" si="221"/>
        <v>x</v>
      </c>
      <c r="IR37" s="111"/>
      <c r="IS37" s="111"/>
      <c r="IT37" s="111"/>
      <c r="IU37" s="112" t="str">
        <f t="shared" si="222"/>
        <v>x</v>
      </c>
      <c r="IV37" s="112" t="str">
        <f t="shared" si="223"/>
        <v>x</v>
      </c>
      <c r="IW37" s="112"/>
      <c r="IX37" s="112" t="str">
        <f t="shared" si="224"/>
        <v>x</v>
      </c>
      <c r="IY37" s="111"/>
      <c r="IZ37" s="112" t="str">
        <f t="shared" si="225"/>
        <v>x</v>
      </c>
      <c r="JA37" s="111"/>
      <c r="JB37" s="112"/>
      <c r="JC37" s="111"/>
      <c r="JD37" s="112"/>
      <c r="JE37" s="112"/>
      <c r="JF37" s="112" t="str">
        <f t="shared" si="226"/>
        <v>x</v>
      </c>
      <c r="JG37" s="112" t="str">
        <f t="shared" si="227"/>
        <v>x</v>
      </c>
      <c r="JH37" s="111"/>
      <c r="JI37" s="112"/>
      <c r="JJ37" s="112" t="str">
        <f t="shared" si="228"/>
        <v>x</v>
      </c>
      <c r="JK37" s="112" t="str">
        <f t="shared" si="229"/>
        <v>x</v>
      </c>
      <c r="JL37" s="112" t="str">
        <f t="shared" si="230"/>
        <v>x</v>
      </c>
      <c r="JM37" s="112"/>
      <c r="JN37" s="112"/>
      <c r="JO37" s="112"/>
      <c r="JP37" s="112"/>
      <c r="JQ37" s="112" t="str">
        <f t="shared" si="110"/>
        <v>x</v>
      </c>
      <c r="JR37" s="112"/>
      <c r="JS37" s="112" t="str">
        <f t="shared" si="231"/>
        <v>x</v>
      </c>
      <c r="JT37" s="111"/>
      <c r="JU37" s="111"/>
      <c r="JV37" s="112"/>
      <c r="JW37" s="112"/>
      <c r="JX37" s="112"/>
      <c r="JY37" s="112"/>
      <c r="JZ37" s="112" t="str">
        <f t="shared" si="232"/>
        <v>x</v>
      </c>
      <c r="KA37" s="112" t="str">
        <f t="shared" si="233"/>
        <v>x</v>
      </c>
      <c r="KB37" s="112" t="str">
        <f t="shared" si="234"/>
        <v>x</v>
      </c>
      <c r="KC37" s="112" t="str">
        <f t="shared" si="235"/>
        <v>x</v>
      </c>
      <c r="KD37" s="112" t="str">
        <f t="shared" si="111"/>
        <v>x</v>
      </c>
      <c r="KE37" s="112" t="str">
        <f t="shared" si="236"/>
        <v>x</v>
      </c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1"/>
      <c r="LC37" s="111"/>
      <c r="LD37" s="111"/>
      <c r="LE37" s="111"/>
      <c r="LF37" s="112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2"/>
      <c r="LT37" s="111"/>
      <c r="LU37" s="111"/>
      <c r="LV37" s="111"/>
      <c r="LW37" s="111"/>
      <c r="LX37" s="111"/>
      <c r="LY37" s="112" t="str">
        <f t="shared" si="237"/>
        <v>x</v>
      </c>
      <c r="LZ37" s="111"/>
      <c r="MA37" s="111"/>
      <c r="MB37" s="111"/>
      <c r="MC37" s="112" t="str">
        <f t="shared" si="238"/>
        <v>x</v>
      </c>
      <c r="MD37" s="111"/>
      <c r="ME37" s="112" t="str">
        <f t="shared" si="239"/>
        <v>x</v>
      </c>
      <c r="MF37" s="112" t="str">
        <f t="shared" si="240"/>
        <v>x</v>
      </c>
      <c r="MG37" s="112" t="str">
        <f t="shared" si="241"/>
        <v>x</v>
      </c>
      <c r="MH37" s="112" t="str">
        <f t="shared" si="112"/>
        <v>x</v>
      </c>
    </row>
    <row r="38" spans="1:346" x14ac:dyDescent="0.25">
      <c r="A38" s="110" t="s">
        <v>1</v>
      </c>
      <c r="B38" s="101" t="s">
        <v>60</v>
      </c>
      <c r="C38" s="102"/>
      <c r="D38" s="102"/>
      <c r="E38" s="102"/>
      <c r="F38" s="102"/>
      <c r="G38" s="102"/>
      <c r="H38" s="102"/>
      <c r="I38" s="102"/>
      <c r="J38" s="103"/>
      <c r="K38" s="112" t="str">
        <f t="shared" si="113"/>
        <v>x</v>
      </c>
      <c r="L38" s="111"/>
      <c r="M38" s="112" t="str">
        <f t="shared" si="84"/>
        <v>x</v>
      </c>
      <c r="N38" s="112" t="str">
        <f t="shared" si="114"/>
        <v>x</v>
      </c>
      <c r="O38" s="112" t="str">
        <f t="shared" si="115"/>
        <v>x</v>
      </c>
      <c r="P38" s="112" t="str">
        <f t="shared" si="116"/>
        <v>x</v>
      </c>
      <c r="Q38" s="112" t="str">
        <f t="shared" si="117"/>
        <v>x</v>
      </c>
      <c r="R38" s="112"/>
      <c r="S38" s="112" t="str">
        <f t="shared" si="118"/>
        <v>x</v>
      </c>
      <c r="T38" s="112" t="str">
        <f t="shared" si="119"/>
        <v>x</v>
      </c>
      <c r="U38" s="112"/>
      <c r="V38" s="112"/>
      <c r="W38" s="112" t="str">
        <f t="shared" si="120"/>
        <v>x</v>
      </c>
      <c r="X38" s="112" t="str">
        <f t="shared" si="121"/>
        <v>x</v>
      </c>
      <c r="Y38" s="112"/>
      <c r="Z38" s="112"/>
      <c r="AA38" s="112"/>
      <c r="AB38" s="112"/>
      <c r="AC38" s="112" t="str">
        <f t="shared" si="122"/>
        <v>x</v>
      </c>
      <c r="AD38" s="112"/>
      <c r="AE38" s="112" t="str">
        <f t="shared" si="123"/>
        <v>x</v>
      </c>
      <c r="AF38" s="112" t="str">
        <f t="shared" si="124"/>
        <v>x</v>
      </c>
      <c r="AG38" s="111"/>
      <c r="AH38" s="112" t="str">
        <f t="shared" si="125"/>
        <v>x</v>
      </c>
      <c r="AI38" s="112" t="str">
        <f t="shared" si="126"/>
        <v>x</v>
      </c>
      <c r="AJ38" s="112" t="str">
        <f t="shared" si="127"/>
        <v>x</v>
      </c>
      <c r="AK38" s="112" t="str">
        <f t="shared" si="128"/>
        <v>x</v>
      </c>
      <c r="AL38" s="112"/>
      <c r="AM38" s="112" t="str">
        <f t="shared" si="129"/>
        <v>x</v>
      </c>
      <c r="AN38" s="112"/>
      <c r="AO38" s="112"/>
      <c r="AP38" s="112"/>
      <c r="AQ38" s="112"/>
      <c r="AR38" s="112"/>
      <c r="AS38" s="112" t="str">
        <f t="shared" si="130"/>
        <v>x</v>
      </c>
      <c r="AT38" s="112"/>
      <c r="AU38" s="114" t="str">
        <f t="shared" si="131"/>
        <v>x</v>
      </c>
      <c r="AV38" s="114" t="str">
        <f t="shared" si="85"/>
        <v>x</v>
      </c>
      <c r="AW38" s="114" t="str">
        <f t="shared" si="86"/>
        <v>x</v>
      </c>
      <c r="AX38" s="112" t="str">
        <f t="shared" si="132"/>
        <v>x</v>
      </c>
      <c r="AY38" s="111"/>
      <c r="AZ38" s="112" t="str">
        <f t="shared" si="87"/>
        <v>x</v>
      </c>
      <c r="BA38" s="112" t="str">
        <f t="shared" si="88"/>
        <v>x</v>
      </c>
      <c r="BB38" s="112"/>
      <c r="BC38" s="112" t="str">
        <f t="shared" si="133"/>
        <v>x</v>
      </c>
      <c r="BD38" s="112" t="str">
        <f t="shared" si="134"/>
        <v>x</v>
      </c>
      <c r="BE38" s="112" t="str">
        <f t="shared" si="135"/>
        <v>x</v>
      </c>
      <c r="BF38" s="111"/>
      <c r="BG38" s="112" t="str">
        <f t="shared" si="136"/>
        <v>x</v>
      </c>
      <c r="BH38" s="112" t="str">
        <f t="shared" si="137"/>
        <v>x</v>
      </c>
      <c r="BI38" s="112" t="str">
        <f t="shared" si="138"/>
        <v>x</v>
      </c>
      <c r="BJ38" s="112" t="str">
        <f t="shared" si="139"/>
        <v>x</v>
      </c>
      <c r="BK38" s="112" t="str">
        <f t="shared" si="140"/>
        <v>x</v>
      </c>
      <c r="BL38" s="112" t="str">
        <f t="shared" si="89"/>
        <v>x</v>
      </c>
      <c r="BM38" s="112" t="str">
        <f t="shared" si="141"/>
        <v>x</v>
      </c>
      <c r="BN38" s="111"/>
      <c r="BO38" s="111"/>
      <c r="BP38" s="112" t="str">
        <f t="shared" si="142"/>
        <v>x</v>
      </c>
      <c r="BQ38" s="111"/>
      <c r="BR38" s="112" t="str">
        <f t="shared" si="90"/>
        <v>x</v>
      </c>
      <c r="BS38" s="112" t="str">
        <f t="shared" si="143"/>
        <v>x</v>
      </c>
      <c r="BT38" s="111"/>
      <c r="BU38" s="112" t="str">
        <f t="shared" si="91"/>
        <v>x</v>
      </c>
      <c r="BV38" s="112" t="str">
        <f t="shared" si="144"/>
        <v>x</v>
      </c>
      <c r="BW38" s="112"/>
      <c r="BX38" s="112"/>
      <c r="BY38" s="112" t="str">
        <f t="shared" si="145"/>
        <v>x</v>
      </c>
      <c r="BZ38" s="112" t="str">
        <f t="shared" si="92"/>
        <v>x</v>
      </c>
      <c r="CA38" s="112" t="str">
        <f t="shared" si="93"/>
        <v>x</v>
      </c>
      <c r="CB38" s="112" t="str">
        <f t="shared" si="94"/>
        <v>x</v>
      </c>
      <c r="CC38" s="112"/>
      <c r="CD38" s="112"/>
      <c r="CE38" s="112" t="str">
        <f t="shared" si="146"/>
        <v>x</v>
      </c>
      <c r="CF38" s="112" t="str">
        <f t="shared" si="147"/>
        <v>x</v>
      </c>
      <c r="CG38" s="112" t="str">
        <f t="shared" si="148"/>
        <v>x</v>
      </c>
      <c r="CH38" s="112"/>
      <c r="CI38" s="112" t="str">
        <f t="shared" si="149"/>
        <v>x</v>
      </c>
      <c r="CJ38" s="112" t="str">
        <f t="shared" si="95"/>
        <v>x</v>
      </c>
      <c r="CK38" s="112" t="str">
        <f t="shared" si="150"/>
        <v>x</v>
      </c>
      <c r="CL38" s="112"/>
      <c r="CM38" s="112"/>
      <c r="CN38" s="112"/>
      <c r="CO38" s="112" t="str">
        <f t="shared" si="151"/>
        <v>x</v>
      </c>
      <c r="CP38" s="112"/>
      <c r="CQ38" s="112" t="str">
        <f t="shared" si="152"/>
        <v>x</v>
      </c>
      <c r="CR38" s="112"/>
      <c r="CS38" s="112"/>
      <c r="CT38" s="112" t="str">
        <f t="shared" si="153"/>
        <v>x</v>
      </c>
      <c r="CU38" s="112"/>
      <c r="CV38" s="112"/>
      <c r="CW38" s="112"/>
      <c r="CX38" s="112" t="str">
        <f t="shared" si="154"/>
        <v>x</v>
      </c>
      <c r="CY38" s="112"/>
      <c r="CZ38" s="112" t="str">
        <f t="shared" si="96"/>
        <v>x</v>
      </c>
      <c r="DA38" s="112"/>
      <c r="DB38" s="115" t="str">
        <f t="shared" si="155"/>
        <v>x</v>
      </c>
      <c r="DC38" s="112"/>
      <c r="DD38" s="112"/>
      <c r="DE38" s="112" t="str">
        <f t="shared" si="97"/>
        <v>x</v>
      </c>
      <c r="DF38" s="115" t="str">
        <f t="shared" si="98"/>
        <v>x</v>
      </c>
      <c r="DG38" s="112" t="str">
        <f t="shared" si="99"/>
        <v>x</v>
      </c>
      <c r="DH38" s="112" t="str">
        <f t="shared" si="100"/>
        <v>x</v>
      </c>
      <c r="DI38" s="112" t="str">
        <f t="shared" si="156"/>
        <v>x</v>
      </c>
      <c r="DJ38" s="112"/>
      <c r="DK38" s="112" t="str">
        <f t="shared" si="157"/>
        <v>x</v>
      </c>
      <c r="DL38" s="112"/>
      <c r="DM38" s="112"/>
      <c r="DN38" s="112" t="str">
        <f t="shared" si="158"/>
        <v>x</v>
      </c>
      <c r="DO38" s="111"/>
      <c r="DP38" s="112" t="str">
        <f t="shared" si="159"/>
        <v>x</v>
      </c>
      <c r="DQ38" s="112" t="str">
        <f t="shared" si="160"/>
        <v>x</v>
      </c>
      <c r="DR38" s="112" t="str">
        <f t="shared" si="161"/>
        <v>x</v>
      </c>
      <c r="DS38" s="112" t="str">
        <f t="shared" si="162"/>
        <v>x</v>
      </c>
      <c r="DT38" s="112"/>
      <c r="DU38" s="112" t="str">
        <f t="shared" si="163"/>
        <v>x</v>
      </c>
      <c r="DV38" s="112"/>
      <c r="DW38" s="112" t="str">
        <f t="shared" si="164"/>
        <v>x</v>
      </c>
      <c r="DX38" s="112" t="str">
        <f t="shared" si="165"/>
        <v>x</v>
      </c>
      <c r="DY38" s="112" t="str">
        <f t="shared" si="166"/>
        <v>x</v>
      </c>
      <c r="DZ38" s="112" t="str">
        <f t="shared" si="167"/>
        <v>x</v>
      </c>
      <c r="EA38" s="112" t="str">
        <f t="shared" si="168"/>
        <v>x</v>
      </c>
      <c r="EB38" s="112" t="str">
        <f t="shared" si="169"/>
        <v>x</v>
      </c>
      <c r="EC38" s="111"/>
      <c r="ED38" s="111"/>
      <c r="EE38" s="111"/>
      <c r="EF38" s="111"/>
      <c r="EG38" s="111"/>
      <c r="EH38" s="111"/>
      <c r="EI38" s="112"/>
      <c r="EJ38" s="112" t="str">
        <f t="shared" si="170"/>
        <v>x</v>
      </c>
      <c r="EK38" s="112" t="str">
        <f t="shared" si="171"/>
        <v>x</v>
      </c>
      <c r="EL38" s="112" t="str">
        <f t="shared" si="172"/>
        <v>x</v>
      </c>
      <c r="EM38" s="112" t="str">
        <f t="shared" si="173"/>
        <v>x</v>
      </c>
      <c r="EN38" s="112" t="str">
        <f t="shared" si="174"/>
        <v>x</v>
      </c>
      <c r="EO38" s="117" t="str">
        <f t="shared" si="101"/>
        <v>x</v>
      </c>
      <c r="EP38" s="117" t="str">
        <f t="shared" si="175"/>
        <v>x</v>
      </c>
      <c r="EQ38" s="112" t="str">
        <f t="shared" si="176"/>
        <v>x</v>
      </c>
      <c r="ER38" s="112"/>
      <c r="ES38" s="112" t="str">
        <f t="shared" si="102"/>
        <v>x</v>
      </c>
      <c r="ET38" s="112" t="str">
        <f t="shared" si="177"/>
        <v>x</v>
      </c>
      <c r="EU38" s="112" t="str">
        <f t="shared" si="178"/>
        <v>x</v>
      </c>
      <c r="EV38" s="112" t="str">
        <f t="shared" si="103"/>
        <v>x</v>
      </c>
      <c r="EW38" s="112" t="str">
        <f t="shared" si="179"/>
        <v>x</v>
      </c>
      <c r="EX38" s="112" t="str">
        <f t="shared" si="180"/>
        <v>x</v>
      </c>
      <c r="EY38" s="112" t="str">
        <f t="shared" si="181"/>
        <v>x</v>
      </c>
      <c r="EZ38" s="112"/>
      <c r="FA38" s="112" t="str">
        <f t="shared" si="182"/>
        <v>x</v>
      </c>
      <c r="FB38" s="111"/>
      <c r="FC38" s="112" t="str">
        <f t="shared" si="104"/>
        <v>x</v>
      </c>
      <c r="FD38" s="112" t="str">
        <f t="shared" si="105"/>
        <v>x</v>
      </c>
      <c r="FE38" s="112" t="str">
        <f t="shared" si="106"/>
        <v>x</v>
      </c>
      <c r="FF38" s="112" t="str">
        <f t="shared" si="107"/>
        <v>x</v>
      </c>
      <c r="FG38" s="111"/>
      <c r="FH38" s="111"/>
      <c r="FI38" s="112" t="str">
        <f t="shared" si="183"/>
        <v>x</v>
      </c>
      <c r="FJ38" s="112" t="str">
        <f t="shared" si="184"/>
        <v>x</v>
      </c>
      <c r="FK38" s="112" t="str">
        <f t="shared" si="185"/>
        <v>x</v>
      </c>
      <c r="FL38" s="112"/>
      <c r="FM38" s="112" t="str">
        <f t="shared" si="186"/>
        <v>x</v>
      </c>
      <c r="FN38" s="112"/>
      <c r="FO38" s="112" t="str">
        <f t="shared" si="187"/>
        <v>x</v>
      </c>
      <c r="FP38" s="112" t="str">
        <f t="shared" si="188"/>
        <v>x</v>
      </c>
      <c r="FQ38" s="112" t="str">
        <f t="shared" si="189"/>
        <v>x</v>
      </c>
      <c r="FR38" s="112" t="str">
        <f t="shared" si="190"/>
        <v>x</v>
      </c>
      <c r="FS38" s="112" t="str">
        <f t="shared" si="191"/>
        <v>x</v>
      </c>
      <c r="FT38" s="112" t="str">
        <f t="shared" si="192"/>
        <v>x</v>
      </c>
      <c r="FU38" s="112" t="str">
        <f t="shared" si="193"/>
        <v>x</v>
      </c>
      <c r="FV38" s="112" t="str">
        <f t="shared" si="194"/>
        <v>x</v>
      </c>
      <c r="FW38" s="112" t="str">
        <f t="shared" si="195"/>
        <v>x</v>
      </c>
      <c r="FX38" s="112" t="str">
        <f t="shared" si="196"/>
        <v>x</v>
      </c>
      <c r="FY38" s="112" t="str">
        <f t="shared" si="197"/>
        <v>x</v>
      </c>
      <c r="FZ38" s="112"/>
      <c r="GA38" s="112" t="str">
        <f t="shared" si="198"/>
        <v>x</v>
      </c>
      <c r="GB38" s="112"/>
      <c r="GC38" s="112" t="str">
        <f t="shared" si="199"/>
        <v>x</v>
      </c>
      <c r="GD38" s="112"/>
      <c r="GE38" s="112"/>
      <c r="GF38" s="112"/>
      <c r="GG38" s="112"/>
      <c r="GH38" s="112" t="str">
        <f t="shared" si="200"/>
        <v>x</v>
      </c>
      <c r="GI38" s="112" t="str">
        <f t="shared" si="201"/>
        <v>x</v>
      </c>
      <c r="GJ38" s="111"/>
      <c r="GK38" s="111"/>
      <c r="GL38" s="112" t="str">
        <f t="shared" si="202"/>
        <v>x</v>
      </c>
      <c r="GM38" s="112"/>
      <c r="GN38" s="112" t="str">
        <f t="shared" si="203"/>
        <v>x</v>
      </c>
      <c r="GO38" s="112" t="str">
        <f t="shared" si="204"/>
        <v>x</v>
      </c>
      <c r="GP38" s="112"/>
      <c r="GQ38" s="112" t="str">
        <f t="shared" si="205"/>
        <v>x</v>
      </c>
      <c r="GR38" s="112" t="str">
        <f t="shared" si="206"/>
        <v>x</v>
      </c>
      <c r="GS38" s="112"/>
      <c r="GT38" s="112" t="str">
        <f t="shared" si="207"/>
        <v>x</v>
      </c>
      <c r="GU38" s="112"/>
      <c r="GV38" s="112"/>
      <c r="GW38" s="112" t="str">
        <f t="shared" si="208"/>
        <v>x</v>
      </c>
      <c r="GX38" s="112"/>
      <c r="GY38" s="112"/>
      <c r="GZ38" s="112"/>
      <c r="HA38" s="112"/>
      <c r="HB38" s="112" t="str">
        <f t="shared" si="48"/>
        <v>x</v>
      </c>
      <c r="HC38" s="112" t="str">
        <f t="shared" si="209"/>
        <v>x</v>
      </c>
      <c r="HD38" s="112" t="str">
        <f t="shared" si="210"/>
        <v>x</v>
      </c>
      <c r="HE38" s="112" t="str">
        <f t="shared" si="211"/>
        <v>x</v>
      </c>
      <c r="HF38" s="112" t="str">
        <f t="shared" si="212"/>
        <v>x</v>
      </c>
      <c r="HG38" s="112"/>
      <c r="HH38" s="112"/>
      <c r="HI38" s="112" t="str">
        <f t="shared" si="213"/>
        <v>x</v>
      </c>
      <c r="HJ38" s="112"/>
      <c r="HK38" s="112" t="str">
        <f t="shared" si="214"/>
        <v>x</v>
      </c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 t="str">
        <f t="shared" si="215"/>
        <v>x</v>
      </c>
      <c r="HX38" s="112" t="str">
        <f t="shared" si="108"/>
        <v>x</v>
      </c>
      <c r="HY38" s="112" t="str">
        <f t="shared" si="109"/>
        <v>x</v>
      </c>
      <c r="HZ38" s="112"/>
      <c r="IA38" s="112"/>
      <c r="IB38" s="112"/>
      <c r="IC38" s="112" t="str">
        <f t="shared" si="216"/>
        <v>x</v>
      </c>
      <c r="ID38" s="112"/>
      <c r="IE38" s="112"/>
      <c r="IF38" s="112"/>
      <c r="IG38" s="111"/>
      <c r="IH38" s="112"/>
      <c r="II38" s="112"/>
      <c r="IJ38" s="112" t="str">
        <f t="shared" si="217"/>
        <v>x</v>
      </c>
      <c r="IK38" s="112" t="str">
        <f t="shared" si="218"/>
        <v>x</v>
      </c>
      <c r="IL38" s="111"/>
      <c r="IM38" s="112" t="str">
        <f t="shared" si="219"/>
        <v>x</v>
      </c>
      <c r="IN38" s="112"/>
      <c r="IO38" s="111"/>
      <c r="IP38" s="112" t="str">
        <f t="shared" si="220"/>
        <v>x</v>
      </c>
      <c r="IQ38" s="112" t="str">
        <f t="shared" si="221"/>
        <v>x</v>
      </c>
      <c r="IR38" s="111"/>
      <c r="IS38" s="111"/>
      <c r="IT38" s="111"/>
      <c r="IU38" s="112" t="str">
        <f t="shared" si="222"/>
        <v>x</v>
      </c>
      <c r="IV38" s="112" t="str">
        <f t="shared" si="223"/>
        <v>x</v>
      </c>
      <c r="IW38" s="112"/>
      <c r="IX38" s="112" t="str">
        <f t="shared" si="224"/>
        <v>x</v>
      </c>
      <c r="IY38" s="111"/>
      <c r="IZ38" s="112" t="str">
        <f t="shared" si="225"/>
        <v>x</v>
      </c>
      <c r="JA38" s="111"/>
      <c r="JB38" s="112"/>
      <c r="JC38" s="111"/>
      <c r="JD38" s="112"/>
      <c r="JE38" s="112"/>
      <c r="JF38" s="112" t="str">
        <f t="shared" si="226"/>
        <v>x</v>
      </c>
      <c r="JG38" s="112" t="str">
        <f t="shared" si="227"/>
        <v>x</v>
      </c>
      <c r="JH38" s="111"/>
      <c r="JI38" s="112"/>
      <c r="JJ38" s="112" t="str">
        <f t="shared" si="228"/>
        <v>x</v>
      </c>
      <c r="JK38" s="112" t="str">
        <f t="shared" si="229"/>
        <v>x</v>
      </c>
      <c r="JL38" s="112" t="str">
        <f t="shared" si="230"/>
        <v>x</v>
      </c>
      <c r="JM38" s="112"/>
      <c r="JN38" s="112"/>
      <c r="JO38" s="112"/>
      <c r="JP38" s="112"/>
      <c r="JQ38" s="112" t="str">
        <f t="shared" si="110"/>
        <v>x</v>
      </c>
      <c r="JR38" s="112"/>
      <c r="JS38" s="112" t="str">
        <f t="shared" si="231"/>
        <v>x</v>
      </c>
      <c r="JT38" s="111"/>
      <c r="JU38" s="111"/>
      <c r="JV38" s="112"/>
      <c r="JW38" s="112"/>
      <c r="JX38" s="112"/>
      <c r="JY38" s="112"/>
      <c r="JZ38" s="112" t="str">
        <f t="shared" si="232"/>
        <v>x</v>
      </c>
      <c r="KA38" s="112" t="str">
        <f t="shared" si="233"/>
        <v>x</v>
      </c>
      <c r="KB38" s="112" t="str">
        <f t="shared" si="234"/>
        <v>x</v>
      </c>
      <c r="KC38" s="112" t="str">
        <f t="shared" si="235"/>
        <v>x</v>
      </c>
      <c r="KD38" s="112" t="str">
        <f t="shared" si="111"/>
        <v>x</v>
      </c>
      <c r="KE38" s="112" t="str">
        <f t="shared" si="236"/>
        <v>x</v>
      </c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1"/>
      <c r="LC38" s="111"/>
      <c r="LD38" s="111"/>
      <c r="LE38" s="111"/>
      <c r="LF38" s="112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2"/>
      <c r="LT38" s="111"/>
      <c r="LU38" s="111"/>
      <c r="LV38" s="111"/>
      <c r="LW38" s="111"/>
      <c r="LX38" s="111"/>
      <c r="LY38" s="112" t="str">
        <f t="shared" si="237"/>
        <v>x</v>
      </c>
      <c r="LZ38" s="111"/>
      <c r="MA38" s="111"/>
      <c r="MB38" s="111"/>
      <c r="MC38" s="112" t="str">
        <f t="shared" si="238"/>
        <v>x</v>
      </c>
      <c r="MD38" s="111"/>
      <c r="ME38" s="112" t="str">
        <f t="shared" si="239"/>
        <v>x</v>
      </c>
      <c r="MF38" s="112" t="str">
        <f t="shared" si="240"/>
        <v>x</v>
      </c>
      <c r="MG38" s="112" t="str">
        <f t="shared" si="241"/>
        <v>x</v>
      </c>
      <c r="MH38" s="112" t="str">
        <f t="shared" si="112"/>
        <v>x</v>
      </c>
    </row>
    <row r="39" spans="1:346" x14ac:dyDescent="0.25">
      <c r="A39" s="110" t="s">
        <v>1</v>
      </c>
      <c r="B39" s="101" t="s">
        <v>61</v>
      </c>
      <c r="C39" s="102"/>
      <c r="D39" s="102"/>
      <c r="E39" s="102"/>
      <c r="F39" s="102"/>
      <c r="G39" s="102"/>
      <c r="H39" s="102"/>
      <c r="I39" s="102"/>
      <c r="J39" s="103"/>
      <c r="K39" s="112" t="str">
        <f t="shared" si="113"/>
        <v>x</v>
      </c>
      <c r="L39" s="111"/>
      <c r="M39" s="112" t="str">
        <f t="shared" si="84"/>
        <v>x</v>
      </c>
      <c r="N39" s="112" t="str">
        <f t="shared" si="114"/>
        <v>x</v>
      </c>
      <c r="O39" s="112" t="str">
        <f t="shared" si="115"/>
        <v>x</v>
      </c>
      <c r="P39" s="112" t="str">
        <f t="shared" si="116"/>
        <v>x</v>
      </c>
      <c r="Q39" s="112" t="str">
        <f t="shared" si="117"/>
        <v>x</v>
      </c>
      <c r="R39" s="112"/>
      <c r="S39" s="112" t="str">
        <f t="shared" si="118"/>
        <v>x</v>
      </c>
      <c r="T39" s="112" t="str">
        <f t="shared" si="119"/>
        <v>x</v>
      </c>
      <c r="U39" s="112"/>
      <c r="V39" s="112"/>
      <c r="W39" s="112" t="str">
        <f t="shared" si="120"/>
        <v>x</v>
      </c>
      <c r="X39" s="112" t="str">
        <f t="shared" si="121"/>
        <v>x</v>
      </c>
      <c r="Y39" s="112"/>
      <c r="Z39" s="112"/>
      <c r="AA39" s="112"/>
      <c r="AB39" s="112"/>
      <c r="AC39" s="112" t="str">
        <f t="shared" si="122"/>
        <v>x</v>
      </c>
      <c r="AD39" s="112"/>
      <c r="AE39" s="112" t="str">
        <f t="shared" si="123"/>
        <v>x</v>
      </c>
      <c r="AF39" s="112" t="str">
        <f t="shared" si="124"/>
        <v>x</v>
      </c>
      <c r="AG39" s="111"/>
      <c r="AH39" s="112" t="str">
        <f t="shared" si="125"/>
        <v>x</v>
      </c>
      <c r="AI39" s="112" t="str">
        <f t="shared" si="126"/>
        <v>x</v>
      </c>
      <c r="AJ39" s="112" t="str">
        <f t="shared" si="127"/>
        <v>x</v>
      </c>
      <c r="AK39" s="112" t="str">
        <f t="shared" si="128"/>
        <v>x</v>
      </c>
      <c r="AL39" s="112"/>
      <c r="AM39" s="112" t="str">
        <f t="shared" si="129"/>
        <v>x</v>
      </c>
      <c r="AN39" s="112"/>
      <c r="AO39" s="112"/>
      <c r="AP39" s="112"/>
      <c r="AQ39" s="112"/>
      <c r="AR39" s="112"/>
      <c r="AS39" s="112" t="str">
        <f t="shared" si="130"/>
        <v>x</v>
      </c>
      <c r="AT39" s="112"/>
      <c r="AU39" s="114" t="str">
        <f t="shared" si="131"/>
        <v>x</v>
      </c>
      <c r="AV39" s="114" t="str">
        <f t="shared" si="85"/>
        <v>x</v>
      </c>
      <c r="AW39" s="114" t="str">
        <f t="shared" si="86"/>
        <v>x</v>
      </c>
      <c r="AX39" s="112" t="str">
        <f t="shared" si="132"/>
        <v>x</v>
      </c>
      <c r="AY39" s="111"/>
      <c r="AZ39" s="112" t="str">
        <f t="shared" si="87"/>
        <v>x</v>
      </c>
      <c r="BA39" s="112" t="str">
        <f t="shared" si="88"/>
        <v>x</v>
      </c>
      <c r="BB39" s="112"/>
      <c r="BC39" s="112" t="str">
        <f t="shared" si="133"/>
        <v>x</v>
      </c>
      <c r="BD39" s="112" t="str">
        <f t="shared" si="134"/>
        <v>x</v>
      </c>
      <c r="BE39" s="112" t="str">
        <f t="shared" si="135"/>
        <v>x</v>
      </c>
      <c r="BF39" s="111"/>
      <c r="BG39" s="112" t="str">
        <f t="shared" si="136"/>
        <v>x</v>
      </c>
      <c r="BH39" s="112" t="str">
        <f t="shared" si="137"/>
        <v>x</v>
      </c>
      <c r="BI39" s="112" t="str">
        <f t="shared" si="138"/>
        <v>x</v>
      </c>
      <c r="BJ39" s="112" t="str">
        <f t="shared" si="139"/>
        <v>x</v>
      </c>
      <c r="BK39" s="112" t="str">
        <f t="shared" si="140"/>
        <v>x</v>
      </c>
      <c r="BL39" s="112" t="str">
        <f t="shared" si="89"/>
        <v>x</v>
      </c>
      <c r="BM39" s="112" t="str">
        <f t="shared" si="141"/>
        <v>x</v>
      </c>
      <c r="BN39" s="111"/>
      <c r="BO39" s="111"/>
      <c r="BP39" s="112" t="str">
        <f t="shared" si="142"/>
        <v>x</v>
      </c>
      <c r="BQ39" s="111"/>
      <c r="BR39" s="112" t="str">
        <f t="shared" si="90"/>
        <v>x</v>
      </c>
      <c r="BS39" s="112" t="str">
        <f t="shared" si="143"/>
        <v>x</v>
      </c>
      <c r="BT39" s="111"/>
      <c r="BU39" s="112" t="str">
        <f t="shared" si="91"/>
        <v>x</v>
      </c>
      <c r="BV39" s="112" t="str">
        <f t="shared" si="144"/>
        <v>x</v>
      </c>
      <c r="BW39" s="112"/>
      <c r="BX39" s="112"/>
      <c r="BY39" s="112" t="str">
        <f t="shared" si="145"/>
        <v>x</v>
      </c>
      <c r="BZ39" s="112" t="str">
        <f t="shared" si="92"/>
        <v>x</v>
      </c>
      <c r="CA39" s="112" t="str">
        <f t="shared" si="93"/>
        <v>x</v>
      </c>
      <c r="CB39" s="112" t="str">
        <f t="shared" si="94"/>
        <v>x</v>
      </c>
      <c r="CC39" s="112"/>
      <c r="CD39" s="112"/>
      <c r="CE39" s="112" t="str">
        <f t="shared" si="146"/>
        <v>x</v>
      </c>
      <c r="CF39" s="112" t="str">
        <f t="shared" si="147"/>
        <v>x</v>
      </c>
      <c r="CG39" s="112" t="str">
        <f t="shared" si="148"/>
        <v>x</v>
      </c>
      <c r="CH39" s="112"/>
      <c r="CI39" s="112" t="str">
        <f t="shared" si="149"/>
        <v>x</v>
      </c>
      <c r="CJ39" s="112" t="str">
        <f t="shared" si="95"/>
        <v>x</v>
      </c>
      <c r="CK39" s="112" t="str">
        <f t="shared" si="150"/>
        <v>x</v>
      </c>
      <c r="CL39" s="112"/>
      <c r="CM39" s="112"/>
      <c r="CN39" s="112"/>
      <c r="CO39" s="112" t="str">
        <f t="shared" si="151"/>
        <v>x</v>
      </c>
      <c r="CP39" s="112"/>
      <c r="CQ39" s="112" t="str">
        <f t="shared" si="152"/>
        <v>x</v>
      </c>
      <c r="CR39" s="112"/>
      <c r="CS39" s="112"/>
      <c r="CT39" s="112" t="str">
        <f t="shared" si="153"/>
        <v>x</v>
      </c>
      <c r="CU39" s="112"/>
      <c r="CV39" s="112"/>
      <c r="CW39" s="112"/>
      <c r="CX39" s="112" t="str">
        <f t="shared" si="154"/>
        <v>x</v>
      </c>
      <c r="CY39" s="112"/>
      <c r="CZ39" s="112" t="str">
        <f t="shared" si="96"/>
        <v>x</v>
      </c>
      <c r="DA39" s="112"/>
      <c r="DB39" s="115" t="str">
        <f t="shared" si="155"/>
        <v>x</v>
      </c>
      <c r="DC39" s="112"/>
      <c r="DD39" s="112"/>
      <c r="DE39" s="112" t="str">
        <f t="shared" si="97"/>
        <v>x</v>
      </c>
      <c r="DF39" s="115" t="str">
        <f t="shared" si="98"/>
        <v>x</v>
      </c>
      <c r="DG39" s="112" t="str">
        <f t="shared" si="99"/>
        <v>x</v>
      </c>
      <c r="DH39" s="112" t="str">
        <f t="shared" si="100"/>
        <v>x</v>
      </c>
      <c r="DI39" s="112" t="str">
        <f t="shared" si="156"/>
        <v>x</v>
      </c>
      <c r="DJ39" s="112"/>
      <c r="DK39" s="112" t="str">
        <f t="shared" si="157"/>
        <v>x</v>
      </c>
      <c r="DL39" s="112"/>
      <c r="DM39" s="112"/>
      <c r="DN39" s="112" t="str">
        <f t="shared" si="158"/>
        <v>x</v>
      </c>
      <c r="DO39" s="111"/>
      <c r="DP39" s="112" t="str">
        <f t="shared" si="159"/>
        <v>x</v>
      </c>
      <c r="DQ39" s="112" t="str">
        <f t="shared" si="160"/>
        <v>x</v>
      </c>
      <c r="DR39" s="112" t="str">
        <f t="shared" si="161"/>
        <v>x</v>
      </c>
      <c r="DS39" s="112" t="str">
        <f t="shared" si="162"/>
        <v>x</v>
      </c>
      <c r="DT39" s="112"/>
      <c r="DU39" s="112" t="str">
        <f t="shared" si="163"/>
        <v>x</v>
      </c>
      <c r="DV39" s="112"/>
      <c r="DW39" s="112" t="str">
        <f t="shared" si="164"/>
        <v>x</v>
      </c>
      <c r="DX39" s="112" t="str">
        <f t="shared" si="165"/>
        <v>x</v>
      </c>
      <c r="DY39" s="112" t="str">
        <f t="shared" si="166"/>
        <v>x</v>
      </c>
      <c r="DZ39" s="112" t="str">
        <f t="shared" si="167"/>
        <v>x</v>
      </c>
      <c r="EA39" s="112" t="str">
        <f t="shared" si="168"/>
        <v>x</v>
      </c>
      <c r="EB39" s="112" t="str">
        <f t="shared" si="169"/>
        <v>x</v>
      </c>
      <c r="EC39" s="111"/>
      <c r="ED39" s="111"/>
      <c r="EE39" s="111"/>
      <c r="EF39" s="111"/>
      <c r="EG39" s="111"/>
      <c r="EH39" s="111"/>
      <c r="EI39" s="112"/>
      <c r="EJ39" s="112" t="str">
        <f t="shared" si="170"/>
        <v>x</v>
      </c>
      <c r="EK39" s="112" t="str">
        <f t="shared" si="171"/>
        <v>x</v>
      </c>
      <c r="EL39" s="112" t="str">
        <f t="shared" si="172"/>
        <v>x</v>
      </c>
      <c r="EM39" s="112" t="str">
        <f t="shared" si="173"/>
        <v>x</v>
      </c>
      <c r="EN39" s="112" t="str">
        <f t="shared" si="174"/>
        <v>x</v>
      </c>
      <c r="EO39" s="117" t="str">
        <f t="shared" si="101"/>
        <v>x</v>
      </c>
      <c r="EP39" s="117" t="str">
        <f t="shared" si="175"/>
        <v>x</v>
      </c>
      <c r="EQ39" s="112" t="str">
        <f t="shared" si="176"/>
        <v>x</v>
      </c>
      <c r="ER39" s="112"/>
      <c r="ES39" s="112" t="str">
        <f t="shared" si="102"/>
        <v>x</v>
      </c>
      <c r="ET39" s="112" t="str">
        <f t="shared" si="177"/>
        <v>x</v>
      </c>
      <c r="EU39" s="112" t="str">
        <f t="shared" si="178"/>
        <v>x</v>
      </c>
      <c r="EV39" s="112" t="str">
        <f t="shared" si="103"/>
        <v>x</v>
      </c>
      <c r="EW39" s="112" t="str">
        <f t="shared" si="179"/>
        <v>x</v>
      </c>
      <c r="EX39" s="112" t="str">
        <f t="shared" si="180"/>
        <v>x</v>
      </c>
      <c r="EY39" s="112" t="str">
        <f t="shared" si="181"/>
        <v>x</v>
      </c>
      <c r="EZ39" s="112"/>
      <c r="FA39" s="112" t="str">
        <f t="shared" si="182"/>
        <v>x</v>
      </c>
      <c r="FB39" s="111"/>
      <c r="FC39" s="112" t="str">
        <f t="shared" si="104"/>
        <v>x</v>
      </c>
      <c r="FD39" s="112" t="str">
        <f t="shared" si="105"/>
        <v>x</v>
      </c>
      <c r="FE39" s="112" t="str">
        <f t="shared" si="106"/>
        <v>x</v>
      </c>
      <c r="FF39" s="112" t="str">
        <f t="shared" si="107"/>
        <v>x</v>
      </c>
      <c r="FG39" s="111"/>
      <c r="FH39" s="111"/>
      <c r="FI39" s="112" t="str">
        <f t="shared" si="183"/>
        <v>x</v>
      </c>
      <c r="FJ39" s="112" t="str">
        <f t="shared" si="184"/>
        <v>x</v>
      </c>
      <c r="FK39" s="112" t="str">
        <f t="shared" si="185"/>
        <v>x</v>
      </c>
      <c r="FL39" s="112"/>
      <c r="FM39" s="112" t="str">
        <f t="shared" si="186"/>
        <v>x</v>
      </c>
      <c r="FN39" s="112"/>
      <c r="FO39" s="112" t="str">
        <f t="shared" si="187"/>
        <v>x</v>
      </c>
      <c r="FP39" s="112" t="str">
        <f t="shared" si="188"/>
        <v>x</v>
      </c>
      <c r="FQ39" s="112" t="str">
        <f t="shared" si="189"/>
        <v>x</v>
      </c>
      <c r="FR39" s="112" t="str">
        <f t="shared" si="190"/>
        <v>x</v>
      </c>
      <c r="FS39" s="112" t="str">
        <f t="shared" si="191"/>
        <v>x</v>
      </c>
      <c r="FT39" s="112" t="str">
        <f t="shared" si="192"/>
        <v>x</v>
      </c>
      <c r="FU39" s="112" t="str">
        <f t="shared" si="193"/>
        <v>x</v>
      </c>
      <c r="FV39" s="112" t="str">
        <f t="shared" si="194"/>
        <v>x</v>
      </c>
      <c r="FW39" s="112" t="str">
        <f t="shared" si="195"/>
        <v>x</v>
      </c>
      <c r="FX39" s="112" t="str">
        <f t="shared" si="196"/>
        <v>x</v>
      </c>
      <c r="FY39" s="112" t="str">
        <f t="shared" si="197"/>
        <v>x</v>
      </c>
      <c r="FZ39" s="112"/>
      <c r="GA39" s="112" t="str">
        <f t="shared" si="198"/>
        <v>x</v>
      </c>
      <c r="GB39" s="112"/>
      <c r="GC39" s="112" t="str">
        <f t="shared" si="199"/>
        <v>x</v>
      </c>
      <c r="GD39" s="112"/>
      <c r="GE39" s="112"/>
      <c r="GF39" s="112"/>
      <c r="GG39" s="112"/>
      <c r="GH39" s="112" t="str">
        <f t="shared" si="200"/>
        <v>x</v>
      </c>
      <c r="GI39" s="112" t="str">
        <f t="shared" si="201"/>
        <v>x</v>
      </c>
      <c r="GJ39" s="111"/>
      <c r="GK39" s="111"/>
      <c r="GL39" s="112" t="str">
        <f t="shared" si="202"/>
        <v>x</v>
      </c>
      <c r="GM39" s="112"/>
      <c r="GN39" s="112" t="str">
        <f t="shared" si="203"/>
        <v>x</v>
      </c>
      <c r="GO39" s="112" t="str">
        <f t="shared" si="204"/>
        <v>x</v>
      </c>
      <c r="GP39" s="112"/>
      <c r="GQ39" s="112" t="str">
        <f t="shared" si="205"/>
        <v>x</v>
      </c>
      <c r="GR39" s="112" t="str">
        <f t="shared" si="206"/>
        <v>x</v>
      </c>
      <c r="GS39" s="112"/>
      <c r="GT39" s="112" t="str">
        <f t="shared" si="207"/>
        <v>x</v>
      </c>
      <c r="GU39" s="112"/>
      <c r="GV39" s="112"/>
      <c r="GW39" s="112" t="str">
        <f t="shared" si="208"/>
        <v>x</v>
      </c>
      <c r="GX39" s="112"/>
      <c r="GY39" s="112"/>
      <c r="GZ39" s="112"/>
      <c r="HA39" s="112"/>
      <c r="HB39" s="112" t="str">
        <f t="shared" si="48"/>
        <v>x</v>
      </c>
      <c r="HC39" s="112" t="str">
        <f t="shared" si="209"/>
        <v>x</v>
      </c>
      <c r="HD39" s="112" t="str">
        <f t="shared" si="210"/>
        <v>x</v>
      </c>
      <c r="HE39" s="112" t="str">
        <f t="shared" si="211"/>
        <v>x</v>
      </c>
      <c r="HF39" s="112" t="str">
        <f t="shared" si="212"/>
        <v>x</v>
      </c>
      <c r="HG39" s="112"/>
      <c r="HH39" s="112"/>
      <c r="HI39" s="112" t="str">
        <f t="shared" si="213"/>
        <v>x</v>
      </c>
      <c r="HJ39" s="112"/>
      <c r="HK39" s="112" t="str">
        <f t="shared" si="214"/>
        <v>x</v>
      </c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 t="str">
        <f t="shared" si="215"/>
        <v>x</v>
      </c>
      <c r="HX39" s="112" t="str">
        <f t="shared" si="108"/>
        <v>x</v>
      </c>
      <c r="HY39" s="112" t="str">
        <f t="shared" si="109"/>
        <v>x</v>
      </c>
      <c r="HZ39" s="112"/>
      <c r="IA39" s="112"/>
      <c r="IB39" s="112"/>
      <c r="IC39" s="112" t="str">
        <f t="shared" si="216"/>
        <v>x</v>
      </c>
      <c r="ID39" s="112"/>
      <c r="IE39" s="112"/>
      <c r="IF39" s="112"/>
      <c r="IG39" s="111"/>
      <c r="IH39" s="112"/>
      <c r="II39" s="112"/>
      <c r="IJ39" s="112" t="str">
        <f t="shared" si="217"/>
        <v>x</v>
      </c>
      <c r="IK39" s="112" t="str">
        <f t="shared" si="218"/>
        <v>x</v>
      </c>
      <c r="IL39" s="111"/>
      <c r="IM39" s="112" t="str">
        <f t="shared" si="219"/>
        <v>x</v>
      </c>
      <c r="IN39" s="112"/>
      <c r="IO39" s="111"/>
      <c r="IP39" s="112" t="str">
        <f t="shared" si="220"/>
        <v>x</v>
      </c>
      <c r="IQ39" s="112" t="str">
        <f t="shared" si="221"/>
        <v>x</v>
      </c>
      <c r="IR39" s="111"/>
      <c r="IS39" s="111"/>
      <c r="IT39" s="111"/>
      <c r="IU39" s="112" t="str">
        <f t="shared" si="222"/>
        <v>x</v>
      </c>
      <c r="IV39" s="112" t="str">
        <f t="shared" si="223"/>
        <v>x</v>
      </c>
      <c r="IW39" s="112"/>
      <c r="IX39" s="112" t="str">
        <f t="shared" si="224"/>
        <v>x</v>
      </c>
      <c r="IY39" s="111"/>
      <c r="IZ39" s="112" t="str">
        <f t="shared" si="225"/>
        <v>x</v>
      </c>
      <c r="JA39" s="111"/>
      <c r="JB39" s="112"/>
      <c r="JC39" s="111"/>
      <c r="JD39" s="112"/>
      <c r="JE39" s="112"/>
      <c r="JF39" s="112" t="str">
        <f t="shared" si="226"/>
        <v>x</v>
      </c>
      <c r="JG39" s="112" t="str">
        <f t="shared" si="227"/>
        <v>x</v>
      </c>
      <c r="JH39" s="111"/>
      <c r="JI39" s="112"/>
      <c r="JJ39" s="112" t="str">
        <f t="shared" si="228"/>
        <v>x</v>
      </c>
      <c r="JK39" s="112" t="str">
        <f t="shared" si="229"/>
        <v>x</v>
      </c>
      <c r="JL39" s="112" t="str">
        <f t="shared" si="230"/>
        <v>x</v>
      </c>
      <c r="JM39" s="112"/>
      <c r="JN39" s="112"/>
      <c r="JO39" s="112"/>
      <c r="JP39" s="112"/>
      <c r="JQ39" s="112" t="str">
        <f t="shared" si="110"/>
        <v>x</v>
      </c>
      <c r="JR39" s="112"/>
      <c r="JS39" s="112" t="str">
        <f t="shared" si="231"/>
        <v>x</v>
      </c>
      <c r="JT39" s="111"/>
      <c r="JU39" s="111"/>
      <c r="JV39" s="112"/>
      <c r="JW39" s="112"/>
      <c r="JX39" s="112"/>
      <c r="JY39" s="112"/>
      <c r="JZ39" s="112" t="str">
        <f t="shared" si="232"/>
        <v>x</v>
      </c>
      <c r="KA39" s="112" t="str">
        <f t="shared" si="233"/>
        <v>x</v>
      </c>
      <c r="KB39" s="112" t="str">
        <f t="shared" si="234"/>
        <v>x</v>
      </c>
      <c r="KC39" s="112" t="str">
        <f t="shared" si="235"/>
        <v>x</v>
      </c>
      <c r="KD39" s="112" t="str">
        <f t="shared" si="111"/>
        <v>x</v>
      </c>
      <c r="KE39" s="112" t="str">
        <f t="shared" si="236"/>
        <v>x</v>
      </c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1"/>
      <c r="LC39" s="111"/>
      <c r="LD39" s="111"/>
      <c r="LE39" s="111"/>
      <c r="LF39" s="112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2"/>
      <c r="LT39" s="111"/>
      <c r="LU39" s="111"/>
      <c r="LV39" s="111"/>
      <c r="LW39" s="111"/>
      <c r="LX39" s="111"/>
      <c r="LY39" s="112" t="str">
        <f t="shared" si="237"/>
        <v>x</v>
      </c>
      <c r="LZ39" s="111"/>
      <c r="MA39" s="111"/>
      <c r="MB39" s="111"/>
      <c r="MC39" s="112" t="str">
        <f t="shared" si="238"/>
        <v>x</v>
      </c>
      <c r="MD39" s="111"/>
      <c r="ME39" s="112" t="str">
        <f t="shared" si="239"/>
        <v>x</v>
      </c>
      <c r="MF39" s="112" t="str">
        <f t="shared" si="240"/>
        <v>x</v>
      </c>
      <c r="MG39" s="112" t="str">
        <f t="shared" si="241"/>
        <v>x</v>
      </c>
      <c r="MH39" s="112" t="str">
        <f t="shared" si="112"/>
        <v>x</v>
      </c>
    </row>
    <row r="40" spans="1:346" x14ac:dyDescent="0.25">
      <c r="A40" s="110" t="s">
        <v>1</v>
      </c>
      <c r="B40" s="101" t="s">
        <v>62</v>
      </c>
      <c r="C40" s="102"/>
      <c r="D40" s="102"/>
      <c r="E40" s="102"/>
      <c r="F40" s="102"/>
      <c r="G40" s="102"/>
      <c r="H40" s="102"/>
      <c r="I40" s="102"/>
      <c r="J40" s="103"/>
      <c r="K40" s="112" t="str">
        <f t="shared" si="113"/>
        <v>x</v>
      </c>
      <c r="L40" s="111"/>
      <c r="M40" s="112" t="str">
        <f t="shared" si="84"/>
        <v>x</v>
      </c>
      <c r="N40" s="112" t="str">
        <f t="shared" si="114"/>
        <v>x</v>
      </c>
      <c r="O40" s="112" t="str">
        <f t="shared" si="115"/>
        <v>x</v>
      </c>
      <c r="P40" s="112" t="str">
        <f t="shared" si="116"/>
        <v>x</v>
      </c>
      <c r="Q40" s="112" t="str">
        <f t="shared" si="117"/>
        <v>x</v>
      </c>
      <c r="R40" s="112"/>
      <c r="S40" s="112" t="str">
        <f t="shared" si="118"/>
        <v>x</v>
      </c>
      <c r="T40" s="112" t="str">
        <f t="shared" si="119"/>
        <v>x</v>
      </c>
      <c r="U40" s="112"/>
      <c r="V40" s="112"/>
      <c r="W40" s="112" t="str">
        <f t="shared" si="120"/>
        <v>x</v>
      </c>
      <c r="X40" s="112" t="str">
        <f t="shared" si="121"/>
        <v>x</v>
      </c>
      <c r="Y40" s="112"/>
      <c r="Z40" s="112"/>
      <c r="AA40" s="112"/>
      <c r="AB40" s="112"/>
      <c r="AC40" s="112" t="str">
        <f t="shared" si="122"/>
        <v>x</v>
      </c>
      <c r="AD40" s="112"/>
      <c r="AE40" s="112" t="str">
        <f t="shared" si="123"/>
        <v>x</v>
      </c>
      <c r="AF40" s="112" t="str">
        <f t="shared" si="124"/>
        <v>x</v>
      </c>
      <c r="AG40" s="111"/>
      <c r="AH40" s="112" t="str">
        <f t="shared" si="125"/>
        <v>x</v>
      </c>
      <c r="AI40" s="112" t="str">
        <f t="shared" si="126"/>
        <v>x</v>
      </c>
      <c r="AJ40" s="112" t="str">
        <f t="shared" si="127"/>
        <v>x</v>
      </c>
      <c r="AK40" s="112" t="str">
        <f t="shared" si="128"/>
        <v>x</v>
      </c>
      <c r="AL40" s="112"/>
      <c r="AM40" s="112" t="str">
        <f t="shared" si="129"/>
        <v>x</v>
      </c>
      <c r="AN40" s="112"/>
      <c r="AO40" s="112"/>
      <c r="AP40" s="112"/>
      <c r="AQ40" s="112"/>
      <c r="AR40" s="112"/>
      <c r="AS40" s="112" t="str">
        <f t="shared" si="130"/>
        <v>x</v>
      </c>
      <c r="AT40" s="112"/>
      <c r="AU40" s="114" t="str">
        <f t="shared" si="131"/>
        <v>x</v>
      </c>
      <c r="AV40" s="114" t="str">
        <f t="shared" si="85"/>
        <v>x</v>
      </c>
      <c r="AW40" s="114" t="str">
        <f t="shared" si="86"/>
        <v>x</v>
      </c>
      <c r="AX40" s="112" t="str">
        <f t="shared" si="132"/>
        <v>x</v>
      </c>
      <c r="AY40" s="111"/>
      <c r="AZ40" s="112" t="str">
        <f t="shared" si="87"/>
        <v>x</v>
      </c>
      <c r="BA40" s="112" t="str">
        <f t="shared" si="88"/>
        <v>x</v>
      </c>
      <c r="BB40" s="112"/>
      <c r="BC40" s="112" t="str">
        <f t="shared" si="133"/>
        <v>x</v>
      </c>
      <c r="BD40" s="112" t="str">
        <f t="shared" si="134"/>
        <v>x</v>
      </c>
      <c r="BE40" s="112" t="str">
        <f t="shared" si="135"/>
        <v>x</v>
      </c>
      <c r="BF40" s="111"/>
      <c r="BG40" s="112" t="str">
        <f t="shared" si="136"/>
        <v>x</v>
      </c>
      <c r="BH40" s="112" t="str">
        <f t="shared" si="137"/>
        <v>x</v>
      </c>
      <c r="BI40" s="112" t="str">
        <f t="shared" si="138"/>
        <v>x</v>
      </c>
      <c r="BJ40" s="112" t="str">
        <f t="shared" si="139"/>
        <v>x</v>
      </c>
      <c r="BK40" s="112" t="str">
        <f t="shared" si="140"/>
        <v>x</v>
      </c>
      <c r="BL40" s="112" t="str">
        <f t="shared" si="89"/>
        <v>x</v>
      </c>
      <c r="BM40" s="112" t="str">
        <f t="shared" si="141"/>
        <v>x</v>
      </c>
      <c r="BN40" s="111"/>
      <c r="BO40" s="111"/>
      <c r="BP40" s="112" t="str">
        <f t="shared" si="142"/>
        <v>x</v>
      </c>
      <c r="BQ40" s="111"/>
      <c r="BR40" s="112" t="str">
        <f t="shared" si="90"/>
        <v>x</v>
      </c>
      <c r="BS40" s="112" t="str">
        <f t="shared" si="143"/>
        <v>x</v>
      </c>
      <c r="BT40" s="111"/>
      <c r="BU40" s="112" t="str">
        <f t="shared" si="91"/>
        <v>x</v>
      </c>
      <c r="BV40" s="112" t="str">
        <f t="shared" si="144"/>
        <v>x</v>
      </c>
      <c r="BW40" s="112"/>
      <c r="BX40" s="112"/>
      <c r="BY40" s="112" t="str">
        <f t="shared" si="145"/>
        <v>x</v>
      </c>
      <c r="BZ40" s="112" t="str">
        <f t="shared" si="92"/>
        <v>x</v>
      </c>
      <c r="CA40" s="112" t="str">
        <f t="shared" si="93"/>
        <v>x</v>
      </c>
      <c r="CB40" s="112" t="str">
        <f t="shared" si="94"/>
        <v>x</v>
      </c>
      <c r="CC40" s="112"/>
      <c r="CD40" s="112"/>
      <c r="CE40" s="112" t="str">
        <f t="shared" si="146"/>
        <v>x</v>
      </c>
      <c r="CF40" s="112" t="str">
        <f t="shared" si="147"/>
        <v>x</v>
      </c>
      <c r="CG40" s="112" t="str">
        <f t="shared" si="148"/>
        <v>x</v>
      </c>
      <c r="CH40" s="112"/>
      <c r="CI40" s="112" t="str">
        <f t="shared" si="149"/>
        <v>x</v>
      </c>
      <c r="CJ40" s="112" t="str">
        <f t="shared" si="95"/>
        <v>x</v>
      </c>
      <c r="CK40" s="112" t="str">
        <f t="shared" si="150"/>
        <v>x</v>
      </c>
      <c r="CL40" s="112"/>
      <c r="CM40" s="112"/>
      <c r="CN40" s="112"/>
      <c r="CO40" s="112" t="str">
        <f t="shared" si="151"/>
        <v>x</v>
      </c>
      <c r="CP40" s="112"/>
      <c r="CQ40" s="112" t="str">
        <f t="shared" si="152"/>
        <v>x</v>
      </c>
      <c r="CR40" s="112"/>
      <c r="CS40" s="112"/>
      <c r="CT40" s="112" t="str">
        <f t="shared" si="153"/>
        <v>x</v>
      </c>
      <c r="CU40" s="112"/>
      <c r="CV40" s="112"/>
      <c r="CW40" s="112"/>
      <c r="CX40" s="112" t="str">
        <f t="shared" si="154"/>
        <v>x</v>
      </c>
      <c r="CY40" s="112"/>
      <c r="CZ40" s="112" t="str">
        <f t="shared" si="96"/>
        <v>x</v>
      </c>
      <c r="DA40" s="112"/>
      <c r="DB40" s="115" t="str">
        <f t="shared" si="155"/>
        <v>x</v>
      </c>
      <c r="DC40" s="112"/>
      <c r="DD40" s="112"/>
      <c r="DE40" s="112" t="str">
        <f t="shared" si="97"/>
        <v>x</v>
      </c>
      <c r="DF40" s="115" t="str">
        <f t="shared" si="98"/>
        <v>x</v>
      </c>
      <c r="DG40" s="112" t="str">
        <f t="shared" si="99"/>
        <v>x</v>
      </c>
      <c r="DH40" s="112" t="str">
        <f t="shared" si="100"/>
        <v>x</v>
      </c>
      <c r="DI40" s="112" t="str">
        <f t="shared" si="156"/>
        <v>x</v>
      </c>
      <c r="DJ40" s="112"/>
      <c r="DK40" s="112" t="str">
        <f t="shared" si="157"/>
        <v>x</v>
      </c>
      <c r="DL40" s="112"/>
      <c r="DM40" s="112"/>
      <c r="DN40" s="112" t="str">
        <f t="shared" si="158"/>
        <v>x</v>
      </c>
      <c r="DO40" s="111"/>
      <c r="DP40" s="112" t="str">
        <f t="shared" si="159"/>
        <v>x</v>
      </c>
      <c r="DQ40" s="112" t="str">
        <f t="shared" si="160"/>
        <v>x</v>
      </c>
      <c r="DR40" s="112" t="str">
        <f t="shared" si="161"/>
        <v>x</v>
      </c>
      <c r="DS40" s="112" t="str">
        <f t="shared" si="162"/>
        <v>x</v>
      </c>
      <c r="DT40" s="112"/>
      <c r="DU40" s="112" t="str">
        <f t="shared" si="163"/>
        <v>x</v>
      </c>
      <c r="DV40" s="112"/>
      <c r="DW40" s="112" t="str">
        <f t="shared" si="164"/>
        <v>x</v>
      </c>
      <c r="DX40" s="112" t="str">
        <f t="shared" si="165"/>
        <v>x</v>
      </c>
      <c r="DY40" s="112" t="str">
        <f t="shared" si="166"/>
        <v>x</v>
      </c>
      <c r="DZ40" s="112" t="str">
        <f t="shared" si="167"/>
        <v>x</v>
      </c>
      <c r="EA40" s="112" t="str">
        <f t="shared" si="168"/>
        <v>x</v>
      </c>
      <c r="EB40" s="112" t="str">
        <f t="shared" si="169"/>
        <v>x</v>
      </c>
      <c r="EC40" s="111"/>
      <c r="ED40" s="111"/>
      <c r="EE40" s="111"/>
      <c r="EF40" s="111"/>
      <c r="EG40" s="111"/>
      <c r="EH40" s="111"/>
      <c r="EI40" s="112"/>
      <c r="EJ40" s="112" t="str">
        <f t="shared" si="170"/>
        <v>x</v>
      </c>
      <c r="EK40" s="112" t="str">
        <f t="shared" si="171"/>
        <v>x</v>
      </c>
      <c r="EL40" s="112" t="str">
        <f t="shared" si="172"/>
        <v>x</v>
      </c>
      <c r="EM40" s="112" t="str">
        <f t="shared" si="173"/>
        <v>x</v>
      </c>
      <c r="EN40" s="112" t="str">
        <f t="shared" si="174"/>
        <v>x</v>
      </c>
      <c r="EO40" s="117" t="str">
        <f t="shared" si="101"/>
        <v>x</v>
      </c>
      <c r="EP40" s="117" t="str">
        <f t="shared" si="175"/>
        <v>x</v>
      </c>
      <c r="EQ40" s="112" t="str">
        <f t="shared" si="176"/>
        <v>x</v>
      </c>
      <c r="ER40" s="112"/>
      <c r="ES40" s="112" t="str">
        <f t="shared" si="102"/>
        <v>x</v>
      </c>
      <c r="ET40" s="112" t="str">
        <f t="shared" si="177"/>
        <v>x</v>
      </c>
      <c r="EU40" s="112" t="str">
        <f t="shared" si="178"/>
        <v>x</v>
      </c>
      <c r="EV40" s="112" t="str">
        <f t="shared" si="103"/>
        <v>x</v>
      </c>
      <c r="EW40" s="112" t="str">
        <f t="shared" si="179"/>
        <v>x</v>
      </c>
      <c r="EX40" s="112" t="str">
        <f t="shared" si="180"/>
        <v>x</v>
      </c>
      <c r="EY40" s="112" t="str">
        <f t="shared" si="181"/>
        <v>x</v>
      </c>
      <c r="EZ40" s="112"/>
      <c r="FA40" s="112" t="str">
        <f t="shared" si="182"/>
        <v>x</v>
      </c>
      <c r="FB40" s="111"/>
      <c r="FC40" s="112" t="str">
        <f t="shared" si="104"/>
        <v>x</v>
      </c>
      <c r="FD40" s="112" t="str">
        <f t="shared" si="105"/>
        <v>x</v>
      </c>
      <c r="FE40" s="112" t="str">
        <f t="shared" si="106"/>
        <v>x</v>
      </c>
      <c r="FF40" s="112" t="str">
        <f t="shared" si="107"/>
        <v>x</v>
      </c>
      <c r="FG40" s="111"/>
      <c r="FH40" s="111"/>
      <c r="FI40" s="112" t="str">
        <f t="shared" si="183"/>
        <v>x</v>
      </c>
      <c r="FJ40" s="112" t="str">
        <f t="shared" si="184"/>
        <v>x</v>
      </c>
      <c r="FK40" s="112" t="str">
        <f t="shared" si="185"/>
        <v>x</v>
      </c>
      <c r="FL40" s="112"/>
      <c r="FM40" s="112" t="str">
        <f t="shared" si="186"/>
        <v>x</v>
      </c>
      <c r="FN40" s="112"/>
      <c r="FO40" s="112" t="str">
        <f t="shared" si="187"/>
        <v>x</v>
      </c>
      <c r="FP40" s="112" t="str">
        <f t="shared" si="188"/>
        <v>x</v>
      </c>
      <c r="FQ40" s="112" t="str">
        <f t="shared" si="189"/>
        <v>x</v>
      </c>
      <c r="FR40" s="112" t="str">
        <f t="shared" si="190"/>
        <v>x</v>
      </c>
      <c r="FS40" s="112" t="str">
        <f t="shared" si="191"/>
        <v>x</v>
      </c>
      <c r="FT40" s="112" t="str">
        <f t="shared" si="192"/>
        <v>x</v>
      </c>
      <c r="FU40" s="112" t="str">
        <f t="shared" si="193"/>
        <v>x</v>
      </c>
      <c r="FV40" s="112" t="str">
        <f t="shared" si="194"/>
        <v>x</v>
      </c>
      <c r="FW40" s="112" t="str">
        <f t="shared" si="195"/>
        <v>x</v>
      </c>
      <c r="FX40" s="112" t="str">
        <f t="shared" si="196"/>
        <v>x</v>
      </c>
      <c r="FY40" s="112" t="str">
        <f t="shared" si="197"/>
        <v>x</v>
      </c>
      <c r="FZ40" s="112"/>
      <c r="GA40" s="112" t="str">
        <f t="shared" si="198"/>
        <v>x</v>
      </c>
      <c r="GB40" s="112"/>
      <c r="GC40" s="112" t="str">
        <f t="shared" si="199"/>
        <v>x</v>
      </c>
      <c r="GD40" s="112"/>
      <c r="GE40" s="112"/>
      <c r="GF40" s="112"/>
      <c r="GG40" s="112"/>
      <c r="GH40" s="112" t="str">
        <f t="shared" si="200"/>
        <v>x</v>
      </c>
      <c r="GI40" s="112" t="str">
        <f t="shared" si="201"/>
        <v>x</v>
      </c>
      <c r="GJ40" s="111"/>
      <c r="GK40" s="111"/>
      <c r="GL40" s="112" t="str">
        <f t="shared" si="202"/>
        <v>x</v>
      </c>
      <c r="GM40" s="112"/>
      <c r="GN40" s="112" t="str">
        <f t="shared" si="203"/>
        <v>x</v>
      </c>
      <c r="GO40" s="112" t="str">
        <f t="shared" si="204"/>
        <v>x</v>
      </c>
      <c r="GP40" s="112"/>
      <c r="GQ40" s="112" t="str">
        <f t="shared" si="205"/>
        <v>x</v>
      </c>
      <c r="GR40" s="112" t="str">
        <f t="shared" si="206"/>
        <v>x</v>
      </c>
      <c r="GS40" s="112"/>
      <c r="GT40" s="112" t="str">
        <f t="shared" si="207"/>
        <v>x</v>
      </c>
      <c r="GU40" s="112"/>
      <c r="GV40" s="112"/>
      <c r="GW40" s="112" t="str">
        <f t="shared" si="208"/>
        <v>x</v>
      </c>
      <c r="GX40" s="112"/>
      <c r="GY40" s="112"/>
      <c r="GZ40" s="112"/>
      <c r="HA40" s="112"/>
      <c r="HB40" s="112" t="str">
        <f t="shared" si="48"/>
        <v>x</v>
      </c>
      <c r="HC40" s="112" t="str">
        <f t="shared" si="209"/>
        <v>x</v>
      </c>
      <c r="HD40" s="112" t="str">
        <f t="shared" si="210"/>
        <v>x</v>
      </c>
      <c r="HE40" s="112" t="str">
        <f t="shared" si="211"/>
        <v>x</v>
      </c>
      <c r="HF40" s="112" t="str">
        <f t="shared" si="212"/>
        <v>x</v>
      </c>
      <c r="HG40" s="112"/>
      <c r="HH40" s="112"/>
      <c r="HI40" s="112" t="str">
        <f t="shared" si="213"/>
        <v>x</v>
      </c>
      <c r="HJ40" s="112"/>
      <c r="HK40" s="112" t="str">
        <f t="shared" si="214"/>
        <v>x</v>
      </c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 t="str">
        <f t="shared" si="215"/>
        <v>x</v>
      </c>
      <c r="HX40" s="112" t="str">
        <f t="shared" si="108"/>
        <v>x</v>
      </c>
      <c r="HY40" s="112" t="str">
        <f t="shared" si="109"/>
        <v>x</v>
      </c>
      <c r="HZ40" s="112"/>
      <c r="IA40" s="112"/>
      <c r="IB40" s="112"/>
      <c r="IC40" s="112" t="str">
        <f t="shared" si="216"/>
        <v>x</v>
      </c>
      <c r="ID40" s="112"/>
      <c r="IE40" s="112"/>
      <c r="IF40" s="112"/>
      <c r="IG40" s="111"/>
      <c r="IH40" s="112"/>
      <c r="II40" s="112"/>
      <c r="IJ40" s="112" t="str">
        <f t="shared" si="217"/>
        <v>x</v>
      </c>
      <c r="IK40" s="112" t="str">
        <f t="shared" si="218"/>
        <v>x</v>
      </c>
      <c r="IL40" s="111"/>
      <c r="IM40" s="112" t="str">
        <f t="shared" si="219"/>
        <v>x</v>
      </c>
      <c r="IN40" s="112"/>
      <c r="IO40" s="111"/>
      <c r="IP40" s="112" t="str">
        <f t="shared" si="220"/>
        <v>x</v>
      </c>
      <c r="IQ40" s="112" t="str">
        <f t="shared" si="221"/>
        <v>x</v>
      </c>
      <c r="IR40" s="111"/>
      <c r="IS40" s="111"/>
      <c r="IT40" s="111"/>
      <c r="IU40" s="112" t="str">
        <f t="shared" si="222"/>
        <v>x</v>
      </c>
      <c r="IV40" s="112" t="str">
        <f t="shared" si="223"/>
        <v>x</v>
      </c>
      <c r="IW40" s="112"/>
      <c r="IX40" s="112" t="str">
        <f t="shared" si="224"/>
        <v>x</v>
      </c>
      <c r="IY40" s="111"/>
      <c r="IZ40" s="112" t="str">
        <f t="shared" si="225"/>
        <v>x</v>
      </c>
      <c r="JA40" s="111"/>
      <c r="JB40" s="112"/>
      <c r="JC40" s="111"/>
      <c r="JD40" s="112"/>
      <c r="JE40" s="112"/>
      <c r="JF40" s="112" t="str">
        <f t="shared" si="226"/>
        <v>x</v>
      </c>
      <c r="JG40" s="112" t="str">
        <f t="shared" si="227"/>
        <v>x</v>
      </c>
      <c r="JH40" s="111"/>
      <c r="JI40" s="112"/>
      <c r="JJ40" s="112" t="str">
        <f t="shared" si="228"/>
        <v>x</v>
      </c>
      <c r="JK40" s="112" t="str">
        <f t="shared" si="229"/>
        <v>x</v>
      </c>
      <c r="JL40" s="112" t="str">
        <f t="shared" si="230"/>
        <v>x</v>
      </c>
      <c r="JM40" s="112"/>
      <c r="JN40" s="112"/>
      <c r="JO40" s="112"/>
      <c r="JP40" s="112"/>
      <c r="JQ40" s="112" t="str">
        <f t="shared" si="110"/>
        <v>x</v>
      </c>
      <c r="JR40" s="112"/>
      <c r="JS40" s="112" t="str">
        <f t="shared" si="231"/>
        <v>x</v>
      </c>
      <c r="JT40" s="111"/>
      <c r="JU40" s="111"/>
      <c r="JV40" s="112"/>
      <c r="JW40" s="112"/>
      <c r="JX40" s="112"/>
      <c r="JY40" s="112"/>
      <c r="JZ40" s="112" t="str">
        <f t="shared" si="232"/>
        <v>x</v>
      </c>
      <c r="KA40" s="112" t="str">
        <f t="shared" si="233"/>
        <v>x</v>
      </c>
      <c r="KB40" s="112" t="str">
        <f t="shared" si="234"/>
        <v>x</v>
      </c>
      <c r="KC40" s="112" t="str">
        <f t="shared" si="235"/>
        <v>x</v>
      </c>
      <c r="KD40" s="112" t="str">
        <f t="shared" si="111"/>
        <v>x</v>
      </c>
      <c r="KE40" s="112" t="str">
        <f t="shared" si="236"/>
        <v>x</v>
      </c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1"/>
      <c r="LC40" s="111"/>
      <c r="LD40" s="111"/>
      <c r="LE40" s="111"/>
      <c r="LF40" s="112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2"/>
      <c r="LT40" s="111"/>
      <c r="LU40" s="111"/>
      <c r="LV40" s="111"/>
      <c r="LW40" s="111"/>
      <c r="LX40" s="111"/>
      <c r="LY40" s="112" t="str">
        <f t="shared" si="237"/>
        <v>x</v>
      </c>
      <c r="LZ40" s="111"/>
      <c r="MA40" s="111"/>
      <c r="MB40" s="111"/>
      <c r="MC40" s="112" t="str">
        <f t="shared" si="238"/>
        <v>x</v>
      </c>
      <c r="MD40" s="111"/>
      <c r="ME40" s="112" t="str">
        <f t="shared" si="239"/>
        <v>x</v>
      </c>
      <c r="MF40" s="112" t="str">
        <f t="shared" si="240"/>
        <v>x</v>
      </c>
      <c r="MG40" s="112" t="str">
        <f t="shared" si="241"/>
        <v>x</v>
      </c>
      <c r="MH40" s="112" t="str">
        <f t="shared" si="112"/>
        <v>x</v>
      </c>
    </row>
    <row r="41" spans="1:346" x14ac:dyDescent="0.25">
      <c r="A41" s="110" t="s">
        <v>1</v>
      </c>
      <c r="B41" s="101" t="s">
        <v>63</v>
      </c>
      <c r="C41" s="102"/>
      <c r="D41" s="102"/>
      <c r="E41" s="102"/>
      <c r="F41" s="102"/>
      <c r="G41" s="102"/>
      <c r="H41" s="102"/>
      <c r="I41" s="102"/>
      <c r="J41" s="103"/>
      <c r="K41" s="112" t="str">
        <f t="shared" si="113"/>
        <v>x</v>
      </c>
      <c r="L41" s="111"/>
      <c r="M41" s="112" t="str">
        <f t="shared" si="84"/>
        <v>x</v>
      </c>
      <c r="N41" s="112" t="str">
        <f t="shared" si="114"/>
        <v>x</v>
      </c>
      <c r="O41" s="112" t="str">
        <f t="shared" si="115"/>
        <v>x</v>
      </c>
      <c r="P41" s="112" t="str">
        <f t="shared" si="116"/>
        <v>x</v>
      </c>
      <c r="Q41" s="112" t="str">
        <f t="shared" si="117"/>
        <v>x</v>
      </c>
      <c r="R41" s="112"/>
      <c r="S41" s="112" t="str">
        <f t="shared" si="118"/>
        <v>x</v>
      </c>
      <c r="T41" s="112" t="str">
        <f t="shared" si="119"/>
        <v>x</v>
      </c>
      <c r="U41" s="112"/>
      <c r="V41" s="112"/>
      <c r="W41" s="112" t="str">
        <f t="shared" si="120"/>
        <v>x</v>
      </c>
      <c r="X41" s="112" t="str">
        <f t="shared" si="121"/>
        <v>x</v>
      </c>
      <c r="Y41" s="112"/>
      <c r="Z41" s="112"/>
      <c r="AA41" s="112"/>
      <c r="AB41" s="112"/>
      <c r="AC41" s="112" t="str">
        <f t="shared" si="122"/>
        <v>x</v>
      </c>
      <c r="AD41" s="112"/>
      <c r="AE41" s="112" t="str">
        <f t="shared" si="123"/>
        <v>x</v>
      </c>
      <c r="AF41" s="112" t="str">
        <f t="shared" si="124"/>
        <v>x</v>
      </c>
      <c r="AG41" s="111"/>
      <c r="AH41" s="112" t="str">
        <f t="shared" si="125"/>
        <v>x</v>
      </c>
      <c r="AI41" s="112" t="str">
        <f t="shared" si="126"/>
        <v>x</v>
      </c>
      <c r="AJ41" s="112" t="str">
        <f t="shared" si="127"/>
        <v>x</v>
      </c>
      <c r="AK41" s="112" t="str">
        <f t="shared" si="128"/>
        <v>x</v>
      </c>
      <c r="AL41" s="112"/>
      <c r="AM41" s="112" t="str">
        <f t="shared" si="129"/>
        <v>x</v>
      </c>
      <c r="AN41" s="112"/>
      <c r="AO41" s="112"/>
      <c r="AP41" s="112"/>
      <c r="AQ41" s="112"/>
      <c r="AR41" s="112"/>
      <c r="AS41" s="112" t="str">
        <f t="shared" si="130"/>
        <v>x</v>
      </c>
      <c r="AT41" s="112"/>
      <c r="AU41" s="114" t="str">
        <f t="shared" si="131"/>
        <v>x</v>
      </c>
      <c r="AV41" s="114" t="str">
        <f t="shared" si="85"/>
        <v>x</v>
      </c>
      <c r="AW41" s="114" t="str">
        <f t="shared" si="86"/>
        <v>x</v>
      </c>
      <c r="AX41" s="112" t="str">
        <f t="shared" si="132"/>
        <v>x</v>
      </c>
      <c r="AY41" s="111"/>
      <c r="AZ41" s="112" t="str">
        <f t="shared" si="87"/>
        <v>x</v>
      </c>
      <c r="BA41" s="112" t="str">
        <f t="shared" si="88"/>
        <v>x</v>
      </c>
      <c r="BB41" s="112"/>
      <c r="BC41" s="112" t="str">
        <f t="shared" si="133"/>
        <v>x</v>
      </c>
      <c r="BD41" s="112" t="str">
        <f t="shared" si="134"/>
        <v>x</v>
      </c>
      <c r="BE41" s="112" t="str">
        <f t="shared" si="135"/>
        <v>x</v>
      </c>
      <c r="BF41" s="111"/>
      <c r="BG41" s="112" t="str">
        <f t="shared" si="136"/>
        <v>x</v>
      </c>
      <c r="BH41" s="112" t="str">
        <f t="shared" si="137"/>
        <v>x</v>
      </c>
      <c r="BI41" s="112" t="str">
        <f t="shared" si="138"/>
        <v>x</v>
      </c>
      <c r="BJ41" s="112" t="str">
        <f t="shared" si="139"/>
        <v>x</v>
      </c>
      <c r="BK41" s="112" t="str">
        <f t="shared" si="140"/>
        <v>x</v>
      </c>
      <c r="BL41" s="112" t="str">
        <f t="shared" si="89"/>
        <v>x</v>
      </c>
      <c r="BM41" s="112" t="str">
        <f t="shared" si="141"/>
        <v>x</v>
      </c>
      <c r="BN41" s="111"/>
      <c r="BO41" s="111"/>
      <c r="BP41" s="112" t="str">
        <f t="shared" si="142"/>
        <v>x</v>
      </c>
      <c r="BQ41" s="111"/>
      <c r="BR41" s="112" t="str">
        <f t="shared" si="90"/>
        <v>x</v>
      </c>
      <c r="BS41" s="112" t="str">
        <f t="shared" si="143"/>
        <v>x</v>
      </c>
      <c r="BT41" s="111"/>
      <c r="BU41" s="112" t="str">
        <f t="shared" si="91"/>
        <v>x</v>
      </c>
      <c r="BV41" s="112" t="str">
        <f t="shared" si="144"/>
        <v>x</v>
      </c>
      <c r="BW41" s="112"/>
      <c r="BX41" s="112"/>
      <c r="BY41" s="112" t="str">
        <f t="shared" si="145"/>
        <v>x</v>
      </c>
      <c r="BZ41" s="112" t="str">
        <f t="shared" si="92"/>
        <v>x</v>
      </c>
      <c r="CA41" s="112" t="str">
        <f t="shared" si="93"/>
        <v>x</v>
      </c>
      <c r="CB41" s="112" t="str">
        <f t="shared" si="94"/>
        <v>x</v>
      </c>
      <c r="CC41" s="112"/>
      <c r="CD41" s="112"/>
      <c r="CE41" s="112" t="str">
        <f t="shared" si="146"/>
        <v>x</v>
      </c>
      <c r="CF41" s="112" t="str">
        <f t="shared" si="147"/>
        <v>x</v>
      </c>
      <c r="CG41" s="112" t="str">
        <f t="shared" si="148"/>
        <v>x</v>
      </c>
      <c r="CH41" s="112"/>
      <c r="CI41" s="112" t="str">
        <f t="shared" si="149"/>
        <v>x</v>
      </c>
      <c r="CJ41" s="112" t="str">
        <f t="shared" si="95"/>
        <v>x</v>
      </c>
      <c r="CK41" s="112" t="str">
        <f t="shared" si="150"/>
        <v>x</v>
      </c>
      <c r="CL41" s="112"/>
      <c r="CM41" s="112"/>
      <c r="CN41" s="112"/>
      <c r="CO41" s="112" t="str">
        <f t="shared" si="151"/>
        <v>x</v>
      </c>
      <c r="CP41" s="112"/>
      <c r="CQ41" s="112" t="str">
        <f t="shared" si="152"/>
        <v>x</v>
      </c>
      <c r="CR41" s="112"/>
      <c r="CS41" s="112"/>
      <c r="CT41" s="112" t="str">
        <f t="shared" si="153"/>
        <v>x</v>
      </c>
      <c r="CU41" s="112"/>
      <c r="CV41" s="112"/>
      <c r="CW41" s="112"/>
      <c r="CX41" s="112" t="str">
        <f t="shared" si="154"/>
        <v>x</v>
      </c>
      <c r="CY41" s="112"/>
      <c r="CZ41" s="112" t="str">
        <f t="shared" si="96"/>
        <v>x</v>
      </c>
      <c r="DA41" s="112"/>
      <c r="DB41" s="115" t="str">
        <f t="shared" si="155"/>
        <v>x</v>
      </c>
      <c r="DC41" s="112"/>
      <c r="DD41" s="112"/>
      <c r="DE41" s="112" t="str">
        <f t="shared" si="97"/>
        <v>x</v>
      </c>
      <c r="DF41" s="115" t="str">
        <f t="shared" si="98"/>
        <v>x</v>
      </c>
      <c r="DG41" s="112" t="str">
        <f t="shared" si="99"/>
        <v>x</v>
      </c>
      <c r="DH41" s="112" t="str">
        <f t="shared" si="100"/>
        <v>x</v>
      </c>
      <c r="DI41" s="112" t="str">
        <f t="shared" si="156"/>
        <v>x</v>
      </c>
      <c r="DJ41" s="112"/>
      <c r="DK41" s="112" t="str">
        <f t="shared" si="157"/>
        <v>x</v>
      </c>
      <c r="DL41" s="112"/>
      <c r="DM41" s="112"/>
      <c r="DN41" s="112" t="str">
        <f t="shared" si="158"/>
        <v>x</v>
      </c>
      <c r="DO41" s="111"/>
      <c r="DP41" s="112" t="str">
        <f t="shared" si="159"/>
        <v>x</v>
      </c>
      <c r="DQ41" s="112" t="str">
        <f t="shared" si="160"/>
        <v>x</v>
      </c>
      <c r="DR41" s="112" t="str">
        <f t="shared" si="161"/>
        <v>x</v>
      </c>
      <c r="DS41" s="112" t="str">
        <f t="shared" si="162"/>
        <v>x</v>
      </c>
      <c r="DT41" s="112"/>
      <c r="DU41" s="112" t="str">
        <f t="shared" si="163"/>
        <v>x</v>
      </c>
      <c r="DV41" s="112"/>
      <c r="DW41" s="112" t="str">
        <f t="shared" si="164"/>
        <v>x</v>
      </c>
      <c r="DX41" s="112" t="str">
        <f t="shared" si="165"/>
        <v>x</v>
      </c>
      <c r="DY41" s="112" t="str">
        <f t="shared" si="166"/>
        <v>x</v>
      </c>
      <c r="DZ41" s="112" t="str">
        <f t="shared" si="167"/>
        <v>x</v>
      </c>
      <c r="EA41" s="112" t="str">
        <f t="shared" si="168"/>
        <v>x</v>
      </c>
      <c r="EB41" s="112" t="str">
        <f t="shared" si="169"/>
        <v>x</v>
      </c>
      <c r="EC41" s="111"/>
      <c r="ED41" s="111"/>
      <c r="EE41" s="111"/>
      <c r="EF41" s="111"/>
      <c r="EG41" s="111"/>
      <c r="EH41" s="111"/>
      <c r="EI41" s="112"/>
      <c r="EJ41" s="112" t="str">
        <f t="shared" si="170"/>
        <v>x</v>
      </c>
      <c r="EK41" s="112" t="str">
        <f t="shared" si="171"/>
        <v>x</v>
      </c>
      <c r="EL41" s="112" t="str">
        <f t="shared" si="172"/>
        <v>x</v>
      </c>
      <c r="EM41" s="112" t="str">
        <f t="shared" si="173"/>
        <v>x</v>
      </c>
      <c r="EN41" s="112" t="str">
        <f t="shared" si="174"/>
        <v>x</v>
      </c>
      <c r="EO41" s="117" t="str">
        <f t="shared" si="101"/>
        <v>x</v>
      </c>
      <c r="EP41" s="117" t="str">
        <f t="shared" si="175"/>
        <v>x</v>
      </c>
      <c r="EQ41" s="112" t="str">
        <f t="shared" si="176"/>
        <v>x</v>
      </c>
      <c r="ER41" s="112"/>
      <c r="ES41" s="112" t="str">
        <f t="shared" si="102"/>
        <v>x</v>
      </c>
      <c r="ET41" s="112" t="str">
        <f t="shared" si="177"/>
        <v>x</v>
      </c>
      <c r="EU41" s="112" t="str">
        <f t="shared" si="178"/>
        <v>x</v>
      </c>
      <c r="EV41" s="112" t="str">
        <f t="shared" si="103"/>
        <v>x</v>
      </c>
      <c r="EW41" s="112" t="str">
        <f t="shared" si="179"/>
        <v>x</v>
      </c>
      <c r="EX41" s="112" t="str">
        <f t="shared" si="180"/>
        <v>x</v>
      </c>
      <c r="EY41" s="112" t="str">
        <f t="shared" si="181"/>
        <v>x</v>
      </c>
      <c r="EZ41" s="112"/>
      <c r="FA41" s="112" t="str">
        <f t="shared" si="182"/>
        <v>x</v>
      </c>
      <c r="FB41" s="111"/>
      <c r="FC41" s="112" t="str">
        <f t="shared" si="104"/>
        <v>x</v>
      </c>
      <c r="FD41" s="112" t="str">
        <f t="shared" si="105"/>
        <v>x</v>
      </c>
      <c r="FE41" s="112" t="str">
        <f t="shared" si="106"/>
        <v>x</v>
      </c>
      <c r="FF41" s="112" t="str">
        <f t="shared" si="107"/>
        <v>x</v>
      </c>
      <c r="FG41" s="111"/>
      <c r="FH41" s="111"/>
      <c r="FI41" s="112" t="str">
        <f t="shared" si="183"/>
        <v>x</v>
      </c>
      <c r="FJ41" s="112" t="str">
        <f t="shared" si="184"/>
        <v>x</v>
      </c>
      <c r="FK41" s="112" t="str">
        <f t="shared" si="185"/>
        <v>x</v>
      </c>
      <c r="FL41" s="112"/>
      <c r="FM41" s="112" t="str">
        <f t="shared" si="186"/>
        <v>x</v>
      </c>
      <c r="FN41" s="112"/>
      <c r="FO41" s="112" t="str">
        <f t="shared" si="187"/>
        <v>x</v>
      </c>
      <c r="FP41" s="112" t="str">
        <f t="shared" si="188"/>
        <v>x</v>
      </c>
      <c r="FQ41" s="112" t="str">
        <f t="shared" si="189"/>
        <v>x</v>
      </c>
      <c r="FR41" s="112" t="str">
        <f t="shared" si="190"/>
        <v>x</v>
      </c>
      <c r="FS41" s="112" t="str">
        <f t="shared" si="191"/>
        <v>x</v>
      </c>
      <c r="FT41" s="112" t="str">
        <f t="shared" si="192"/>
        <v>x</v>
      </c>
      <c r="FU41" s="112" t="str">
        <f t="shared" si="193"/>
        <v>x</v>
      </c>
      <c r="FV41" s="112" t="str">
        <f t="shared" si="194"/>
        <v>x</v>
      </c>
      <c r="FW41" s="112" t="str">
        <f t="shared" si="195"/>
        <v>x</v>
      </c>
      <c r="FX41" s="112" t="str">
        <f t="shared" si="196"/>
        <v>x</v>
      </c>
      <c r="FY41" s="112" t="str">
        <f t="shared" si="197"/>
        <v>x</v>
      </c>
      <c r="FZ41" s="112"/>
      <c r="GA41" s="112" t="str">
        <f t="shared" si="198"/>
        <v>x</v>
      </c>
      <c r="GB41" s="112"/>
      <c r="GC41" s="112" t="str">
        <f t="shared" si="199"/>
        <v>x</v>
      </c>
      <c r="GD41" s="112"/>
      <c r="GE41" s="112"/>
      <c r="GF41" s="112"/>
      <c r="GG41" s="112"/>
      <c r="GH41" s="112" t="str">
        <f t="shared" si="200"/>
        <v>x</v>
      </c>
      <c r="GI41" s="112" t="str">
        <f t="shared" si="201"/>
        <v>x</v>
      </c>
      <c r="GJ41" s="111"/>
      <c r="GK41" s="111"/>
      <c r="GL41" s="112" t="str">
        <f t="shared" si="202"/>
        <v>x</v>
      </c>
      <c r="GM41" s="112"/>
      <c r="GN41" s="112" t="str">
        <f t="shared" si="203"/>
        <v>x</v>
      </c>
      <c r="GO41" s="112" t="str">
        <f t="shared" si="204"/>
        <v>x</v>
      </c>
      <c r="GP41" s="112"/>
      <c r="GQ41" s="112" t="str">
        <f t="shared" si="205"/>
        <v>x</v>
      </c>
      <c r="GR41" s="112" t="str">
        <f t="shared" si="206"/>
        <v>x</v>
      </c>
      <c r="GS41" s="112"/>
      <c r="GT41" s="112" t="str">
        <f t="shared" si="207"/>
        <v>x</v>
      </c>
      <c r="GU41" s="112"/>
      <c r="GV41" s="112"/>
      <c r="GW41" s="112" t="str">
        <f t="shared" si="208"/>
        <v>x</v>
      </c>
      <c r="GX41" s="112"/>
      <c r="GY41" s="112"/>
      <c r="GZ41" s="112"/>
      <c r="HA41" s="112"/>
      <c r="HB41" s="112" t="str">
        <f t="shared" si="48"/>
        <v>x</v>
      </c>
      <c r="HC41" s="112" t="str">
        <f t="shared" si="209"/>
        <v>x</v>
      </c>
      <c r="HD41" s="112" t="str">
        <f t="shared" si="210"/>
        <v>x</v>
      </c>
      <c r="HE41" s="112" t="str">
        <f t="shared" si="211"/>
        <v>x</v>
      </c>
      <c r="HF41" s="112" t="str">
        <f t="shared" si="212"/>
        <v>x</v>
      </c>
      <c r="HG41" s="112"/>
      <c r="HH41" s="112"/>
      <c r="HI41" s="112" t="str">
        <f t="shared" si="213"/>
        <v>x</v>
      </c>
      <c r="HJ41" s="112"/>
      <c r="HK41" s="112" t="str">
        <f t="shared" si="214"/>
        <v>x</v>
      </c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 t="str">
        <f t="shared" si="215"/>
        <v>x</v>
      </c>
      <c r="HX41" s="112" t="str">
        <f t="shared" si="108"/>
        <v>x</v>
      </c>
      <c r="HY41" s="112" t="str">
        <f t="shared" si="109"/>
        <v>x</v>
      </c>
      <c r="HZ41" s="112"/>
      <c r="IA41" s="112"/>
      <c r="IB41" s="112"/>
      <c r="IC41" s="112" t="str">
        <f t="shared" si="216"/>
        <v>x</v>
      </c>
      <c r="ID41" s="112"/>
      <c r="IE41" s="112"/>
      <c r="IF41" s="112"/>
      <c r="IG41" s="111"/>
      <c r="IH41" s="112"/>
      <c r="II41" s="112"/>
      <c r="IJ41" s="112" t="str">
        <f t="shared" si="217"/>
        <v>x</v>
      </c>
      <c r="IK41" s="112" t="str">
        <f t="shared" si="218"/>
        <v>x</v>
      </c>
      <c r="IL41" s="111"/>
      <c r="IM41" s="112" t="str">
        <f t="shared" si="219"/>
        <v>x</v>
      </c>
      <c r="IN41" s="112"/>
      <c r="IO41" s="111"/>
      <c r="IP41" s="112" t="str">
        <f t="shared" si="220"/>
        <v>x</v>
      </c>
      <c r="IQ41" s="112" t="str">
        <f t="shared" si="221"/>
        <v>x</v>
      </c>
      <c r="IR41" s="111"/>
      <c r="IS41" s="111"/>
      <c r="IT41" s="111"/>
      <c r="IU41" s="112" t="str">
        <f t="shared" si="222"/>
        <v>x</v>
      </c>
      <c r="IV41" s="112" t="str">
        <f t="shared" si="223"/>
        <v>x</v>
      </c>
      <c r="IW41" s="112"/>
      <c r="IX41" s="112" t="str">
        <f t="shared" si="224"/>
        <v>x</v>
      </c>
      <c r="IY41" s="111"/>
      <c r="IZ41" s="112" t="str">
        <f t="shared" si="225"/>
        <v>x</v>
      </c>
      <c r="JA41" s="111"/>
      <c r="JB41" s="112"/>
      <c r="JC41" s="111"/>
      <c r="JD41" s="112"/>
      <c r="JE41" s="112"/>
      <c r="JF41" s="112" t="str">
        <f t="shared" si="226"/>
        <v>x</v>
      </c>
      <c r="JG41" s="112" t="str">
        <f t="shared" si="227"/>
        <v>x</v>
      </c>
      <c r="JH41" s="111"/>
      <c r="JI41" s="112"/>
      <c r="JJ41" s="112" t="str">
        <f t="shared" si="228"/>
        <v>x</v>
      </c>
      <c r="JK41" s="112" t="str">
        <f t="shared" si="229"/>
        <v>x</v>
      </c>
      <c r="JL41" s="112" t="str">
        <f t="shared" si="230"/>
        <v>x</v>
      </c>
      <c r="JM41" s="112"/>
      <c r="JN41" s="112"/>
      <c r="JO41" s="112"/>
      <c r="JP41" s="112"/>
      <c r="JQ41" s="112" t="str">
        <f t="shared" si="110"/>
        <v>x</v>
      </c>
      <c r="JR41" s="112"/>
      <c r="JS41" s="112" t="str">
        <f t="shared" si="231"/>
        <v>x</v>
      </c>
      <c r="JT41" s="111"/>
      <c r="JU41" s="111"/>
      <c r="JV41" s="112"/>
      <c r="JW41" s="112"/>
      <c r="JX41" s="112"/>
      <c r="JY41" s="112"/>
      <c r="JZ41" s="112" t="str">
        <f t="shared" si="232"/>
        <v>x</v>
      </c>
      <c r="KA41" s="112" t="str">
        <f t="shared" si="233"/>
        <v>x</v>
      </c>
      <c r="KB41" s="112" t="str">
        <f t="shared" si="234"/>
        <v>x</v>
      </c>
      <c r="KC41" s="112" t="str">
        <f t="shared" si="235"/>
        <v>x</v>
      </c>
      <c r="KD41" s="112" t="str">
        <f t="shared" si="111"/>
        <v>x</v>
      </c>
      <c r="KE41" s="112" t="str">
        <f t="shared" si="236"/>
        <v>x</v>
      </c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1"/>
      <c r="LC41" s="111"/>
      <c r="LD41" s="111"/>
      <c r="LE41" s="111"/>
      <c r="LF41" s="112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2"/>
      <c r="LT41" s="111"/>
      <c r="LU41" s="111"/>
      <c r="LV41" s="111"/>
      <c r="LW41" s="111"/>
      <c r="LX41" s="111"/>
      <c r="LY41" s="112" t="str">
        <f t="shared" si="237"/>
        <v>x</v>
      </c>
      <c r="LZ41" s="111"/>
      <c r="MA41" s="111"/>
      <c r="MB41" s="111"/>
      <c r="MC41" s="112" t="str">
        <f t="shared" si="238"/>
        <v>x</v>
      </c>
      <c r="MD41" s="111"/>
      <c r="ME41" s="112" t="str">
        <f t="shared" si="239"/>
        <v>x</v>
      </c>
      <c r="MF41" s="112" t="str">
        <f t="shared" si="240"/>
        <v>x</v>
      </c>
      <c r="MG41" s="112" t="str">
        <f t="shared" si="241"/>
        <v>x</v>
      </c>
      <c r="MH41" s="112" t="str">
        <f t="shared" si="112"/>
        <v>x</v>
      </c>
    </row>
    <row r="42" spans="1:346" x14ac:dyDescent="0.25">
      <c r="A42" s="110" t="s">
        <v>1</v>
      </c>
      <c r="B42" s="101" t="s">
        <v>64</v>
      </c>
      <c r="C42" s="102"/>
      <c r="D42" s="102"/>
      <c r="E42" s="102"/>
      <c r="F42" s="102"/>
      <c r="G42" s="102"/>
      <c r="H42" s="102"/>
      <c r="I42" s="102"/>
      <c r="J42" s="103"/>
      <c r="K42" s="112" t="str">
        <f t="shared" si="113"/>
        <v>x</v>
      </c>
      <c r="L42" s="111"/>
      <c r="M42" s="112" t="str">
        <f t="shared" si="84"/>
        <v>x</v>
      </c>
      <c r="N42" s="112" t="str">
        <f t="shared" si="114"/>
        <v>x</v>
      </c>
      <c r="O42" s="112" t="str">
        <f t="shared" si="115"/>
        <v>x</v>
      </c>
      <c r="P42" s="112" t="str">
        <f t="shared" si="116"/>
        <v>x</v>
      </c>
      <c r="Q42" s="112" t="str">
        <f t="shared" si="117"/>
        <v>x</v>
      </c>
      <c r="R42" s="112"/>
      <c r="S42" s="112" t="str">
        <f t="shared" si="118"/>
        <v>x</v>
      </c>
      <c r="T42" s="112" t="str">
        <f t="shared" si="119"/>
        <v>x</v>
      </c>
      <c r="U42" s="112"/>
      <c r="V42" s="112"/>
      <c r="W42" s="112" t="str">
        <f t="shared" si="120"/>
        <v>x</v>
      </c>
      <c r="X42" s="112" t="str">
        <f t="shared" si="121"/>
        <v>x</v>
      </c>
      <c r="Y42" s="112"/>
      <c r="Z42" s="112"/>
      <c r="AA42" s="112"/>
      <c r="AB42" s="112"/>
      <c r="AC42" s="112" t="str">
        <f t="shared" si="122"/>
        <v>x</v>
      </c>
      <c r="AD42" s="112"/>
      <c r="AE42" s="112" t="str">
        <f t="shared" si="123"/>
        <v>x</v>
      </c>
      <c r="AF42" s="112" t="str">
        <f t="shared" si="124"/>
        <v>x</v>
      </c>
      <c r="AG42" s="111"/>
      <c r="AH42" s="112" t="str">
        <f t="shared" si="125"/>
        <v>x</v>
      </c>
      <c r="AI42" s="112" t="str">
        <f t="shared" si="126"/>
        <v>x</v>
      </c>
      <c r="AJ42" s="112" t="str">
        <f t="shared" si="127"/>
        <v>x</v>
      </c>
      <c r="AK42" s="112" t="str">
        <f t="shared" si="128"/>
        <v>x</v>
      </c>
      <c r="AL42" s="112"/>
      <c r="AM42" s="112" t="str">
        <f t="shared" si="129"/>
        <v>x</v>
      </c>
      <c r="AN42" s="112"/>
      <c r="AO42" s="112"/>
      <c r="AP42" s="112"/>
      <c r="AQ42" s="112"/>
      <c r="AR42" s="112"/>
      <c r="AS42" s="112" t="str">
        <f t="shared" si="130"/>
        <v>x</v>
      </c>
      <c r="AT42" s="112"/>
      <c r="AU42" s="114" t="str">
        <f t="shared" si="131"/>
        <v>x</v>
      </c>
      <c r="AV42" s="114" t="str">
        <f t="shared" si="85"/>
        <v>x</v>
      </c>
      <c r="AW42" s="114" t="str">
        <f t="shared" si="86"/>
        <v>x</v>
      </c>
      <c r="AX42" s="112" t="str">
        <f t="shared" si="132"/>
        <v>x</v>
      </c>
      <c r="AY42" s="111"/>
      <c r="AZ42" s="112" t="str">
        <f t="shared" si="87"/>
        <v>x</v>
      </c>
      <c r="BA42" s="112" t="str">
        <f t="shared" si="88"/>
        <v>x</v>
      </c>
      <c r="BB42" s="112"/>
      <c r="BC42" s="112" t="str">
        <f t="shared" si="133"/>
        <v>x</v>
      </c>
      <c r="BD42" s="112" t="str">
        <f t="shared" si="134"/>
        <v>x</v>
      </c>
      <c r="BE42" s="112" t="str">
        <f t="shared" si="135"/>
        <v>x</v>
      </c>
      <c r="BF42" s="111"/>
      <c r="BG42" s="112" t="str">
        <f t="shared" si="136"/>
        <v>x</v>
      </c>
      <c r="BH42" s="112" t="str">
        <f t="shared" si="137"/>
        <v>x</v>
      </c>
      <c r="BI42" s="112" t="str">
        <f t="shared" si="138"/>
        <v>x</v>
      </c>
      <c r="BJ42" s="112" t="str">
        <f t="shared" si="139"/>
        <v>x</v>
      </c>
      <c r="BK42" s="112" t="str">
        <f t="shared" si="140"/>
        <v>x</v>
      </c>
      <c r="BL42" s="112" t="str">
        <f t="shared" si="89"/>
        <v>x</v>
      </c>
      <c r="BM42" s="112" t="str">
        <f t="shared" si="141"/>
        <v>x</v>
      </c>
      <c r="BN42" s="111"/>
      <c r="BO42" s="111"/>
      <c r="BP42" s="112" t="str">
        <f t="shared" si="142"/>
        <v>x</v>
      </c>
      <c r="BQ42" s="111"/>
      <c r="BR42" s="112" t="str">
        <f t="shared" si="90"/>
        <v>x</v>
      </c>
      <c r="BS42" s="112" t="str">
        <f t="shared" si="143"/>
        <v>x</v>
      </c>
      <c r="BT42" s="111"/>
      <c r="BU42" s="112" t="str">
        <f t="shared" si="91"/>
        <v>x</v>
      </c>
      <c r="BV42" s="112" t="str">
        <f t="shared" si="144"/>
        <v>x</v>
      </c>
      <c r="BW42" s="112"/>
      <c r="BX42" s="112"/>
      <c r="BY42" s="112" t="str">
        <f t="shared" si="145"/>
        <v>x</v>
      </c>
      <c r="BZ42" s="112" t="str">
        <f t="shared" si="92"/>
        <v>x</v>
      </c>
      <c r="CA42" s="112" t="str">
        <f t="shared" si="93"/>
        <v>x</v>
      </c>
      <c r="CB42" s="112" t="str">
        <f t="shared" si="94"/>
        <v>x</v>
      </c>
      <c r="CC42" s="112"/>
      <c r="CD42" s="112"/>
      <c r="CE42" s="112" t="str">
        <f t="shared" si="146"/>
        <v>x</v>
      </c>
      <c r="CF42" s="112" t="str">
        <f t="shared" si="147"/>
        <v>x</v>
      </c>
      <c r="CG42" s="112" t="str">
        <f t="shared" si="148"/>
        <v>x</v>
      </c>
      <c r="CH42" s="112"/>
      <c r="CI42" s="112" t="str">
        <f t="shared" si="149"/>
        <v>x</v>
      </c>
      <c r="CJ42" s="112" t="str">
        <f t="shared" si="95"/>
        <v>x</v>
      </c>
      <c r="CK42" s="112" t="str">
        <f t="shared" si="150"/>
        <v>x</v>
      </c>
      <c r="CL42" s="112"/>
      <c r="CM42" s="112"/>
      <c r="CN42" s="112"/>
      <c r="CO42" s="112" t="str">
        <f t="shared" si="151"/>
        <v>x</v>
      </c>
      <c r="CP42" s="112"/>
      <c r="CQ42" s="112" t="str">
        <f t="shared" si="152"/>
        <v>x</v>
      </c>
      <c r="CR42" s="112"/>
      <c r="CS42" s="112"/>
      <c r="CT42" s="112" t="str">
        <f t="shared" si="153"/>
        <v>x</v>
      </c>
      <c r="CU42" s="112"/>
      <c r="CV42" s="112"/>
      <c r="CW42" s="112"/>
      <c r="CX42" s="112" t="str">
        <f t="shared" si="154"/>
        <v>x</v>
      </c>
      <c r="CY42" s="112"/>
      <c r="CZ42" s="112" t="str">
        <f t="shared" si="96"/>
        <v>x</v>
      </c>
      <c r="DA42" s="112"/>
      <c r="DB42" s="115" t="str">
        <f t="shared" si="155"/>
        <v>x</v>
      </c>
      <c r="DC42" s="112"/>
      <c r="DD42" s="112"/>
      <c r="DE42" s="112" t="str">
        <f t="shared" si="97"/>
        <v>x</v>
      </c>
      <c r="DF42" s="115" t="str">
        <f t="shared" si="98"/>
        <v>x</v>
      </c>
      <c r="DG42" s="112" t="str">
        <f t="shared" si="99"/>
        <v>x</v>
      </c>
      <c r="DH42" s="112" t="str">
        <f t="shared" si="100"/>
        <v>x</v>
      </c>
      <c r="DI42" s="112" t="str">
        <f t="shared" si="156"/>
        <v>x</v>
      </c>
      <c r="DJ42" s="112"/>
      <c r="DK42" s="112" t="str">
        <f t="shared" si="157"/>
        <v>x</v>
      </c>
      <c r="DL42" s="112"/>
      <c r="DM42" s="112"/>
      <c r="DN42" s="112" t="str">
        <f t="shared" si="158"/>
        <v>x</v>
      </c>
      <c r="DO42" s="111"/>
      <c r="DP42" s="112" t="str">
        <f t="shared" si="159"/>
        <v>x</v>
      </c>
      <c r="DQ42" s="112" t="str">
        <f t="shared" si="160"/>
        <v>x</v>
      </c>
      <c r="DR42" s="112" t="str">
        <f t="shared" si="161"/>
        <v>x</v>
      </c>
      <c r="DS42" s="112" t="str">
        <f t="shared" si="162"/>
        <v>x</v>
      </c>
      <c r="DT42" s="112"/>
      <c r="DU42" s="112" t="str">
        <f t="shared" si="163"/>
        <v>x</v>
      </c>
      <c r="DV42" s="112"/>
      <c r="DW42" s="112" t="str">
        <f t="shared" si="164"/>
        <v>x</v>
      </c>
      <c r="DX42" s="112" t="str">
        <f t="shared" si="165"/>
        <v>x</v>
      </c>
      <c r="DY42" s="112" t="str">
        <f t="shared" si="166"/>
        <v>x</v>
      </c>
      <c r="DZ42" s="112" t="str">
        <f t="shared" si="167"/>
        <v>x</v>
      </c>
      <c r="EA42" s="112" t="str">
        <f t="shared" si="168"/>
        <v>x</v>
      </c>
      <c r="EB42" s="112" t="str">
        <f t="shared" si="169"/>
        <v>x</v>
      </c>
      <c r="EC42" s="111"/>
      <c r="ED42" s="111"/>
      <c r="EE42" s="111"/>
      <c r="EF42" s="111"/>
      <c r="EG42" s="111"/>
      <c r="EH42" s="111"/>
      <c r="EI42" s="112"/>
      <c r="EJ42" s="112" t="str">
        <f t="shared" si="170"/>
        <v>x</v>
      </c>
      <c r="EK42" s="112" t="str">
        <f t="shared" si="171"/>
        <v>x</v>
      </c>
      <c r="EL42" s="112" t="str">
        <f t="shared" si="172"/>
        <v>x</v>
      </c>
      <c r="EM42" s="112" t="str">
        <f t="shared" si="173"/>
        <v>x</v>
      </c>
      <c r="EN42" s="112" t="str">
        <f t="shared" si="174"/>
        <v>x</v>
      </c>
      <c r="EO42" s="117" t="str">
        <f t="shared" si="101"/>
        <v>x</v>
      </c>
      <c r="EP42" s="117" t="str">
        <f t="shared" si="175"/>
        <v>x</v>
      </c>
      <c r="EQ42" s="112" t="str">
        <f t="shared" si="176"/>
        <v>x</v>
      </c>
      <c r="ER42" s="112"/>
      <c r="ES42" s="112" t="str">
        <f t="shared" si="102"/>
        <v>x</v>
      </c>
      <c r="ET42" s="112" t="str">
        <f t="shared" si="177"/>
        <v>x</v>
      </c>
      <c r="EU42" s="112" t="str">
        <f t="shared" si="178"/>
        <v>x</v>
      </c>
      <c r="EV42" s="112" t="str">
        <f t="shared" si="103"/>
        <v>x</v>
      </c>
      <c r="EW42" s="112" t="str">
        <f t="shared" si="179"/>
        <v>x</v>
      </c>
      <c r="EX42" s="112" t="str">
        <f t="shared" si="180"/>
        <v>x</v>
      </c>
      <c r="EY42" s="112" t="str">
        <f t="shared" si="181"/>
        <v>x</v>
      </c>
      <c r="EZ42" s="112"/>
      <c r="FA42" s="112" t="str">
        <f t="shared" si="182"/>
        <v>x</v>
      </c>
      <c r="FB42" s="111"/>
      <c r="FC42" s="112" t="str">
        <f t="shared" si="104"/>
        <v>x</v>
      </c>
      <c r="FD42" s="112" t="str">
        <f t="shared" si="105"/>
        <v>x</v>
      </c>
      <c r="FE42" s="112" t="str">
        <f t="shared" si="106"/>
        <v>x</v>
      </c>
      <c r="FF42" s="112" t="str">
        <f t="shared" si="107"/>
        <v>x</v>
      </c>
      <c r="FG42" s="111"/>
      <c r="FH42" s="111"/>
      <c r="FI42" s="112" t="str">
        <f t="shared" si="183"/>
        <v>x</v>
      </c>
      <c r="FJ42" s="112" t="str">
        <f t="shared" si="184"/>
        <v>x</v>
      </c>
      <c r="FK42" s="112" t="str">
        <f t="shared" si="185"/>
        <v>x</v>
      </c>
      <c r="FL42" s="112"/>
      <c r="FM42" s="112" t="str">
        <f t="shared" si="186"/>
        <v>x</v>
      </c>
      <c r="FN42" s="112"/>
      <c r="FO42" s="112" t="str">
        <f t="shared" si="187"/>
        <v>x</v>
      </c>
      <c r="FP42" s="112" t="str">
        <f t="shared" si="188"/>
        <v>x</v>
      </c>
      <c r="FQ42" s="112" t="str">
        <f t="shared" si="189"/>
        <v>x</v>
      </c>
      <c r="FR42" s="112" t="str">
        <f t="shared" si="190"/>
        <v>x</v>
      </c>
      <c r="FS42" s="112" t="str">
        <f t="shared" si="191"/>
        <v>x</v>
      </c>
      <c r="FT42" s="112" t="str">
        <f t="shared" si="192"/>
        <v>x</v>
      </c>
      <c r="FU42" s="112" t="str">
        <f t="shared" si="193"/>
        <v>x</v>
      </c>
      <c r="FV42" s="112" t="str">
        <f t="shared" si="194"/>
        <v>x</v>
      </c>
      <c r="FW42" s="112" t="str">
        <f t="shared" si="195"/>
        <v>x</v>
      </c>
      <c r="FX42" s="112" t="str">
        <f t="shared" si="196"/>
        <v>x</v>
      </c>
      <c r="FY42" s="112" t="str">
        <f t="shared" si="197"/>
        <v>x</v>
      </c>
      <c r="FZ42" s="112"/>
      <c r="GA42" s="112" t="str">
        <f t="shared" si="198"/>
        <v>x</v>
      </c>
      <c r="GB42" s="112"/>
      <c r="GC42" s="112" t="str">
        <f t="shared" si="199"/>
        <v>x</v>
      </c>
      <c r="GD42" s="112"/>
      <c r="GE42" s="112"/>
      <c r="GF42" s="112"/>
      <c r="GG42" s="112"/>
      <c r="GH42" s="112" t="str">
        <f t="shared" si="200"/>
        <v>x</v>
      </c>
      <c r="GI42" s="112" t="str">
        <f t="shared" si="201"/>
        <v>x</v>
      </c>
      <c r="GJ42" s="111"/>
      <c r="GK42" s="111"/>
      <c r="GL42" s="112" t="str">
        <f t="shared" si="202"/>
        <v>x</v>
      </c>
      <c r="GM42" s="112"/>
      <c r="GN42" s="112" t="str">
        <f t="shared" si="203"/>
        <v>x</v>
      </c>
      <c r="GO42" s="112" t="str">
        <f t="shared" si="204"/>
        <v>x</v>
      </c>
      <c r="GP42" s="112"/>
      <c r="GQ42" s="112" t="str">
        <f t="shared" si="205"/>
        <v>x</v>
      </c>
      <c r="GR42" s="112" t="str">
        <f t="shared" si="206"/>
        <v>x</v>
      </c>
      <c r="GS42" s="112"/>
      <c r="GT42" s="112" t="str">
        <f t="shared" si="207"/>
        <v>x</v>
      </c>
      <c r="GU42" s="112"/>
      <c r="GV42" s="112"/>
      <c r="GW42" s="112" t="str">
        <f t="shared" si="208"/>
        <v>x</v>
      </c>
      <c r="GX42" s="112"/>
      <c r="GY42" s="112"/>
      <c r="GZ42" s="112"/>
      <c r="HA42" s="112"/>
      <c r="HB42" s="112" t="str">
        <f t="shared" si="48"/>
        <v>x</v>
      </c>
      <c r="HC42" s="112" t="str">
        <f t="shared" si="209"/>
        <v>x</v>
      </c>
      <c r="HD42" s="112" t="str">
        <f t="shared" si="210"/>
        <v>x</v>
      </c>
      <c r="HE42" s="112" t="str">
        <f t="shared" si="211"/>
        <v>x</v>
      </c>
      <c r="HF42" s="112" t="str">
        <f t="shared" si="212"/>
        <v>x</v>
      </c>
      <c r="HG42" s="112"/>
      <c r="HH42" s="112"/>
      <c r="HI42" s="112" t="str">
        <f t="shared" si="213"/>
        <v>x</v>
      </c>
      <c r="HJ42" s="112"/>
      <c r="HK42" s="112" t="str">
        <f t="shared" si="214"/>
        <v>x</v>
      </c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 t="str">
        <f t="shared" si="215"/>
        <v>x</v>
      </c>
      <c r="HX42" s="112" t="str">
        <f t="shared" si="108"/>
        <v>x</v>
      </c>
      <c r="HY42" s="112" t="str">
        <f t="shared" si="109"/>
        <v>x</v>
      </c>
      <c r="HZ42" s="112"/>
      <c r="IA42" s="112"/>
      <c r="IB42" s="112"/>
      <c r="IC42" s="112" t="str">
        <f t="shared" si="216"/>
        <v>x</v>
      </c>
      <c r="ID42" s="112"/>
      <c r="IE42" s="112"/>
      <c r="IF42" s="112"/>
      <c r="IG42" s="111"/>
      <c r="IH42" s="112"/>
      <c r="II42" s="112"/>
      <c r="IJ42" s="112" t="str">
        <f t="shared" si="217"/>
        <v>x</v>
      </c>
      <c r="IK42" s="112" t="str">
        <f t="shared" si="218"/>
        <v>x</v>
      </c>
      <c r="IL42" s="111"/>
      <c r="IM42" s="112" t="str">
        <f t="shared" si="219"/>
        <v>x</v>
      </c>
      <c r="IN42" s="112"/>
      <c r="IO42" s="111"/>
      <c r="IP42" s="112" t="str">
        <f t="shared" si="220"/>
        <v>x</v>
      </c>
      <c r="IQ42" s="112" t="str">
        <f t="shared" si="221"/>
        <v>x</v>
      </c>
      <c r="IR42" s="111"/>
      <c r="IS42" s="111"/>
      <c r="IT42" s="111"/>
      <c r="IU42" s="112" t="str">
        <f t="shared" si="222"/>
        <v>x</v>
      </c>
      <c r="IV42" s="112" t="str">
        <f t="shared" si="223"/>
        <v>x</v>
      </c>
      <c r="IW42" s="112"/>
      <c r="IX42" s="112" t="str">
        <f t="shared" si="224"/>
        <v>x</v>
      </c>
      <c r="IY42" s="111"/>
      <c r="IZ42" s="112" t="str">
        <f t="shared" si="225"/>
        <v>x</v>
      </c>
      <c r="JA42" s="111"/>
      <c r="JB42" s="112"/>
      <c r="JC42" s="111"/>
      <c r="JD42" s="112"/>
      <c r="JE42" s="112"/>
      <c r="JF42" s="112" t="str">
        <f t="shared" si="226"/>
        <v>x</v>
      </c>
      <c r="JG42" s="112" t="str">
        <f t="shared" si="227"/>
        <v>x</v>
      </c>
      <c r="JH42" s="111"/>
      <c r="JI42" s="112"/>
      <c r="JJ42" s="112" t="str">
        <f t="shared" si="228"/>
        <v>x</v>
      </c>
      <c r="JK42" s="112" t="str">
        <f t="shared" si="229"/>
        <v>x</v>
      </c>
      <c r="JL42" s="112" t="str">
        <f t="shared" si="230"/>
        <v>x</v>
      </c>
      <c r="JM42" s="112"/>
      <c r="JN42" s="112"/>
      <c r="JO42" s="112"/>
      <c r="JP42" s="112"/>
      <c r="JQ42" s="112" t="str">
        <f t="shared" si="110"/>
        <v>x</v>
      </c>
      <c r="JR42" s="112"/>
      <c r="JS42" s="112" t="str">
        <f t="shared" si="231"/>
        <v>x</v>
      </c>
      <c r="JT42" s="111"/>
      <c r="JU42" s="111"/>
      <c r="JV42" s="112"/>
      <c r="JW42" s="112"/>
      <c r="JX42" s="112"/>
      <c r="JY42" s="112"/>
      <c r="JZ42" s="112" t="str">
        <f t="shared" si="232"/>
        <v>x</v>
      </c>
      <c r="KA42" s="112" t="str">
        <f t="shared" si="233"/>
        <v>x</v>
      </c>
      <c r="KB42" s="112" t="str">
        <f t="shared" si="234"/>
        <v>x</v>
      </c>
      <c r="KC42" s="112" t="str">
        <f t="shared" si="235"/>
        <v>x</v>
      </c>
      <c r="KD42" s="112" t="str">
        <f t="shared" si="111"/>
        <v>x</v>
      </c>
      <c r="KE42" s="112" t="str">
        <f t="shared" si="236"/>
        <v>x</v>
      </c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1"/>
      <c r="LC42" s="111"/>
      <c r="LD42" s="111"/>
      <c r="LE42" s="111"/>
      <c r="LF42" s="112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2"/>
      <c r="LT42" s="111"/>
      <c r="LU42" s="111"/>
      <c r="LV42" s="111"/>
      <c r="LW42" s="111"/>
      <c r="LX42" s="111"/>
      <c r="LY42" s="112" t="str">
        <f t="shared" si="237"/>
        <v>x</v>
      </c>
      <c r="LZ42" s="111"/>
      <c r="MA42" s="111"/>
      <c r="MB42" s="111"/>
      <c r="MC42" s="112" t="str">
        <f t="shared" si="238"/>
        <v>x</v>
      </c>
      <c r="MD42" s="111"/>
      <c r="ME42" s="112" t="str">
        <f t="shared" si="239"/>
        <v>x</v>
      </c>
      <c r="MF42" s="112" t="str">
        <f t="shared" si="240"/>
        <v>x</v>
      </c>
      <c r="MG42" s="112" t="str">
        <f t="shared" si="241"/>
        <v>x</v>
      </c>
      <c r="MH42" s="112" t="str">
        <f t="shared" si="112"/>
        <v>x</v>
      </c>
    </row>
    <row r="43" spans="1:346" x14ac:dyDescent="0.25">
      <c r="A43" s="110" t="s">
        <v>1</v>
      </c>
      <c r="B43" s="101" t="s">
        <v>65</v>
      </c>
      <c r="C43" s="102"/>
      <c r="D43" s="102"/>
      <c r="E43" s="102"/>
      <c r="F43" s="102"/>
      <c r="G43" s="102"/>
      <c r="H43" s="102"/>
      <c r="I43" s="102"/>
      <c r="J43" s="103"/>
      <c r="K43" s="112" t="str">
        <f t="shared" si="113"/>
        <v>x</v>
      </c>
      <c r="L43" s="111"/>
      <c r="M43" s="112" t="str">
        <f t="shared" si="84"/>
        <v>x</v>
      </c>
      <c r="N43" s="112" t="str">
        <f t="shared" si="114"/>
        <v>x</v>
      </c>
      <c r="O43" s="112" t="str">
        <f t="shared" si="115"/>
        <v>x</v>
      </c>
      <c r="P43" s="112" t="str">
        <f t="shared" si="116"/>
        <v>x</v>
      </c>
      <c r="Q43" s="112" t="str">
        <f t="shared" si="117"/>
        <v>x</v>
      </c>
      <c r="R43" s="112"/>
      <c r="S43" s="112" t="str">
        <f t="shared" si="118"/>
        <v>x</v>
      </c>
      <c r="T43" s="112" t="str">
        <f t="shared" si="119"/>
        <v>x</v>
      </c>
      <c r="U43" s="112"/>
      <c r="V43" s="112"/>
      <c r="W43" s="112" t="str">
        <f t="shared" si="120"/>
        <v>x</v>
      </c>
      <c r="X43" s="112" t="str">
        <f t="shared" si="121"/>
        <v>x</v>
      </c>
      <c r="Y43" s="112"/>
      <c r="Z43" s="112"/>
      <c r="AA43" s="112"/>
      <c r="AB43" s="112"/>
      <c r="AC43" s="112" t="str">
        <f t="shared" si="122"/>
        <v>x</v>
      </c>
      <c r="AD43" s="112"/>
      <c r="AE43" s="112" t="str">
        <f t="shared" si="123"/>
        <v>x</v>
      </c>
      <c r="AF43" s="112" t="str">
        <f t="shared" si="124"/>
        <v>x</v>
      </c>
      <c r="AG43" s="111"/>
      <c r="AH43" s="112" t="str">
        <f t="shared" si="125"/>
        <v>x</v>
      </c>
      <c r="AI43" s="112" t="str">
        <f t="shared" si="126"/>
        <v>x</v>
      </c>
      <c r="AJ43" s="112" t="str">
        <f t="shared" si="127"/>
        <v>x</v>
      </c>
      <c r="AK43" s="112" t="str">
        <f t="shared" si="128"/>
        <v>x</v>
      </c>
      <c r="AL43" s="112"/>
      <c r="AM43" s="112" t="str">
        <f t="shared" si="129"/>
        <v>x</v>
      </c>
      <c r="AN43" s="112"/>
      <c r="AO43" s="112"/>
      <c r="AP43" s="112"/>
      <c r="AQ43" s="112"/>
      <c r="AR43" s="112"/>
      <c r="AS43" s="112" t="str">
        <f t="shared" si="130"/>
        <v>x</v>
      </c>
      <c r="AT43" s="112"/>
      <c r="AU43" s="114" t="str">
        <f t="shared" si="131"/>
        <v>x</v>
      </c>
      <c r="AV43" s="114" t="str">
        <f t="shared" si="85"/>
        <v>x</v>
      </c>
      <c r="AW43" s="114" t="str">
        <f t="shared" si="86"/>
        <v>x</v>
      </c>
      <c r="AX43" s="112" t="str">
        <f t="shared" si="132"/>
        <v>x</v>
      </c>
      <c r="AY43" s="111"/>
      <c r="AZ43" s="112" t="str">
        <f t="shared" si="87"/>
        <v>x</v>
      </c>
      <c r="BA43" s="112" t="str">
        <f t="shared" si="88"/>
        <v>x</v>
      </c>
      <c r="BB43" s="112"/>
      <c r="BC43" s="112" t="str">
        <f t="shared" si="133"/>
        <v>x</v>
      </c>
      <c r="BD43" s="112" t="str">
        <f t="shared" si="134"/>
        <v>x</v>
      </c>
      <c r="BE43" s="112" t="str">
        <f t="shared" si="135"/>
        <v>x</v>
      </c>
      <c r="BF43" s="111"/>
      <c r="BG43" s="112" t="str">
        <f t="shared" si="136"/>
        <v>x</v>
      </c>
      <c r="BH43" s="112" t="str">
        <f t="shared" si="137"/>
        <v>x</v>
      </c>
      <c r="BI43" s="112" t="str">
        <f t="shared" si="138"/>
        <v>x</v>
      </c>
      <c r="BJ43" s="112" t="str">
        <f t="shared" si="139"/>
        <v>x</v>
      </c>
      <c r="BK43" s="112" t="str">
        <f t="shared" si="140"/>
        <v>x</v>
      </c>
      <c r="BL43" s="112" t="str">
        <f t="shared" si="89"/>
        <v>x</v>
      </c>
      <c r="BM43" s="112" t="str">
        <f t="shared" si="141"/>
        <v>x</v>
      </c>
      <c r="BN43" s="111"/>
      <c r="BO43" s="111"/>
      <c r="BP43" s="112" t="str">
        <f t="shared" si="142"/>
        <v>x</v>
      </c>
      <c r="BQ43" s="111"/>
      <c r="BR43" s="112" t="str">
        <f t="shared" si="90"/>
        <v>x</v>
      </c>
      <c r="BS43" s="112" t="str">
        <f t="shared" si="143"/>
        <v>x</v>
      </c>
      <c r="BT43" s="111"/>
      <c r="BU43" s="112" t="str">
        <f t="shared" si="91"/>
        <v>x</v>
      </c>
      <c r="BV43" s="112" t="str">
        <f t="shared" si="144"/>
        <v>x</v>
      </c>
      <c r="BW43" s="112"/>
      <c r="BX43" s="112"/>
      <c r="BY43" s="112" t="str">
        <f t="shared" si="145"/>
        <v>x</v>
      </c>
      <c r="BZ43" s="112" t="str">
        <f t="shared" si="92"/>
        <v>x</v>
      </c>
      <c r="CA43" s="112" t="str">
        <f t="shared" si="93"/>
        <v>x</v>
      </c>
      <c r="CB43" s="112" t="str">
        <f t="shared" si="94"/>
        <v>x</v>
      </c>
      <c r="CC43" s="112"/>
      <c r="CD43" s="112"/>
      <c r="CE43" s="112" t="str">
        <f t="shared" si="146"/>
        <v>x</v>
      </c>
      <c r="CF43" s="112" t="str">
        <f t="shared" si="147"/>
        <v>x</v>
      </c>
      <c r="CG43" s="112" t="str">
        <f t="shared" si="148"/>
        <v>x</v>
      </c>
      <c r="CH43" s="112"/>
      <c r="CI43" s="112" t="str">
        <f t="shared" si="149"/>
        <v>x</v>
      </c>
      <c r="CJ43" s="112" t="str">
        <f t="shared" si="95"/>
        <v>x</v>
      </c>
      <c r="CK43" s="112" t="str">
        <f t="shared" si="150"/>
        <v>x</v>
      </c>
      <c r="CL43" s="112"/>
      <c r="CM43" s="112"/>
      <c r="CN43" s="112"/>
      <c r="CO43" s="112" t="str">
        <f t="shared" si="151"/>
        <v>x</v>
      </c>
      <c r="CP43" s="112"/>
      <c r="CQ43" s="112" t="str">
        <f t="shared" si="152"/>
        <v>x</v>
      </c>
      <c r="CR43" s="112"/>
      <c r="CS43" s="112"/>
      <c r="CT43" s="112" t="str">
        <f t="shared" si="153"/>
        <v>x</v>
      </c>
      <c r="CU43" s="112"/>
      <c r="CV43" s="112"/>
      <c r="CW43" s="112"/>
      <c r="CX43" s="112" t="str">
        <f t="shared" si="154"/>
        <v>x</v>
      </c>
      <c r="CY43" s="112"/>
      <c r="CZ43" s="112" t="str">
        <f t="shared" si="96"/>
        <v>x</v>
      </c>
      <c r="DA43" s="112"/>
      <c r="DB43" s="115" t="str">
        <f t="shared" si="155"/>
        <v>x</v>
      </c>
      <c r="DC43" s="112"/>
      <c r="DD43" s="112"/>
      <c r="DE43" s="112" t="str">
        <f t="shared" si="97"/>
        <v>x</v>
      </c>
      <c r="DF43" s="115" t="str">
        <f t="shared" si="98"/>
        <v>x</v>
      </c>
      <c r="DG43" s="112" t="str">
        <f t="shared" si="99"/>
        <v>x</v>
      </c>
      <c r="DH43" s="112" t="str">
        <f t="shared" si="100"/>
        <v>x</v>
      </c>
      <c r="DI43" s="112" t="str">
        <f t="shared" si="156"/>
        <v>x</v>
      </c>
      <c r="DJ43" s="112"/>
      <c r="DK43" s="112" t="str">
        <f t="shared" si="157"/>
        <v>x</v>
      </c>
      <c r="DL43" s="112"/>
      <c r="DM43" s="112"/>
      <c r="DN43" s="112" t="str">
        <f t="shared" si="158"/>
        <v>x</v>
      </c>
      <c r="DO43" s="111"/>
      <c r="DP43" s="112" t="str">
        <f t="shared" si="159"/>
        <v>x</v>
      </c>
      <c r="DQ43" s="112" t="str">
        <f t="shared" si="160"/>
        <v>x</v>
      </c>
      <c r="DR43" s="112" t="str">
        <f t="shared" si="161"/>
        <v>x</v>
      </c>
      <c r="DS43" s="112" t="str">
        <f t="shared" si="162"/>
        <v>x</v>
      </c>
      <c r="DT43" s="112"/>
      <c r="DU43" s="112" t="str">
        <f t="shared" si="163"/>
        <v>x</v>
      </c>
      <c r="DV43" s="112"/>
      <c r="DW43" s="112" t="str">
        <f t="shared" si="164"/>
        <v>x</v>
      </c>
      <c r="DX43" s="112" t="str">
        <f t="shared" si="165"/>
        <v>x</v>
      </c>
      <c r="DY43" s="112" t="str">
        <f t="shared" si="166"/>
        <v>x</v>
      </c>
      <c r="DZ43" s="112" t="str">
        <f t="shared" si="167"/>
        <v>x</v>
      </c>
      <c r="EA43" s="112" t="str">
        <f t="shared" si="168"/>
        <v>x</v>
      </c>
      <c r="EB43" s="112" t="str">
        <f t="shared" si="169"/>
        <v>x</v>
      </c>
      <c r="EC43" s="111"/>
      <c r="ED43" s="111"/>
      <c r="EE43" s="111"/>
      <c r="EF43" s="111"/>
      <c r="EG43" s="111"/>
      <c r="EH43" s="111"/>
      <c r="EI43" s="112"/>
      <c r="EJ43" s="112" t="str">
        <f t="shared" si="170"/>
        <v>x</v>
      </c>
      <c r="EK43" s="112" t="str">
        <f t="shared" si="171"/>
        <v>x</v>
      </c>
      <c r="EL43" s="112" t="str">
        <f t="shared" si="172"/>
        <v>x</v>
      </c>
      <c r="EM43" s="112" t="str">
        <f t="shared" si="173"/>
        <v>x</v>
      </c>
      <c r="EN43" s="112" t="str">
        <f t="shared" si="174"/>
        <v>x</v>
      </c>
      <c r="EO43" s="117" t="str">
        <f t="shared" si="101"/>
        <v>x</v>
      </c>
      <c r="EP43" s="117" t="str">
        <f t="shared" si="175"/>
        <v>x</v>
      </c>
      <c r="EQ43" s="112" t="str">
        <f t="shared" si="176"/>
        <v>x</v>
      </c>
      <c r="ER43" s="112"/>
      <c r="ES43" s="112" t="str">
        <f t="shared" si="102"/>
        <v>x</v>
      </c>
      <c r="ET43" s="112" t="str">
        <f t="shared" si="177"/>
        <v>x</v>
      </c>
      <c r="EU43" s="112" t="str">
        <f t="shared" si="178"/>
        <v>x</v>
      </c>
      <c r="EV43" s="112" t="str">
        <f t="shared" si="103"/>
        <v>x</v>
      </c>
      <c r="EW43" s="112" t="str">
        <f t="shared" si="179"/>
        <v>x</v>
      </c>
      <c r="EX43" s="112" t="str">
        <f t="shared" si="180"/>
        <v>x</v>
      </c>
      <c r="EY43" s="112" t="str">
        <f t="shared" si="181"/>
        <v>x</v>
      </c>
      <c r="EZ43" s="112"/>
      <c r="FA43" s="112" t="str">
        <f t="shared" si="182"/>
        <v>x</v>
      </c>
      <c r="FB43" s="111"/>
      <c r="FC43" s="112" t="str">
        <f t="shared" si="104"/>
        <v>x</v>
      </c>
      <c r="FD43" s="112" t="str">
        <f t="shared" si="105"/>
        <v>x</v>
      </c>
      <c r="FE43" s="112" t="str">
        <f t="shared" si="106"/>
        <v>x</v>
      </c>
      <c r="FF43" s="112" t="str">
        <f t="shared" si="107"/>
        <v>x</v>
      </c>
      <c r="FG43" s="111"/>
      <c r="FH43" s="111"/>
      <c r="FI43" s="112" t="str">
        <f t="shared" si="183"/>
        <v>x</v>
      </c>
      <c r="FJ43" s="112" t="str">
        <f t="shared" si="184"/>
        <v>x</v>
      </c>
      <c r="FK43" s="112" t="str">
        <f t="shared" si="185"/>
        <v>x</v>
      </c>
      <c r="FL43" s="112"/>
      <c r="FM43" s="112" t="str">
        <f t="shared" si="186"/>
        <v>x</v>
      </c>
      <c r="FN43" s="112"/>
      <c r="FO43" s="112" t="str">
        <f t="shared" si="187"/>
        <v>x</v>
      </c>
      <c r="FP43" s="112" t="str">
        <f t="shared" si="188"/>
        <v>x</v>
      </c>
      <c r="FQ43" s="112" t="str">
        <f t="shared" si="189"/>
        <v>x</v>
      </c>
      <c r="FR43" s="112" t="str">
        <f t="shared" si="190"/>
        <v>x</v>
      </c>
      <c r="FS43" s="112" t="str">
        <f t="shared" si="191"/>
        <v>x</v>
      </c>
      <c r="FT43" s="112" t="str">
        <f t="shared" si="192"/>
        <v>x</v>
      </c>
      <c r="FU43" s="112" t="str">
        <f t="shared" si="193"/>
        <v>x</v>
      </c>
      <c r="FV43" s="112" t="str">
        <f t="shared" si="194"/>
        <v>x</v>
      </c>
      <c r="FW43" s="112" t="str">
        <f t="shared" si="195"/>
        <v>x</v>
      </c>
      <c r="FX43" s="112" t="str">
        <f t="shared" si="196"/>
        <v>x</v>
      </c>
      <c r="FY43" s="112" t="str">
        <f t="shared" si="197"/>
        <v>x</v>
      </c>
      <c r="FZ43" s="112"/>
      <c r="GA43" s="112" t="str">
        <f t="shared" si="198"/>
        <v>x</v>
      </c>
      <c r="GB43" s="112"/>
      <c r="GC43" s="112" t="str">
        <f t="shared" si="199"/>
        <v>x</v>
      </c>
      <c r="GD43" s="112"/>
      <c r="GE43" s="112"/>
      <c r="GF43" s="112"/>
      <c r="GG43" s="112"/>
      <c r="GH43" s="112" t="str">
        <f t="shared" si="200"/>
        <v>x</v>
      </c>
      <c r="GI43" s="112" t="str">
        <f t="shared" si="201"/>
        <v>x</v>
      </c>
      <c r="GJ43" s="111"/>
      <c r="GK43" s="111"/>
      <c r="GL43" s="112" t="str">
        <f t="shared" si="202"/>
        <v>x</v>
      </c>
      <c r="GM43" s="112"/>
      <c r="GN43" s="112" t="str">
        <f t="shared" si="203"/>
        <v>x</v>
      </c>
      <c r="GO43" s="112" t="str">
        <f t="shared" si="204"/>
        <v>x</v>
      </c>
      <c r="GP43" s="112"/>
      <c r="GQ43" s="112" t="str">
        <f t="shared" si="205"/>
        <v>x</v>
      </c>
      <c r="GR43" s="112" t="str">
        <f t="shared" si="206"/>
        <v>x</v>
      </c>
      <c r="GS43" s="112"/>
      <c r="GT43" s="112" t="str">
        <f t="shared" si="207"/>
        <v>x</v>
      </c>
      <c r="GU43" s="112"/>
      <c r="GV43" s="112"/>
      <c r="GW43" s="112" t="str">
        <f t="shared" si="208"/>
        <v>x</v>
      </c>
      <c r="GX43" s="112"/>
      <c r="GY43" s="112"/>
      <c r="GZ43" s="112"/>
      <c r="HA43" s="112"/>
      <c r="HB43" s="112" t="str">
        <f t="shared" si="48"/>
        <v>x</v>
      </c>
      <c r="HC43" s="112" t="str">
        <f t="shared" si="209"/>
        <v>x</v>
      </c>
      <c r="HD43" s="112" t="str">
        <f t="shared" si="210"/>
        <v>x</v>
      </c>
      <c r="HE43" s="112" t="str">
        <f t="shared" si="211"/>
        <v>x</v>
      </c>
      <c r="HF43" s="112" t="str">
        <f t="shared" si="212"/>
        <v>x</v>
      </c>
      <c r="HG43" s="112"/>
      <c r="HH43" s="112"/>
      <c r="HI43" s="112" t="str">
        <f t="shared" si="213"/>
        <v>x</v>
      </c>
      <c r="HJ43" s="112"/>
      <c r="HK43" s="112" t="str">
        <f t="shared" si="214"/>
        <v>x</v>
      </c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 t="str">
        <f t="shared" si="215"/>
        <v>x</v>
      </c>
      <c r="HX43" s="112" t="str">
        <f t="shared" si="108"/>
        <v>x</v>
      </c>
      <c r="HY43" s="112" t="str">
        <f t="shared" si="109"/>
        <v>x</v>
      </c>
      <c r="HZ43" s="112"/>
      <c r="IA43" s="112"/>
      <c r="IB43" s="112"/>
      <c r="IC43" s="112" t="str">
        <f t="shared" si="216"/>
        <v>x</v>
      </c>
      <c r="ID43" s="112"/>
      <c r="IE43" s="112"/>
      <c r="IF43" s="112"/>
      <c r="IG43" s="111"/>
      <c r="IH43" s="112"/>
      <c r="II43" s="112"/>
      <c r="IJ43" s="112" t="str">
        <f t="shared" si="217"/>
        <v>x</v>
      </c>
      <c r="IK43" s="112" t="str">
        <f t="shared" si="218"/>
        <v>x</v>
      </c>
      <c r="IL43" s="111"/>
      <c r="IM43" s="112" t="str">
        <f t="shared" si="219"/>
        <v>x</v>
      </c>
      <c r="IN43" s="112"/>
      <c r="IO43" s="111"/>
      <c r="IP43" s="112" t="str">
        <f t="shared" si="220"/>
        <v>x</v>
      </c>
      <c r="IQ43" s="112" t="str">
        <f t="shared" si="221"/>
        <v>x</v>
      </c>
      <c r="IR43" s="111"/>
      <c r="IS43" s="111"/>
      <c r="IT43" s="111"/>
      <c r="IU43" s="112" t="str">
        <f t="shared" si="222"/>
        <v>x</v>
      </c>
      <c r="IV43" s="112" t="str">
        <f t="shared" si="223"/>
        <v>x</v>
      </c>
      <c r="IW43" s="112"/>
      <c r="IX43" s="112" t="str">
        <f t="shared" si="224"/>
        <v>x</v>
      </c>
      <c r="IY43" s="111"/>
      <c r="IZ43" s="112" t="str">
        <f t="shared" si="225"/>
        <v>x</v>
      </c>
      <c r="JA43" s="111"/>
      <c r="JB43" s="112"/>
      <c r="JC43" s="111"/>
      <c r="JD43" s="112"/>
      <c r="JE43" s="112"/>
      <c r="JF43" s="112" t="str">
        <f t="shared" si="226"/>
        <v>x</v>
      </c>
      <c r="JG43" s="112" t="str">
        <f t="shared" si="227"/>
        <v>x</v>
      </c>
      <c r="JH43" s="111"/>
      <c r="JI43" s="112"/>
      <c r="JJ43" s="112" t="str">
        <f t="shared" si="228"/>
        <v>x</v>
      </c>
      <c r="JK43" s="112" t="str">
        <f t="shared" si="229"/>
        <v>x</v>
      </c>
      <c r="JL43" s="112" t="str">
        <f t="shared" si="230"/>
        <v>x</v>
      </c>
      <c r="JM43" s="112"/>
      <c r="JN43" s="112"/>
      <c r="JO43" s="112"/>
      <c r="JP43" s="112"/>
      <c r="JQ43" s="112" t="str">
        <f t="shared" si="110"/>
        <v>x</v>
      </c>
      <c r="JR43" s="112"/>
      <c r="JS43" s="112" t="str">
        <f t="shared" si="231"/>
        <v>x</v>
      </c>
      <c r="JT43" s="111"/>
      <c r="JU43" s="111"/>
      <c r="JV43" s="112"/>
      <c r="JW43" s="112"/>
      <c r="JX43" s="112"/>
      <c r="JY43" s="112"/>
      <c r="JZ43" s="112" t="str">
        <f t="shared" si="232"/>
        <v>x</v>
      </c>
      <c r="KA43" s="112" t="str">
        <f t="shared" si="233"/>
        <v>x</v>
      </c>
      <c r="KB43" s="112" t="str">
        <f t="shared" si="234"/>
        <v>x</v>
      </c>
      <c r="KC43" s="112" t="str">
        <f t="shared" si="235"/>
        <v>x</v>
      </c>
      <c r="KD43" s="112" t="str">
        <f t="shared" si="111"/>
        <v>x</v>
      </c>
      <c r="KE43" s="112" t="str">
        <f t="shared" si="236"/>
        <v>x</v>
      </c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1"/>
      <c r="LC43" s="111"/>
      <c r="LD43" s="111"/>
      <c r="LE43" s="111"/>
      <c r="LF43" s="112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2"/>
      <c r="LT43" s="111"/>
      <c r="LU43" s="111"/>
      <c r="LV43" s="111"/>
      <c r="LW43" s="111"/>
      <c r="LX43" s="111"/>
      <c r="LY43" s="112" t="str">
        <f t="shared" si="237"/>
        <v>x</v>
      </c>
      <c r="LZ43" s="111"/>
      <c r="MA43" s="111"/>
      <c r="MB43" s="111"/>
      <c r="MC43" s="112" t="str">
        <f t="shared" si="238"/>
        <v>x</v>
      </c>
      <c r="MD43" s="111"/>
      <c r="ME43" s="112" t="str">
        <f t="shared" si="239"/>
        <v>x</v>
      </c>
      <c r="MF43" s="112" t="str">
        <f t="shared" si="240"/>
        <v>x</v>
      </c>
      <c r="MG43" s="112" t="str">
        <f t="shared" si="241"/>
        <v>x</v>
      </c>
      <c r="MH43" s="112" t="str">
        <f t="shared" si="112"/>
        <v>x</v>
      </c>
    </row>
    <row r="44" spans="1:346" x14ac:dyDescent="0.25">
      <c r="A44" s="110" t="s">
        <v>1</v>
      </c>
      <c r="B44" s="101" t="s">
        <v>66</v>
      </c>
      <c r="C44" s="102"/>
      <c r="D44" s="102"/>
      <c r="E44" s="102"/>
      <c r="F44" s="102"/>
      <c r="G44" s="102"/>
      <c r="H44" s="102"/>
      <c r="I44" s="102"/>
      <c r="J44" s="103"/>
      <c r="K44" s="112" t="str">
        <f t="shared" si="113"/>
        <v>x</v>
      </c>
      <c r="L44" s="111"/>
      <c r="M44" s="112" t="str">
        <f t="shared" si="84"/>
        <v>x</v>
      </c>
      <c r="N44" s="112" t="str">
        <f t="shared" si="114"/>
        <v>x</v>
      </c>
      <c r="O44" s="112" t="str">
        <f t="shared" si="115"/>
        <v>x</v>
      </c>
      <c r="P44" s="112" t="str">
        <f t="shared" si="116"/>
        <v>x</v>
      </c>
      <c r="Q44" s="112" t="str">
        <f t="shared" si="117"/>
        <v>x</v>
      </c>
      <c r="R44" s="112"/>
      <c r="S44" s="112" t="str">
        <f t="shared" si="118"/>
        <v>x</v>
      </c>
      <c r="T44" s="112" t="str">
        <f t="shared" si="119"/>
        <v>x</v>
      </c>
      <c r="U44" s="112"/>
      <c r="V44" s="112"/>
      <c r="W44" s="112" t="str">
        <f t="shared" si="120"/>
        <v>x</v>
      </c>
      <c r="X44" s="112" t="str">
        <f t="shared" si="121"/>
        <v>x</v>
      </c>
      <c r="Y44" s="112"/>
      <c r="Z44" s="112"/>
      <c r="AA44" s="112"/>
      <c r="AB44" s="112"/>
      <c r="AC44" s="112" t="str">
        <f t="shared" si="122"/>
        <v>x</v>
      </c>
      <c r="AD44" s="112"/>
      <c r="AE44" s="112" t="str">
        <f t="shared" si="123"/>
        <v>x</v>
      </c>
      <c r="AF44" s="112" t="str">
        <f t="shared" si="124"/>
        <v>x</v>
      </c>
      <c r="AG44" s="111"/>
      <c r="AH44" s="112" t="str">
        <f t="shared" si="125"/>
        <v>x</v>
      </c>
      <c r="AI44" s="112" t="str">
        <f t="shared" si="126"/>
        <v>x</v>
      </c>
      <c r="AJ44" s="112" t="str">
        <f t="shared" si="127"/>
        <v>x</v>
      </c>
      <c r="AK44" s="112" t="str">
        <f t="shared" si="128"/>
        <v>x</v>
      </c>
      <c r="AL44" s="112"/>
      <c r="AM44" s="112" t="str">
        <f t="shared" si="129"/>
        <v>x</v>
      </c>
      <c r="AN44" s="112"/>
      <c r="AO44" s="112"/>
      <c r="AP44" s="112"/>
      <c r="AQ44" s="112"/>
      <c r="AR44" s="112"/>
      <c r="AS44" s="112" t="str">
        <f t="shared" si="130"/>
        <v>x</v>
      </c>
      <c r="AT44" s="112"/>
      <c r="AU44" s="114" t="str">
        <f t="shared" si="131"/>
        <v>x</v>
      </c>
      <c r="AV44" s="114" t="str">
        <f t="shared" si="85"/>
        <v>x</v>
      </c>
      <c r="AW44" s="114" t="str">
        <f t="shared" si="86"/>
        <v>x</v>
      </c>
      <c r="AX44" s="112" t="str">
        <f t="shared" si="132"/>
        <v>x</v>
      </c>
      <c r="AY44" s="111"/>
      <c r="AZ44" s="112" t="str">
        <f t="shared" si="87"/>
        <v>x</v>
      </c>
      <c r="BA44" s="112" t="str">
        <f t="shared" si="88"/>
        <v>x</v>
      </c>
      <c r="BB44" s="112"/>
      <c r="BC44" s="112" t="str">
        <f t="shared" si="133"/>
        <v>x</v>
      </c>
      <c r="BD44" s="112" t="str">
        <f t="shared" si="134"/>
        <v>x</v>
      </c>
      <c r="BE44" s="112" t="str">
        <f t="shared" si="135"/>
        <v>x</v>
      </c>
      <c r="BF44" s="111"/>
      <c r="BG44" s="112" t="str">
        <f t="shared" si="136"/>
        <v>x</v>
      </c>
      <c r="BH44" s="112" t="str">
        <f t="shared" si="137"/>
        <v>x</v>
      </c>
      <c r="BI44" s="112" t="str">
        <f t="shared" si="138"/>
        <v>x</v>
      </c>
      <c r="BJ44" s="112" t="str">
        <f t="shared" si="139"/>
        <v>x</v>
      </c>
      <c r="BK44" s="112" t="str">
        <f t="shared" si="140"/>
        <v>x</v>
      </c>
      <c r="BL44" s="112" t="str">
        <f t="shared" si="89"/>
        <v>x</v>
      </c>
      <c r="BM44" s="112" t="str">
        <f t="shared" si="141"/>
        <v>x</v>
      </c>
      <c r="BN44" s="111"/>
      <c r="BO44" s="111"/>
      <c r="BP44" s="112" t="str">
        <f t="shared" si="142"/>
        <v>x</v>
      </c>
      <c r="BQ44" s="111"/>
      <c r="BR44" s="112" t="str">
        <f t="shared" si="90"/>
        <v>x</v>
      </c>
      <c r="BS44" s="112" t="str">
        <f t="shared" si="143"/>
        <v>x</v>
      </c>
      <c r="BT44" s="111"/>
      <c r="BU44" s="112" t="str">
        <f t="shared" si="91"/>
        <v>x</v>
      </c>
      <c r="BV44" s="112" t="str">
        <f t="shared" si="144"/>
        <v>x</v>
      </c>
      <c r="BW44" s="112"/>
      <c r="BX44" s="112"/>
      <c r="BY44" s="112" t="str">
        <f t="shared" si="145"/>
        <v>x</v>
      </c>
      <c r="BZ44" s="112" t="str">
        <f t="shared" si="92"/>
        <v>x</v>
      </c>
      <c r="CA44" s="112" t="str">
        <f t="shared" si="93"/>
        <v>x</v>
      </c>
      <c r="CB44" s="112" t="str">
        <f t="shared" si="94"/>
        <v>x</v>
      </c>
      <c r="CC44" s="112"/>
      <c r="CD44" s="112"/>
      <c r="CE44" s="112" t="str">
        <f t="shared" si="146"/>
        <v>x</v>
      </c>
      <c r="CF44" s="112" t="str">
        <f t="shared" si="147"/>
        <v>x</v>
      </c>
      <c r="CG44" s="112" t="str">
        <f t="shared" si="148"/>
        <v>x</v>
      </c>
      <c r="CH44" s="112"/>
      <c r="CI44" s="112" t="str">
        <f t="shared" si="149"/>
        <v>x</v>
      </c>
      <c r="CJ44" s="112" t="str">
        <f t="shared" si="95"/>
        <v>x</v>
      </c>
      <c r="CK44" s="112" t="str">
        <f t="shared" si="150"/>
        <v>x</v>
      </c>
      <c r="CL44" s="112"/>
      <c r="CM44" s="112"/>
      <c r="CN44" s="112"/>
      <c r="CO44" s="112" t="str">
        <f t="shared" si="151"/>
        <v>x</v>
      </c>
      <c r="CP44" s="112"/>
      <c r="CQ44" s="112" t="str">
        <f t="shared" si="152"/>
        <v>x</v>
      </c>
      <c r="CR44" s="112"/>
      <c r="CS44" s="112"/>
      <c r="CT44" s="112" t="str">
        <f t="shared" si="153"/>
        <v>x</v>
      </c>
      <c r="CU44" s="112"/>
      <c r="CV44" s="112"/>
      <c r="CW44" s="112"/>
      <c r="CX44" s="112" t="str">
        <f t="shared" si="154"/>
        <v>x</v>
      </c>
      <c r="CY44" s="112"/>
      <c r="CZ44" s="112" t="str">
        <f t="shared" si="96"/>
        <v>x</v>
      </c>
      <c r="DA44" s="112"/>
      <c r="DB44" s="115" t="str">
        <f t="shared" si="155"/>
        <v>x</v>
      </c>
      <c r="DC44" s="112"/>
      <c r="DD44" s="112"/>
      <c r="DE44" s="112" t="str">
        <f t="shared" si="97"/>
        <v>x</v>
      </c>
      <c r="DF44" s="115" t="str">
        <f t="shared" si="98"/>
        <v>x</v>
      </c>
      <c r="DG44" s="112" t="str">
        <f t="shared" si="99"/>
        <v>x</v>
      </c>
      <c r="DH44" s="112" t="str">
        <f t="shared" si="100"/>
        <v>x</v>
      </c>
      <c r="DI44" s="112" t="str">
        <f t="shared" si="156"/>
        <v>x</v>
      </c>
      <c r="DJ44" s="112"/>
      <c r="DK44" s="112" t="str">
        <f t="shared" si="157"/>
        <v>x</v>
      </c>
      <c r="DL44" s="112"/>
      <c r="DM44" s="112"/>
      <c r="DN44" s="112" t="str">
        <f t="shared" si="158"/>
        <v>x</v>
      </c>
      <c r="DO44" s="111"/>
      <c r="DP44" s="112" t="str">
        <f t="shared" si="159"/>
        <v>x</v>
      </c>
      <c r="DQ44" s="112" t="str">
        <f t="shared" si="160"/>
        <v>x</v>
      </c>
      <c r="DR44" s="112" t="str">
        <f t="shared" si="161"/>
        <v>x</v>
      </c>
      <c r="DS44" s="112" t="str">
        <f t="shared" si="162"/>
        <v>x</v>
      </c>
      <c r="DT44" s="112"/>
      <c r="DU44" s="112" t="str">
        <f t="shared" si="163"/>
        <v>x</v>
      </c>
      <c r="DV44" s="112"/>
      <c r="DW44" s="112" t="str">
        <f t="shared" si="164"/>
        <v>x</v>
      </c>
      <c r="DX44" s="112" t="str">
        <f t="shared" si="165"/>
        <v>x</v>
      </c>
      <c r="DY44" s="112" t="str">
        <f t="shared" si="166"/>
        <v>x</v>
      </c>
      <c r="DZ44" s="112" t="str">
        <f t="shared" si="167"/>
        <v>x</v>
      </c>
      <c r="EA44" s="112" t="str">
        <f t="shared" si="168"/>
        <v>x</v>
      </c>
      <c r="EB44" s="112" t="str">
        <f t="shared" si="169"/>
        <v>x</v>
      </c>
      <c r="EC44" s="111"/>
      <c r="ED44" s="111"/>
      <c r="EE44" s="111"/>
      <c r="EF44" s="111"/>
      <c r="EG44" s="111"/>
      <c r="EH44" s="111"/>
      <c r="EI44" s="112"/>
      <c r="EJ44" s="112" t="str">
        <f t="shared" si="170"/>
        <v>x</v>
      </c>
      <c r="EK44" s="112" t="str">
        <f t="shared" si="171"/>
        <v>x</v>
      </c>
      <c r="EL44" s="112" t="str">
        <f t="shared" si="172"/>
        <v>x</v>
      </c>
      <c r="EM44" s="112" t="str">
        <f t="shared" si="173"/>
        <v>x</v>
      </c>
      <c r="EN44" s="112" t="str">
        <f t="shared" si="174"/>
        <v>x</v>
      </c>
      <c r="EO44" s="117" t="str">
        <f t="shared" si="101"/>
        <v>x</v>
      </c>
      <c r="EP44" s="117" t="str">
        <f t="shared" si="175"/>
        <v>x</v>
      </c>
      <c r="EQ44" s="112" t="str">
        <f t="shared" si="176"/>
        <v>x</v>
      </c>
      <c r="ER44" s="112"/>
      <c r="ES44" s="112" t="str">
        <f t="shared" si="102"/>
        <v>x</v>
      </c>
      <c r="ET44" s="112" t="str">
        <f t="shared" si="177"/>
        <v>x</v>
      </c>
      <c r="EU44" s="112" t="str">
        <f t="shared" si="178"/>
        <v>x</v>
      </c>
      <c r="EV44" s="112" t="str">
        <f t="shared" si="103"/>
        <v>x</v>
      </c>
      <c r="EW44" s="112" t="str">
        <f t="shared" si="179"/>
        <v>x</v>
      </c>
      <c r="EX44" s="112" t="str">
        <f t="shared" si="180"/>
        <v>x</v>
      </c>
      <c r="EY44" s="112" t="str">
        <f t="shared" si="181"/>
        <v>x</v>
      </c>
      <c r="EZ44" s="112"/>
      <c r="FA44" s="112" t="str">
        <f t="shared" si="182"/>
        <v>x</v>
      </c>
      <c r="FB44" s="111"/>
      <c r="FC44" s="112" t="str">
        <f t="shared" si="104"/>
        <v>x</v>
      </c>
      <c r="FD44" s="112" t="str">
        <f t="shared" si="105"/>
        <v>x</v>
      </c>
      <c r="FE44" s="112" t="str">
        <f t="shared" si="106"/>
        <v>x</v>
      </c>
      <c r="FF44" s="112" t="str">
        <f t="shared" si="107"/>
        <v>x</v>
      </c>
      <c r="FG44" s="111"/>
      <c r="FH44" s="111"/>
      <c r="FI44" s="112" t="str">
        <f t="shared" si="183"/>
        <v>x</v>
      </c>
      <c r="FJ44" s="112" t="str">
        <f t="shared" si="184"/>
        <v>x</v>
      </c>
      <c r="FK44" s="112" t="str">
        <f t="shared" si="185"/>
        <v>x</v>
      </c>
      <c r="FL44" s="112"/>
      <c r="FM44" s="112" t="str">
        <f t="shared" si="186"/>
        <v>x</v>
      </c>
      <c r="FN44" s="112"/>
      <c r="FO44" s="112" t="str">
        <f t="shared" si="187"/>
        <v>x</v>
      </c>
      <c r="FP44" s="112" t="str">
        <f t="shared" si="188"/>
        <v>x</v>
      </c>
      <c r="FQ44" s="112" t="str">
        <f t="shared" si="189"/>
        <v>x</v>
      </c>
      <c r="FR44" s="112" t="str">
        <f t="shared" si="190"/>
        <v>x</v>
      </c>
      <c r="FS44" s="112" t="str">
        <f t="shared" si="191"/>
        <v>x</v>
      </c>
      <c r="FT44" s="112" t="str">
        <f t="shared" si="192"/>
        <v>x</v>
      </c>
      <c r="FU44" s="112" t="str">
        <f t="shared" si="193"/>
        <v>x</v>
      </c>
      <c r="FV44" s="112" t="str">
        <f t="shared" si="194"/>
        <v>x</v>
      </c>
      <c r="FW44" s="112" t="str">
        <f t="shared" si="195"/>
        <v>x</v>
      </c>
      <c r="FX44" s="112" t="str">
        <f t="shared" si="196"/>
        <v>x</v>
      </c>
      <c r="FY44" s="112" t="str">
        <f t="shared" si="197"/>
        <v>x</v>
      </c>
      <c r="FZ44" s="112"/>
      <c r="GA44" s="112" t="str">
        <f t="shared" si="198"/>
        <v>x</v>
      </c>
      <c r="GB44" s="112"/>
      <c r="GC44" s="112" t="str">
        <f t="shared" si="199"/>
        <v>x</v>
      </c>
      <c r="GD44" s="112"/>
      <c r="GE44" s="112"/>
      <c r="GF44" s="112"/>
      <c r="GG44" s="112"/>
      <c r="GH44" s="112" t="str">
        <f t="shared" si="200"/>
        <v>x</v>
      </c>
      <c r="GI44" s="112" t="str">
        <f t="shared" si="201"/>
        <v>x</v>
      </c>
      <c r="GJ44" s="111"/>
      <c r="GK44" s="111"/>
      <c r="GL44" s="112" t="str">
        <f t="shared" si="202"/>
        <v>x</v>
      </c>
      <c r="GM44" s="112"/>
      <c r="GN44" s="112" t="str">
        <f t="shared" si="203"/>
        <v>x</v>
      </c>
      <c r="GO44" s="112" t="str">
        <f t="shared" si="204"/>
        <v>x</v>
      </c>
      <c r="GP44" s="112"/>
      <c r="GQ44" s="112" t="str">
        <f t="shared" si="205"/>
        <v>x</v>
      </c>
      <c r="GR44" s="112" t="str">
        <f t="shared" si="206"/>
        <v>x</v>
      </c>
      <c r="GS44" s="112"/>
      <c r="GT44" s="112" t="str">
        <f t="shared" si="207"/>
        <v>x</v>
      </c>
      <c r="GU44" s="112"/>
      <c r="GV44" s="112"/>
      <c r="GW44" s="112" t="str">
        <f t="shared" si="208"/>
        <v>x</v>
      </c>
      <c r="GX44" s="112"/>
      <c r="GY44" s="112"/>
      <c r="GZ44" s="112"/>
      <c r="HA44" s="112"/>
      <c r="HB44" s="112" t="str">
        <f t="shared" si="48"/>
        <v>x</v>
      </c>
      <c r="HC44" s="112" t="str">
        <f t="shared" si="209"/>
        <v>x</v>
      </c>
      <c r="HD44" s="112" t="str">
        <f t="shared" si="210"/>
        <v>x</v>
      </c>
      <c r="HE44" s="112" t="str">
        <f t="shared" si="211"/>
        <v>x</v>
      </c>
      <c r="HF44" s="112" t="str">
        <f t="shared" si="212"/>
        <v>x</v>
      </c>
      <c r="HG44" s="112"/>
      <c r="HH44" s="112"/>
      <c r="HI44" s="112" t="str">
        <f t="shared" si="213"/>
        <v>x</v>
      </c>
      <c r="HJ44" s="112"/>
      <c r="HK44" s="112" t="str">
        <f t="shared" si="214"/>
        <v>x</v>
      </c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 t="str">
        <f t="shared" si="215"/>
        <v>x</v>
      </c>
      <c r="HX44" s="112" t="str">
        <f t="shared" si="108"/>
        <v>x</v>
      </c>
      <c r="HY44" s="112" t="str">
        <f t="shared" si="109"/>
        <v>x</v>
      </c>
      <c r="HZ44" s="112"/>
      <c r="IA44" s="112"/>
      <c r="IB44" s="112"/>
      <c r="IC44" s="112" t="str">
        <f t="shared" si="216"/>
        <v>x</v>
      </c>
      <c r="ID44" s="112"/>
      <c r="IE44" s="112"/>
      <c r="IF44" s="112"/>
      <c r="IG44" s="111"/>
      <c r="IH44" s="112"/>
      <c r="II44" s="112"/>
      <c r="IJ44" s="112" t="str">
        <f t="shared" si="217"/>
        <v>x</v>
      </c>
      <c r="IK44" s="112" t="str">
        <f t="shared" si="218"/>
        <v>x</v>
      </c>
      <c r="IL44" s="111"/>
      <c r="IM44" s="112" t="str">
        <f t="shared" si="219"/>
        <v>x</v>
      </c>
      <c r="IN44" s="112"/>
      <c r="IO44" s="111"/>
      <c r="IP44" s="112" t="str">
        <f t="shared" si="220"/>
        <v>x</v>
      </c>
      <c r="IQ44" s="112" t="str">
        <f t="shared" si="221"/>
        <v>x</v>
      </c>
      <c r="IR44" s="111"/>
      <c r="IS44" s="111"/>
      <c r="IT44" s="111"/>
      <c r="IU44" s="112" t="str">
        <f t="shared" si="222"/>
        <v>x</v>
      </c>
      <c r="IV44" s="112" t="str">
        <f t="shared" si="223"/>
        <v>x</v>
      </c>
      <c r="IW44" s="112"/>
      <c r="IX44" s="112" t="str">
        <f t="shared" si="224"/>
        <v>x</v>
      </c>
      <c r="IY44" s="111"/>
      <c r="IZ44" s="112" t="str">
        <f t="shared" si="225"/>
        <v>x</v>
      </c>
      <c r="JA44" s="111"/>
      <c r="JB44" s="112"/>
      <c r="JC44" s="111"/>
      <c r="JD44" s="112"/>
      <c r="JE44" s="112"/>
      <c r="JF44" s="112" t="str">
        <f t="shared" si="226"/>
        <v>x</v>
      </c>
      <c r="JG44" s="112" t="str">
        <f t="shared" si="227"/>
        <v>x</v>
      </c>
      <c r="JH44" s="111"/>
      <c r="JI44" s="112"/>
      <c r="JJ44" s="112" t="str">
        <f t="shared" si="228"/>
        <v>x</v>
      </c>
      <c r="JK44" s="112" t="str">
        <f t="shared" si="229"/>
        <v>x</v>
      </c>
      <c r="JL44" s="112" t="str">
        <f t="shared" si="230"/>
        <v>x</v>
      </c>
      <c r="JM44" s="112"/>
      <c r="JN44" s="112"/>
      <c r="JO44" s="112"/>
      <c r="JP44" s="112"/>
      <c r="JQ44" s="112" t="str">
        <f t="shared" si="110"/>
        <v>x</v>
      </c>
      <c r="JR44" s="112"/>
      <c r="JS44" s="112" t="str">
        <f t="shared" si="231"/>
        <v>x</v>
      </c>
      <c r="JT44" s="111"/>
      <c r="JU44" s="111"/>
      <c r="JV44" s="112"/>
      <c r="JW44" s="112"/>
      <c r="JX44" s="112"/>
      <c r="JY44" s="112"/>
      <c r="JZ44" s="112" t="str">
        <f t="shared" si="232"/>
        <v>x</v>
      </c>
      <c r="KA44" s="112" t="str">
        <f t="shared" si="233"/>
        <v>x</v>
      </c>
      <c r="KB44" s="112" t="str">
        <f t="shared" si="234"/>
        <v>x</v>
      </c>
      <c r="KC44" s="112" t="str">
        <f t="shared" si="235"/>
        <v>x</v>
      </c>
      <c r="KD44" s="112" t="str">
        <f t="shared" si="111"/>
        <v>x</v>
      </c>
      <c r="KE44" s="112" t="str">
        <f t="shared" si="236"/>
        <v>x</v>
      </c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1"/>
      <c r="LC44" s="111"/>
      <c r="LD44" s="111"/>
      <c r="LE44" s="111"/>
      <c r="LF44" s="112"/>
      <c r="LG44" s="111"/>
      <c r="LH44" s="111"/>
      <c r="LI44" s="111"/>
      <c r="LJ44" s="111"/>
      <c r="LK44" s="111"/>
      <c r="LL44" s="111"/>
      <c r="LM44" s="111"/>
      <c r="LN44" s="111"/>
      <c r="LO44" s="111"/>
      <c r="LP44" s="111"/>
      <c r="LQ44" s="111"/>
      <c r="LR44" s="111"/>
      <c r="LS44" s="112"/>
      <c r="LT44" s="111"/>
      <c r="LU44" s="111"/>
      <c r="LV44" s="111"/>
      <c r="LW44" s="111"/>
      <c r="LX44" s="111"/>
      <c r="LY44" s="112" t="str">
        <f t="shared" si="237"/>
        <v>x</v>
      </c>
      <c r="LZ44" s="111"/>
      <c r="MA44" s="111"/>
      <c r="MB44" s="111"/>
      <c r="MC44" s="112" t="str">
        <f t="shared" si="238"/>
        <v>x</v>
      </c>
      <c r="MD44" s="111"/>
      <c r="ME44" s="112" t="str">
        <f t="shared" si="239"/>
        <v>x</v>
      </c>
      <c r="MF44" s="112" t="str">
        <f t="shared" si="240"/>
        <v>x</v>
      </c>
      <c r="MG44" s="112" t="str">
        <f t="shared" si="241"/>
        <v>x</v>
      </c>
      <c r="MH44" s="112" t="str">
        <f t="shared" si="112"/>
        <v>x</v>
      </c>
    </row>
    <row r="45" spans="1:346" x14ac:dyDescent="0.25">
      <c r="A45" s="110" t="s">
        <v>1</v>
      </c>
      <c r="B45" s="101" t="s">
        <v>67</v>
      </c>
      <c r="C45" s="102"/>
      <c r="D45" s="102"/>
      <c r="E45" s="102"/>
      <c r="F45" s="102"/>
      <c r="G45" s="102"/>
      <c r="H45" s="102"/>
      <c r="I45" s="102"/>
      <c r="J45" s="103"/>
      <c r="K45" s="112" t="str">
        <f t="shared" si="113"/>
        <v>x</v>
      </c>
      <c r="L45" s="111"/>
      <c r="M45" s="112" t="str">
        <f t="shared" si="84"/>
        <v>x</v>
      </c>
      <c r="N45" s="112" t="str">
        <f t="shared" si="114"/>
        <v>x</v>
      </c>
      <c r="O45" s="112" t="str">
        <f t="shared" si="115"/>
        <v>x</v>
      </c>
      <c r="P45" s="112" t="str">
        <f t="shared" si="116"/>
        <v>x</v>
      </c>
      <c r="Q45" s="112" t="str">
        <f t="shared" si="117"/>
        <v>x</v>
      </c>
      <c r="R45" s="112"/>
      <c r="S45" s="112" t="str">
        <f t="shared" si="118"/>
        <v>x</v>
      </c>
      <c r="T45" s="112" t="str">
        <f t="shared" si="119"/>
        <v>x</v>
      </c>
      <c r="U45" s="112"/>
      <c r="V45" s="112"/>
      <c r="W45" s="112" t="str">
        <f t="shared" si="120"/>
        <v>x</v>
      </c>
      <c r="X45" s="112" t="str">
        <f t="shared" si="121"/>
        <v>x</v>
      </c>
      <c r="Y45" s="112"/>
      <c r="Z45" s="112"/>
      <c r="AA45" s="112"/>
      <c r="AB45" s="112"/>
      <c r="AC45" s="112" t="str">
        <f t="shared" si="122"/>
        <v>x</v>
      </c>
      <c r="AD45" s="112"/>
      <c r="AE45" s="112" t="str">
        <f t="shared" si="123"/>
        <v>x</v>
      </c>
      <c r="AF45" s="112" t="str">
        <f t="shared" si="124"/>
        <v>x</v>
      </c>
      <c r="AG45" s="111"/>
      <c r="AH45" s="112" t="str">
        <f t="shared" si="125"/>
        <v>x</v>
      </c>
      <c r="AI45" s="112" t="str">
        <f t="shared" si="126"/>
        <v>x</v>
      </c>
      <c r="AJ45" s="112" t="str">
        <f t="shared" si="127"/>
        <v>x</v>
      </c>
      <c r="AK45" s="112" t="str">
        <f t="shared" si="128"/>
        <v>x</v>
      </c>
      <c r="AL45" s="112"/>
      <c r="AM45" s="112" t="str">
        <f t="shared" si="129"/>
        <v>x</v>
      </c>
      <c r="AN45" s="112"/>
      <c r="AO45" s="112"/>
      <c r="AP45" s="112"/>
      <c r="AQ45" s="112"/>
      <c r="AR45" s="112"/>
      <c r="AS45" s="112" t="str">
        <f t="shared" si="130"/>
        <v>x</v>
      </c>
      <c r="AT45" s="112"/>
      <c r="AU45" s="114" t="str">
        <f t="shared" si="131"/>
        <v>x</v>
      </c>
      <c r="AV45" s="114" t="str">
        <f t="shared" si="85"/>
        <v>x</v>
      </c>
      <c r="AW45" s="114" t="str">
        <f t="shared" si="86"/>
        <v>x</v>
      </c>
      <c r="AX45" s="112" t="str">
        <f t="shared" si="132"/>
        <v>x</v>
      </c>
      <c r="AY45" s="111"/>
      <c r="AZ45" s="112" t="str">
        <f t="shared" si="87"/>
        <v>x</v>
      </c>
      <c r="BA45" s="112" t="str">
        <f t="shared" si="88"/>
        <v>x</v>
      </c>
      <c r="BB45" s="112"/>
      <c r="BC45" s="112" t="str">
        <f t="shared" si="133"/>
        <v>x</v>
      </c>
      <c r="BD45" s="112" t="str">
        <f t="shared" si="134"/>
        <v>x</v>
      </c>
      <c r="BE45" s="112" t="str">
        <f t="shared" si="135"/>
        <v>x</v>
      </c>
      <c r="BF45" s="111"/>
      <c r="BG45" s="112" t="str">
        <f t="shared" si="136"/>
        <v>x</v>
      </c>
      <c r="BH45" s="112" t="str">
        <f t="shared" si="137"/>
        <v>x</v>
      </c>
      <c r="BI45" s="112" t="str">
        <f t="shared" si="138"/>
        <v>x</v>
      </c>
      <c r="BJ45" s="112" t="str">
        <f t="shared" si="139"/>
        <v>x</v>
      </c>
      <c r="BK45" s="112" t="str">
        <f t="shared" si="140"/>
        <v>x</v>
      </c>
      <c r="BL45" s="112" t="str">
        <f t="shared" si="89"/>
        <v>x</v>
      </c>
      <c r="BM45" s="112" t="str">
        <f t="shared" si="141"/>
        <v>x</v>
      </c>
      <c r="BN45" s="111"/>
      <c r="BO45" s="111"/>
      <c r="BP45" s="112" t="str">
        <f t="shared" si="142"/>
        <v>x</v>
      </c>
      <c r="BQ45" s="111"/>
      <c r="BR45" s="112" t="str">
        <f t="shared" si="90"/>
        <v>x</v>
      </c>
      <c r="BS45" s="112" t="str">
        <f t="shared" si="143"/>
        <v>x</v>
      </c>
      <c r="BT45" s="111"/>
      <c r="BU45" s="112" t="str">
        <f t="shared" si="91"/>
        <v>x</v>
      </c>
      <c r="BV45" s="112" t="str">
        <f t="shared" si="144"/>
        <v>x</v>
      </c>
      <c r="BW45" s="112"/>
      <c r="BX45" s="112"/>
      <c r="BY45" s="112" t="str">
        <f t="shared" si="145"/>
        <v>x</v>
      </c>
      <c r="BZ45" s="112" t="str">
        <f t="shared" si="92"/>
        <v>x</v>
      </c>
      <c r="CA45" s="112" t="str">
        <f t="shared" si="93"/>
        <v>x</v>
      </c>
      <c r="CB45" s="112" t="str">
        <f t="shared" si="94"/>
        <v>x</v>
      </c>
      <c r="CC45" s="112"/>
      <c r="CD45" s="112"/>
      <c r="CE45" s="112" t="str">
        <f t="shared" si="146"/>
        <v>x</v>
      </c>
      <c r="CF45" s="112" t="str">
        <f t="shared" si="147"/>
        <v>x</v>
      </c>
      <c r="CG45" s="112" t="str">
        <f t="shared" si="148"/>
        <v>x</v>
      </c>
      <c r="CH45" s="112"/>
      <c r="CI45" s="112" t="str">
        <f t="shared" si="149"/>
        <v>x</v>
      </c>
      <c r="CJ45" s="112" t="str">
        <f t="shared" si="95"/>
        <v>x</v>
      </c>
      <c r="CK45" s="112" t="str">
        <f t="shared" si="150"/>
        <v>x</v>
      </c>
      <c r="CL45" s="112"/>
      <c r="CM45" s="112"/>
      <c r="CN45" s="112"/>
      <c r="CO45" s="112" t="str">
        <f t="shared" si="151"/>
        <v>x</v>
      </c>
      <c r="CP45" s="112"/>
      <c r="CQ45" s="112" t="str">
        <f t="shared" si="152"/>
        <v>x</v>
      </c>
      <c r="CR45" s="112"/>
      <c r="CS45" s="112"/>
      <c r="CT45" s="112" t="str">
        <f t="shared" si="153"/>
        <v>x</v>
      </c>
      <c r="CU45" s="112"/>
      <c r="CV45" s="112"/>
      <c r="CW45" s="112"/>
      <c r="CX45" s="112" t="str">
        <f t="shared" si="154"/>
        <v>x</v>
      </c>
      <c r="CY45" s="112"/>
      <c r="CZ45" s="112" t="str">
        <f t="shared" si="96"/>
        <v>x</v>
      </c>
      <c r="DA45" s="112"/>
      <c r="DB45" s="115" t="str">
        <f t="shared" si="155"/>
        <v>x</v>
      </c>
      <c r="DC45" s="112"/>
      <c r="DD45" s="112"/>
      <c r="DE45" s="112" t="str">
        <f t="shared" si="97"/>
        <v>x</v>
      </c>
      <c r="DF45" s="115" t="str">
        <f t="shared" si="98"/>
        <v>x</v>
      </c>
      <c r="DG45" s="112" t="str">
        <f t="shared" si="99"/>
        <v>x</v>
      </c>
      <c r="DH45" s="112" t="str">
        <f t="shared" si="100"/>
        <v>x</v>
      </c>
      <c r="DI45" s="112" t="str">
        <f t="shared" si="156"/>
        <v>x</v>
      </c>
      <c r="DJ45" s="112"/>
      <c r="DK45" s="112" t="str">
        <f t="shared" si="157"/>
        <v>x</v>
      </c>
      <c r="DL45" s="112"/>
      <c r="DM45" s="112"/>
      <c r="DN45" s="112" t="str">
        <f t="shared" si="158"/>
        <v>x</v>
      </c>
      <c r="DO45" s="111"/>
      <c r="DP45" s="112" t="str">
        <f t="shared" si="159"/>
        <v>x</v>
      </c>
      <c r="DQ45" s="112" t="str">
        <f t="shared" si="160"/>
        <v>x</v>
      </c>
      <c r="DR45" s="112" t="str">
        <f t="shared" si="161"/>
        <v>x</v>
      </c>
      <c r="DS45" s="112" t="str">
        <f t="shared" si="162"/>
        <v>x</v>
      </c>
      <c r="DT45" s="112"/>
      <c r="DU45" s="112" t="str">
        <f t="shared" si="163"/>
        <v>x</v>
      </c>
      <c r="DV45" s="112"/>
      <c r="DW45" s="112" t="str">
        <f t="shared" si="164"/>
        <v>x</v>
      </c>
      <c r="DX45" s="112" t="str">
        <f t="shared" si="165"/>
        <v>x</v>
      </c>
      <c r="DY45" s="112" t="str">
        <f t="shared" si="166"/>
        <v>x</v>
      </c>
      <c r="DZ45" s="112" t="str">
        <f t="shared" si="167"/>
        <v>x</v>
      </c>
      <c r="EA45" s="112" t="str">
        <f t="shared" si="168"/>
        <v>x</v>
      </c>
      <c r="EB45" s="112" t="str">
        <f t="shared" si="169"/>
        <v>x</v>
      </c>
      <c r="EC45" s="111"/>
      <c r="ED45" s="111"/>
      <c r="EE45" s="111"/>
      <c r="EF45" s="111"/>
      <c r="EG45" s="111"/>
      <c r="EH45" s="111"/>
      <c r="EI45" s="112"/>
      <c r="EJ45" s="112" t="str">
        <f t="shared" si="170"/>
        <v>x</v>
      </c>
      <c r="EK45" s="112" t="str">
        <f t="shared" si="171"/>
        <v>x</v>
      </c>
      <c r="EL45" s="112" t="str">
        <f t="shared" si="172"/>
        <v>x</v>
      </c>
      <c r="EM45" s="112" t="str">
        <f t="shared" si="173"/>
        <v>x</v>
      </c>
      <c r="EN45" s="112" t="str">
        <f t="shared" si="174"/>
        <v>x</v>
      </c>
      <c r="EO45" s="117" t="str">
        <f t="shared" si="101"/>
        <v>x</v>
      </c>
      <c r="EP45" s="117" t="str">
        <f t="shared" si="175"/>
        <v>x</v>
      </c>
      <c r="EQ45" s="112" t="str">
        <f t="shared" si="176"/>
        <v>x</v>
      </c>
      <c r="ER45" s="112"/>
      <c r="ES45" s="112" t="str">
        <f t="shared" si="102"/>
        <v>x</v>
      </c>
      <c r="ET45" s="112" t="str">
        <f t="shared" si="177"/>
        <v>x</v>
      </c>
      <c r="EU45" s="112" t="str">
        <f t="shared" si="178"/>
        <v>x</v>
      </c>
      <c r="EV45" s="112" t="str">
        <f t="shared" si="103"/>
        <v>x</v>
      </c>
      <c r="EW45" s="112" t="str">
        <f t="shared" si="179"/>
        <v>x</v>
      </c>
      <c r="EX45" s="112" t="str">
        <f t="shared" si="180"/>
        <v>x</v>
      </c>
      <c r="EY45" s="112" t="str">
        <f t="shared" si="181"/>
        <v>x</v>
      </c>
      <c r="EZ45" s="112"/>
      <c r="FA45" s="112" t="str">
        <f t="shared" si="182"/>
        <v>x</v>
      </c>
      <c r="FB45" s="111"/>
      <c r="FC45" s="112" t="str">
        <f t="shared" si="104"/>
        <v>x</v>
      </c>
      <c r="FD45" s="112" t="str">
        <f t="shared" si="105"/>
        <v>x</v>
      </c>
      <c r="FE45" s="112" t="str">
        <f t="shared" si="106"/>
        <v>x</v>
      </c>
      <c r="FF45" s="112" t="str">
        <f t="shared" si="107"/>
        <v>x</v>
      </c>
      <c r="FG45" s="111"/>
      <c r="FH45" s="111"/>
      <c r="FI45" s="112" t="str">
        <f t="shared" si="183"/>
        <v>x</v>
      </c>
      <c r="FJ45" s="112" t="str">
        <f t="shared" si="184"/>
        <v>x</v>
      </c>
      <c r="FK45" s="112" t="str">
        <f t="shared" si="185"/>
        <v>x</v>
      </c>
      <c r="FL45" s="112"/>
      <c r="FM45" s="112" t="str">
        <f t="shared" si="186"/>
        <v>x</v>
      </c>
      <c r="FN45" s="112"/>
      <c r="FO45" s="112" t="str">
        <f t="shared" si="187"/>
        <v>x</v>
      </c>
      <c r="FP45" s="112" t="str">
        <f t="shared" si="188"/>
        <v>x</v>
      </c>
      <c r="FQ45" s="112" t="str">
        <f t="shared" si="189"/>
        <v>x</v>
      </c>
      <c r="FR45" s="112" t="str">
        <f t="shared" si="190"/>
        <v>x</v>
      </c>
      <c r="FS45" s="112" t="str">
        <f t="shared" si="191"/>
        <v>x</v>
      </c>
      <c r="FT45" s="112" t="str">
        <f t="shared" si="192"/>
        <v>x</v>
      </c>
      <c r="FU45" s="112" t="str">
        <f t="shared" si="193"/>
        <v>x</v>
      </c>
      <c r="FV45" s="112" t="str">
        <f t="shared" si="194"/>
        <v>x</v>
      </c>
      <c r="FW45" s="112" t="str">
        <f t="shared" si="195"/>
        <v>x</v>
      </c>
      <c r="FX45" s="112" t="str">
        <f t="shared" si="196"/>
        <v>x</v>
      </c>
      <c r="FY45" s="112" t="str">
        <f t="shared" si="197"/>
        <v>x</v>
      </c>
      <c r="FZ45" s="112"/>
      <c r="GA45" s="112" t="str">
        <f t="shared" si="198"/>
        <v>x</v>
      </c>
      <c r="GB45" s="112"/>
      <c r="GC45" s="112" t="str">
        <f t="shared" si="199"/>
        <v>x</v>
      </c>
      <c r="GD45" s="112"/>
      <c r="GE45" s="112"/>
      <c r="GF45" s="112"/>
      <c r="GG45" s="112"/>
      <c r="GH45" s="112" t="str">
        <f t="shared" si="200"/>
        <v>x</v>
      </c>
      <c r="GI45" s="112" t="str">
        <f t="shared" si="201"/>
        <v>x</v>
      </c>
      <c r="GJ45" s="111"/>
      <c r="GK45" s="111"/>
      <c r="GL45" s="112" t="str">
        <f t="shared" si="202"/>
        <v>x</v>
      </c>
      <c r="GM45" s="112"/>
      <c r="GN45" s="112" t="str">
        <f t="shared" si="203"/>
        <v>x</v>
      </c>
      <c r="GO45" s="112" t="str">
        <f t="shared" si="204"/>
        <v>x</v>
      </c>
      <c r="GP45" s="112"/>
      <c r="GQ45" s="112" t="str">
        <f t="shared" si="205"/>
        <v>x</v>
      </c>
      <c r="GR45" s="112" t="str">
        <f t="shared" si="206"/>
        <v>x</v>
      </c>
      <c r="GS45" s="112"/>
      <c r="GT45" s="112" t="str">
        <f t="shared" si="207"/>
        <v>x</v>
      </c>
      <c r="GU45" s="112"/>
      <c r="GV45" s="112"/>
      <c r="GW45" s="112" t="str">
        <f t="shared" si="208"/>
        <v>x</v>
      </c>
      <c r="GX45" s="112"/>
      <c r="GY45" s="112"/>
      <c r="GZ45" s="112"/>
      <c r="HA45" s="112"/>
      <c r="HB45" s="112" t="str">
        <f t="shared" si="48"/>
        <v>x</v>
      </c>
      <c r="HC45" s="112" t="str">
        <f t="shared" si="209"/>
        <v>x</v>
      </c>
      <c r="HD45" s="112" t="str">
        <f t="shared" si="210"/>
        <v>x</v>
      </c>
      <c r="HE45" s="112" t="str">
        <f t="shared" si="211"/>
        <v>x</v>
      </c>
      <c r="HF45" s="112" t="str">
        <f t="shared" si="212"/>
        <v>x</v>
      </c>
      <c r="HG45" s="112"/>
      <c r="HH45" s="112"/>
      <c r="HI45" s="112" t="str">
        <f t="shared" si="213"/>
        <v>x</v>
      </c>
      <c r="HJ45" s="112"/>
      <c r="HK45" s="112" t="str">
        <f t="shared" si="214"/>
        <v>x</v>
      </c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 t="str">
        <f t="shared" si="215"/>
        <v>x</v>
      </c>
      <c r="HX45" s="112" t="str">
        <f t="shared" si="108"/>
        <v>x</v>
      </c>
      <c r="HY45" s="112" t="str">
        <f t="shared" si="109"/>
        <v>x</v>
      </c>
      <c r="HZ45" s="112"/>
      <c r="IA45" s="112"/>
      <c r="IB45" s="112"/>
      <c r="IC45" s="112" t="str">
        <f t="shared" si="216"/>
        <v>x</v>
      </c>
      <c r="ID45" s="112"/>
      <c r="IE45" s="112"/>
      <c r="IF45" s="112"/>
      <c r="IG45" s="111"/>
      <c r="IH45" s="112"/>
      <c r="II45" s="112"/>
      <c r="IJ45" s="112" t="str">
        <f t="shared" si="217"/>
        <v>x</v>
      </c>
      <c r="IK45" s="112" t="str">
        <f t="shared" si="218"/>
        <v>x</v>
      </c>
      <c r="IL45" s="111"/>
      <c r="IM45" s="112" t="str">
        <f t="shared" si="219"/>
        <v>x</v>
      </c>
      <c r="IN45" s="112"/>
      <c r="IO45" s="111"/>
      <c r="IP45" s="112" t="str">
        <f t="shared" si="220"/>
        <v>x</v>
      </c>
      <c r="IQ45" s="112" t="str">
        <f t="shared" si="221"/>
        <v>x</v>
      </c>
      <c r="IR45" s="111"/>
      <c r="IS45" s="111"/>
      <c r="IT45" s="111"/>
      <c r="IU45" s="112" t="str">
        <f t="shared" si="222"/>
        <v>x</v>
      </c>
      <c r="IV45" s="112" t="str">
        <f t="shared" si="223"/>
        <v>x</v>
      </c>
      <c r="IW45" s="112"/>
      <c r="IX45" s="112" t="str">
        <f t="shared" si="224"/>
        <v>x</v>
      </c>
      <c r="IY45" s="111"/>
      <c r="IZ45" s="112" t="str">
        <f t="shared" si="225"/>
        <v>x</v>
      </c>
      <c r="JA45" s="111"/>
      <c r="JB45" s="112"/>
      <c r="JC45" s="111"/>
      <c r="JD45" s="112"/>
      <c r="JE45" s="112"/>
      <c r="JF45" s="112" t="str">
        <f t="shared" si="226"/>
        <v>x</v>
      </c>
      <c r="JG45" s="112" t="str">
        <f t="shared" si="227"/>
        <v>x</v>
      </c>
      <c r="JH45" s="111"/>
      <c r="JI45" s="112"/>
      <c r="JJ45" s="112" t="str">
        <f t="shared" si="228"/>
        <v>x</v>
      </c>
      <c r="JK45" s="112" t="str">
        <f t="shared" si="229"/>
        <v>x</v>
      </c>
      <c r="JL45" s="112" t="str">
        <f t="shared" si="230"/>
        <v>x</v>
      </c>
      <c r="JM45" s="112"/>
      <c r="JN45" s="112"/>
      <c r="JO45" s="112"/>
      <c r="JP45" s="112"/>
      <c r="JQ45" s="112" t="str">
        <f t="shared" si="110"/>
        <v>x</v>
      </c>
      <c r="JR45" s="112"/>
      <c r="JS45" s="112" t="str">
        <f t="shared" si="231"/>
        <v>x</v>
      </c>
      <c r="JT45" s="111"/>
      <c r="JU45" s="111"/>
      <c r="JV45" s="112"/>
      <c r="JW45" s="112"/>
      <c r="JX45" s="112"/>
      <c r="JY45" s="112"/>
      <c r="JZ45" s="112" t="str">
        <f t="shared" si="232"/>
        <v>x</v>
      </c>
      <c r="KA45" s="112" t="str">
        <f t="shared" si="233"/>
        <v>x</v>
      </c>
      <c r="KB45" s="112" t="str">
        <f t="shared" si="234"/>
        <v>x</v>
      </c>
      <c r="KC45" s="112" t="str">
        <f t="shared" si="235"/>
        <v>x</v>
      </c>
      <c r="KD45" s="112" t="str">
        <f t="shared" si="111"/>
        <v>x</v>
      </c>
      <c r="KE45" s="112" t="str">
        <f t="shared" si="236"/>
        <v>x</v>
      </c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1"/>
      <c r="LC45" s="111"/>
      <c r="LD45" s="111"/>
      <c r="LE45" s="111"/>
      <c r="LF45" s="112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2"/>
      <c r="LT45" s="111"/>
      <c r="LU45" s="111"/>
      <c r="LV45" s="111"/>
      <c r="LW45" s="111"/>
      <c r="LX45" s="111"/>
      <c r="LY45" s="112" t="str">
        <f t="shared" si="237"/>
        <v>x</v>
      </c>
      <c r="LZ45" s="111"/>
      <c r="MA45" s="111"/>
      <c r="MB45" s="111"/>
      <c r="MC45" s="112" t="str">
        <f t="shared" si="238"/>
        <v>x</v>
      </c>
      <c r="MD45" s="111"/>
      <c r="ME45" s="112" t="str">
        <f t="shared" si="239"/>
        <v>x</v>
      </c>
      <c r="MF45" s="112" t="str">
        <f t="shared" si="240"/>
        <v>x</v>
      </c>
      <c r="MG45" s="112" t="str">
        <f t="shared" si="241"/>
        <v>x</v>
      </c>
      <c r="MH45" s="112" t="str">
        <f t="shared" si="112"/>
        <v>x</v>
      </c>
    </row>
    <row r="46" spans="1:346" x14ac:dyDescent="0.25">
      <c r="A46" s="110" t="s">
        <v>1</v>
      </c>
      <c r="B46" s="101" t="s">
        <v>24</v>
      </c>
      <c r="C46" s="102"/>
      <c r="D46" s="102"/>
      <c r="E46" s="102"/>
      <c r="F46" s="102"/>
      <c r="G46" s="102"/>
      <c r="H46" s="102"/>
      <c r="I46" s="102"/>
      <c r="J46" s="103"/>
      <c r="K46" s="112" t="str">
        <f t="shared" si="113"/>
        <v>x</v>
      </c>
      <c r="L46" s="111"/>
      <c r="M46" s="112" t="str">
        <f t="shared" si="84"/>
        <v>x</v>
      </c>
      <c r="N46" s="112" t="str">
        <f t="shared" si="114"/>
        <v>x</v>
      </c>
      <c r="O46" s="112" t="str">
        <f t="shared" si="115"/>
        <v>x</v>
      </c>
      <c r="P46" s="112" t="str">
        <f t="shared" si="116"/>
        <v>x</v>
      </c>
      <c r="Q46" s="112" t="str">
        <f t="shared" si="117"/>
        <v>x</v>
      </c>
      <c r="R46" s="112"/>
      <c r="S46" s="112" t="str">
        <f t="shared" si="118"/>
        <v>x</v>
      </c>
      <c r="T46" s="112" t="str">
        <f t="shared" si="119"/>
        <v>x</v>
      </c>
      <c r="U46" s="112"/>
      <c r="V46" s="112"/>
      <c r="W46" s="112" t="str">
        <f t="shared" si="120"/>
        <v>x</v>
      </c>
      <c r="X46" s="112" t="str">
        <f t="shared" si="121"/>
        <v>x</v>
      </c>
      <c r="Y46" s="112"/>
      <c r="Z46" s="112"/>
      <c r="AA46" s="112"/>
      <c r="AB46" s="112"/>
      <c r="AC46" s="112" t="str">
        <f t="shared" si="122"/>
        <v>x</v>
      </c>
      <c r="AD46" s="112"/>
      <c r="AE46" s="112" t="str">
        <f t="shared" si="123"/>
        <v>x</v>
      </c>
      <c r="AF46" s="112" t="str">
        <f t="shared" si="124"/>
        <v>x</v>
      </c>
      <c r="AG46" s="111"/>
      <c r="AH46" s="112" t="str">
        <f t="shared" si="125"/>
        <v>x</v>
      </c>
      <c r="AI46" s="112" t="str">
        <f t="shared" si="126"/>
        <v>x</v>
      </c>
      <c r="AJ46" s="112" t="str">
        <f t="shared" si="127"/>
        <v>x</v>
      </c>
      <c r="AK46" s="112" t="str">
        <f t="shared" si="128"/>
        <v>x</v>
      </c>
      <c r="AL46" s="112"/>
      <c r="AM46" s="112" t="str">
        <f t="shared" si="129"/>
        <v>x</v>
      </c>
      <c r="AN46" s="112"/>
      <c r="AO46" s="112"/>
      <c r="AP46" s="112"/>
      <c r="AQ46" s="112"/>
      <c r="AR46" s="112"/>
      <c r="AS46" s="112" t="str">
        <f t="shared" si="130"/>
        <v>x</v>
      </c>
      <c r="AT46" s="112"/>
      <c r="AU46" s="114" t="str">
        <f t="shared" si="131"/>
        <v>x</v>
      </c>
      <c r="AV46" s="114" t="str">
        <f t="shared" si="85"/>
        <v>x</v>
      </c>
      <c r="AW46" s="114" t="str">
        <f t="shared" si="86"/>
        <v>x</v>
      </c>
      <c r="AX46" s="112" t="str">
        <f t="shared" si="132"/>
        <v>x</v>
      </c>
      <c r="AY46" s="111"/>
      <c r="AZ46" s="112" t="str">
        <f t="shared" si="87"/>
        <v>x</v>
      </c>
      <c r="BA46" s="112" t="str">
        <f t="shared" si="88"/>
        <v>x</v>
      </c>
      <c r="BB46" s="112"/>
      <c r="BC46" s="112" t="str">
        <f t="shared" si="133"/>
        <v>x</v>
      </c>
      <c r="BD46" s="112" t="str">
        <f t="shared" si="134"/>
        <v>x</v>
      </c>
      <c r="BE46" s="112" t="str">
        <f t="shared" si="135"/>
        <v>x</v>
      </c>
      <c r="BF46" s="111"/>
      <c r="BG46" s="112" t="str">
        <f t="shared" si="136"/>
        <v>x</v>
      </c>
      <c r="BH46" s="112" t="str">
        <f t="shared" si="137"/>
        <v>x</v>
      </c>
      <c r="BI46" s="112" t="str">
        <f t="shared" si="138"/>
        <v>x</v>
      </c>
      <c r="BJ46" s="112" t="str">
        <f t="shared" si="139"/>
        <v>x</v>
      </c>
      <c r="BK46" s="112" t="str">
        <f t="shared" si="140"/>
        <v>x</v>
      </c>
      <c r="BL46" s="112" t="str">
        <f t="shared" si="89"/>
        <v>x</v>
      </c>
      <c r="BM46" s="112" t="str">
        <f t="shared" si="141"/>
        <v>x</v>
      </c>
      <c r="BN46" s="111"/>
      <c r="BO46" s="111"/>
      <c r="BP46" s="112" t="str">
        <f t="shared" si="142"/>
        <v>x</v>
      </c>
      <c r="BQ46" s="111"/>
      <c r="BR46" s="112" t="str">
        <f t="shared" si="90"/>
        <v>x</v>
      </c>
      <c r="BS46" s="112" t="str">
        <f t="shared" si="143"/>
        <v>x</v>
      </c>
      <c r="BT46" s="111"/>
      <c r="BU46" s="112" t="str">
        <f t="shared" si="91"/>
        <v>x</v>
      </c>
      <c r="BV46" s="112" t="str">
        <f t="shared" si="144"/>
        <v>x</v>
      </c>
      <c r="BW46" s="112"/>
      <c r="BX46" s="112"/>
      <c r="BY46" s="112" t="str">
        <f t="shared" si="145"/>
        <v>x</v>
      </c>
      <c r="BZ46" s="112" t="str">
        <f t="shared" si="92"/>
        <v>x</v>
      </c>
      <c r="CA46" s="112" t="str">
        <f t="shared" si="93"/>
        <v>x</v>
      </c>
      <c r="CB46" s="112" t="str">
        <f t="shared" si="94"/>
        <v>x</v>
      </c>
      <c r="CC46" s="112"/>
      <c r="CD46" s="112"/>
      <c r="CE46" s="112" t="str">
        <f t="shared" si="146"/>
        <v>x</v>
      </c>
      <c r="CF46" s="112" t="str">
        <f t="shared" si="147"/>
        <v>x</v>
      </c>
      <c r="CG46" s="112" t="str">
        <f t="shared" si="148"/>
        <v>x</v>
      </c>
      <c r="CH46" s="112"/>
      <c r="CI46" s="112" t="str">
        <f t="shared" si="149"/>
        <v>x</v>
      </c>
      <c r="CJ46" s="112" t="str">
        <f t="shared" si="95"/>
        <v>x</v>
      </c>
      <c r="CK46" s="112" t="str">
        <f t="shared" si="150"/>
        <v>x</v>
      </c>
      <c r="CL46" s="112"/>
      <c r="CM46" s="112"/>
      <c r="CN46" s="112"/>
      <c r="CO46" s="112" t="str">
        <f t="shared" si="151"/>
        <v>x</v>
      </c>
      <c r="CP46" s="112"/>
      <c r="CQ46" s="112" t="str">
        <f t="shared" si="152"/>
        <v>x</v>
      </c>
      <c r="CR46" s="112"/>
      <c r="CS46" s="112"/>
      <c r="CT46" s="112" t="str">
        <f t="shared" si="153"/>
        <v>x</v>
      </c>
      <c r="CU46" s="112"/>
      <c r="CV46" s="112"/>
      <c r="CW46" s="112"/>
      <c r="CX46" s="112" t="str">
        <f t="shared" si="154"/>
        <v>x</v>
      </c>
      <c r="CY46" s="112"/>
      <c r="CZ46" s="112" t="str">
        <f t="shared" si="96"/>
        <v>x</v>
      </c>
      <c r="DA46" s="112"/>
      <c r="DB46" s="115" t="str">
        <f t="shared" si="155"/>
        <v>x</v>
      </c>
      <c r="DC46" s="112"/>
      <c r="DD46" s="112"/>
      <c r="DE46" s="112" t="str">
        <f t="shared" si="97"/>
        <v>x</v>
      </c>
      <c r="DF46" s="115" t="str">
        <f t="shared" si="98"/>
        <v>x</v>
      </c>
      <c r="DG46" s="112" t="str">
        <f t="shared" si="99"/>
        <v>x</v>
      </c>
      <c r="DH46" s="112" t="str">
        <f t="shared" si="100"/>
        <v>x</v>
      </c>
      <c r="DI46" s="112" t="str">
        <f t="shared" si="156"/>
        <v>x</v>
      </c>
      <c r="DJ46" s="112"/>
      <c r="DK46" s="112" t="str">
        <f t="shared" si="157"/>
        <v>x</v>
      </c>
      <c r="DL46" s="112"/>
      <c r="DM46" s="112"/>
      <c r="DN46" s="112" t="str">
        <f t="shared" si="158"/>
        <v>x</v>
      </c>
      <c r="DO46" s="111"/>
      <c r="DP46" s="112" t="str">
        <f t="shared" si="159"/>
        <v>x</v>
      </c>
      <c r="DQ46" s="112" t="str">
        <f t="shared" si="160"/>
        <v>x</v>
      </c>
      <c r="DR46" s="112" t="str">
        <f t="shared" si="161"/>
        <v>x</v>
      </c>
      <c r="DS46" s="112" t="str">
        <f t="shared" si="162"/>
        <v>x</v>
      </c>
      <c r="DT46" s="112"/>
      <c r="DU46" s="112" t="str">
        <f t="shared" si="163"/>
        <v>x</v>
      </c>
      <c r="DV46" s="112"/>
      <c r="DW46" s="112" t="str">
        <f t="shared" si="164"/>
        <v>x</v>
      </c>
      <c r="DX46" s="112" t="str">
        <f t="shared" si="165"/>
        <v>x</v>
      </c>
      <c r="DY46" s="112" t="str">
        <f t="shared" si="166"/>
        <v>x</v>
      </c>
      <c r="DZ46" s="112" t="str">
        <f t="shared" si="167"/>
        <v>x</v>
      </c>
      <c r="EA46" s="112" t="str">
        <f t="shared" si="168"/>
        <v>x</v>
      </c>
      <c r="EB46" s="112" t="str">
        <f t="shared" si="169"/>
        <v>x</v>
      </c>
      <c r="EC46" s="111"/>
      <c r="ED46" s="111"/>
      <c r="EE46" s="111"/>
      <c r="EF46" s="111"/>
      <c r="EG46" s="111"/>
      <c r="EH46" s="111"/>
      <c r="EI46" s="112"/>
      <c r="EJ46" s="112" t="str">
        <f t="shared" si="170"/>
        <v>x</v>
      </c>
      <c r="EK46" s="112" t="str">
        <f t="shared" si="171"/>
        <v>x</v>
      </c>
      <c r="EL46" s="112" t="str">
        <f t="shared" si="172"/>
        <v>x</v>
      </c>
      <c r="EM46" s="112" t="str">
        <f t="shared" si="173"/>
        <v>x</v>
      </c>
      <c r="EN46" s="112" t="str">
        <f t="shared" si="174"/>
        <v>x</v>
      </c>
      <c r="EO46" s="117" t="str">
        <f t="shared" si="101"/>
        <v>x</v>
      </c>
      <c r="EP46" s="117" t="str">
        <f t="shared" si="175"/>
        <v>x</v>
      </c>
      <c r="EQ46" s="112" t="str">
        <f t="shared" si="176"/>
        <v>x</v>
      </c>
      <c r="ER46" s="112"/>
      <c r="ES46" s="112" t="str">
        <f t="shared" si="102"/>
        <v>x</v>
      </c>
      <c r="ET46" s="112" t="str">
        <f t="shared" si="177"/>
        <v>x</v>
      </c>
      <c r="EU46" s="112" t="str">
        <f t="shared" si="178"/>
        <v>x</v>
      </c>
      <c r="EV46" s="112" t="str">
        <f t="shared" si="103"/>
        <v>x</v>
      </c>
      <c r="EW46" s="112" t="str">
        <f t="shared" si="179"/>
        <v>x</v>
      </c>
      <c r="EX46" s="112" t="str">
        <f t="shared" si="180"/>
        <v>x</v>
      </c>
      <c r="EY46" s="112" t="str">
        <f t="shared" si="181"/>
        <v>x</v>
      </c>
      <c r="EZ46" s="112"/>
      <c r="FA46" s="112" t="str">
        <f t="shared" si="182"/>
        <v>x</v>
      </c>
      <c r="FB46" s="111"/>
      <c r="FC46" s="112" t="str">
        <f t="shared" si="104"/>
        <v>x</v>
      </c>
      <c r="FD46" s="112" t="str">
        <f t="shared" si="105"/>
        <v>x</v>
      </c>
      <c r="FE46" s="112" t="str">
        <f t="shared" si="106"/>
        <v>x</v>
      </c>
      <c r="FF46" s="112" t="str">
        <f t="shared" si="107"/>
        <v>x</v>
      </c>
      <c r="FG46" s="111"/>
      <c r="FH46" s="111"/>
      <c r="FI46" s="112" t="str">
        <f t="shared" si="183"/>
        <v>x</v>
      </c>
      <c r="FJ46" s="112" t="str">
        <f t="shared" si="184"/>
        <v>x</v>
      </c>
      <c r="FK46" s="112" t="str">
        <f t="shared" si="185"/>
        <v>x</v>
      </c>
      <c r="FL46" s="112"/>
      <c r="FM46" s="112" t="str">
        <f t="shared" si="186"/>
        <v>x</v>
      </c>
      <c r="FN46" s="112"/>
      <c r="FO46" s="112" t="str">
        <f t="shared" si="187"/>
        <v>x</v>
      </c>
      <c r="FP46" s="112" t="str">
        <f t="shared" si="188"/>
        <v>x</v>
      </c>
      <c r="FQ46" s="112" t="str">
        <f t="shared" si="189"/>
        <v>x</v>
      </c>
      <c r="FR46" s="112" t="str">
        <f t="shared" si="190"/>
        <v>x</v>
      </c>
      <c r="FS46" s="112" t="str">
        <f t="shared" si="191"/>
        <v>x</v>
      </c>
      <c r="FT46" s="112" t="str">
        <f t="shared" si="192"/>
        <v>x</v>
      </c>
      <c r="FU46" s="112" t="str">
        <f t="shared" si="193"/>
        <v>x</v>
      </c>
      <c r="FV46" s="112" t="str">
        <f t="shared" si="194"/>
        <v>x</v>
      </c>
      <c r="FW46" s="112" t="str">
        <f t="shared" si="195"/>
        <v>x</v>
      </c>
      <c r="FX46" s="112" t="str">
        <f t="shared" si="196"/>
        <v>x</v>
      </c>
      <c r="FY46" s="112" t="str">
        <f t="shared" si="197"/>
        <v>x</v>
      </c>
      <c r="FZ46" s="112"/>
      <c r="GA46" s="112" t="str">
        <f t="shared" si="198"/>
        <v>x</v>
      </c>
      <c r="GB46" s="112"/>
      <c r="GC46" s="112" t="str">
        <f t="shared" si="199"/>
        <v>x</v>
      </c>
      <c r="GD46" s="112"/>
      <c r="GE46" s="112"/>
      <c r="GF46" s="112"/>
      <c r="GG46" s="112"/>
      <c r="GH46" s="112" t="str">
        <f t="shared" si="200"/>
        <v>x</v>
      </c>
      <c r="GI46" s="112" t="str">
        <f t="shared" si="201"/>
        <v>x</v>
      </c>
      <c r="GJ46" s="111"/>
      <c r="GK46" s="111"/>
      <c r="GL46" s="112" t="str">
        <f t="shared" si="202"/>
        <v>x</v>
      </c>
      <c r="GM46" s="112"/>
      <c r="GN46" s="112" t="str">
        <f t="shared" si="203"/>
        <v>x</v>
      </c>
      <c r="GO46" s="112" t="str">
        <f t="shared" si="204"/>
        <v>x</v>
      </c>
      <c r="GP46" s="112"/>
      <c r="GQ46" s="112" t="str">
        <f t="shared" si="205"/>
        <v>x</v>
      </c>
      <c r="GR46" s="112" t="str">
        <f t="shared" si="206"/>
        <v>x</v>
      </c>
      <c r="GS46" s="112"/>
      <c r="GT46" s="112" t="str">
        <f t="shared" si="207"/>
        <v>x</v>
      </c>
      <c r="GU46" s="112"/>
      <c r="GV46" s="112"/>
      <c r="GW46" s="112" t="str">
        <f t="shared" si="208"/>
        <v>x</v>
      </c>
      <c r="GX46" s="112"/>
      <c r="GY46" s="112"/>
      <c r="GZ46" s="112"/>
      <c r="HA46" s="112"/>
      <c r="HB46" s="112" t="str">
        <f t="shared" si="48"/>
        <v>x</v>
      </c>
      <c r="HC46" s="112" t="str">
        <f t="shared" si="209"/>
        <v>x</v>
      </c>
      <c r="HD46" s="112" t="str">
        <f t="shared" si="210"/>
        <v>x</v>
      </c>
      <c r="HE46" s="112" t="str">
        <f t="shared" si="211"/>
        <v>x</v>
      </c>
      <c r="HF46" s="112" t="str">
        <f t="shared" si="212"/>
        <v>x</v>
      </c>
      <c r="HG46" s="112"/>
      <c r="HH46" s="112"/>
      <c r="HI46" s="112" t="str">
        <f t="shared" si="213"/>
        <v>x</v>
      </c>
      <c r="HJ46" s="112"/>
      <c r="HK46" s="112" t="str">
        <f t="shared" si="214"/>
        <v>x</v>
      </c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 t="str">
        <f t="shared" si="215"/>
        <v>x</v>
      </c>
      <c r="HX46" s="112" t="str">
        <f t="shared" si="108"/>
        <v>x</v>
      </c>
      <c r="HY46" s="112" t="str">
        <f t="shared" si="109"/>
        <v>x</v>
      </c>
      <c r="HZ46" s="112"/>
      <c r="IA46" s="112"/>
      <c r="IB46" s="112"/>
      <c r="IC46" s="112" t="str">
        <f t="shared" si="216"/>
        <v>x</v>
      </c>
      <c r="ID46" s="112"/>
      <c r="IE46" s="112"/>
      <c r="IF46" s="112"/>
      <c r="IG46" s="111"/>
      <c r="IH46" s="112"/>
      <c r="II46" s="112"/>
      <c r="IJ46" s="112" t="str">
        <f t="shared" si="217"/>
        <v>x</v>
      </c>
      <c r="IK46" s="112" t="str">
        <f t="shared" si="218"/>
        <v>x</v>
      </c>
      <c r="IL46" s="111"/>
      <c r="IM46" s="112" t="str">
        <f t="shared" si="219"/>
        <v>x</v>
      </c>
      <c r="IN46" s="112"/>
      <c r="IO46" s="111"/>
      <c r="IP46" s="112" t="str">
        <f t="shared" si="220"/>
        <v>x</v>
      </c>
      <c r="IQ46" s="112" t="str">
        <f t="shared" si="221"/>
        <v>x</v>
      </c>
      <c r="IR46" s="111"/>
      <c r="IS46" s="111"/>
      <c r="IT46" s="111"/>
      <c r="IU46" s="112" t="str">
        <f t="shared" si="222"/>
        <v>x</v>
      </c>
      <c r="IV46" s="112" t="str">
        <f t="shared" si="223"/>
        <v>x</v>
      </c>
      <c r="IW46" s="112"/>
      <c r="IX46" s="112" t="str">
        <f t="shared" si="224"/>
        <v>x</v>
      </c>
      <c r="IY46" s="111"/>
      <c r="IZ46" s="112" t="str">
        <f t="shared" si="225"/>
        <v>x</v>
      </c>
      <c r="JA46" s="111"/>
      <c r="JB46" s="112"/>
      <c r="JC46" s="111"/>
      <c r="JD46" s="112"/>
      <c r="JE46" s="112"/>
      <c r="JF46" s="112" t="str">
        <f t="shared" si="226"/>
        <v>x</v>
      </c>
      <c r="JG46" s="112" t="str">
        <f t="shared" si="227"/>
        <v>x</v>
      </c>
      <c r="JH46" s="111"/>
      <c r="JI46" s="112"/>
      <c r="JJ46" s="112" t="str">
        <f t="shared" si="228"/>
        <v>x</v>
      </c>
      <c r="JK46" s="112" t="str">
        <f t="shared" si="229"/>
        <v>x</v>
      </c>
      <c r="JL46" s="112" t="str">
        <f t="shared" si="230"/>
        <v>x</v>
      </c>
      <c r="JM46" s="112"/>
      <c r="JN46" s="112"/>
      <c r="JO46" s="112"/>
      <c r="JP46" s="112"/>
      <c r="JQ46" s="112" t="str">
        <f t="shared" si="110"/>
        <v>x</v>
      </c>
      <c r="JR46" s="112"/>
      <c r="JS46" s="112" t="str">
        <f t="shared" si="231"/>
        <v>x</v>
      </c>
      <c r="JT46" s="111"/>
      <c r="JU46" s="111"/>
      <c r="JV46" s="112"/>
      <c r="JW46" s="112"/>
      <c r="JX46" s="112"/>
      <c r="JY46" s="112"/>
      <c r="JZ46" s="112" t="str">
        <f t="shared" si="232"/>
        <v>x</v>
      </c>
      <c r="KA46" s="112" t="str">
        <f t="shared" si="233"/>
        <v>x</v>
      </c>
      <c r="KB46" s="112" t="str">
        <f t="shared" si="234"/>
        <v>x</v>
      </c>
      <c r="KC46" s="112" t="str">
        <f t="shared" si="235"/>
        <v>x</v>
      </c>
      <c r="KD46" s="112" t="str">
        <f t="shared" si="111"/>
        <v>x</v>
      </c>
      <c r="KE46" s="112" t="str">
        <f t="shared" si="236"/>
        <v>x</v>
      </c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1"/>
      <c r="LC46" s="111"/>
      <c r="LD46" s="111"/>
      <c r="LE46" s="111"/>
      <c r="LF46" s="112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2"/>
      <c r="LT46" s="111"/>
      <c r="LU46" s="111"/>
      <c r="LV46" s="111"/>
      <c r="LW46" s="111"/>
      <c r="LX46" s="111"/>
      <c r="LY46" s="112" t="str">
        <f t="shared" si="237"/>
        <v>x</v>
      </c>
      <c r="LZ46" s="111"/>
      <c r="MA46" s="111"/>
      <c r="MB46" s="111"/>
      <c r="MC46" s="112" t="str">
        <f t="shared" si="238"/>
        <v>x</v>
      </c>
      <c r="MD46" s="111"/>
      <c r="ME46" s="112" t="str">
        <f t="shared" si="239"/>
        <v>x</v>
      </c>
      <c r="MF46" s="112" t="str">
        <f t="shared" si="240"/>
        <v>x</v>
      </c>
      <c r="MG46" s="112" t="str">
        <f t="shared" si="241"/>
        <v>x</v>
      </c>
      <c r="MH46" s="112" t="str">
        <f t="shared" si="112"/>
        <v>x</v>
      </c>
    </row>
    <row r="47" spans="1:346" x14ac:dyDescent="0.25">
      <c r="A47" s="110" t="s">
        <v>1</v>
      </c>
      <c r="B47" s="101" t="s">
        <v>68</v>
      </c>
      <c r="C47" s="102"/>
      <c r="D47" s="102"/>
      <c r="E47" s="102"/>
      <c r="F47" s="102"/>
      <c r="G47" s="102"/>
      <c r="H47" s="102"/>
      <c r="I47" s="102"/>
      <c r="J47" s="103"/>
      <c r="K47" s="112" t="str">
        <f t="shared" si="113"/>
        <v>x</v>
      </c>
      <c r="L47" s="111"/>
      <c r="M47" s="112" t="str">
        <f t="shared" si="84"/>
        <v>x</v>
      </c>
      <c r="N47" s="112" t="str">
        <f t="shared" si="114"/>
        <v>x</v>
      </c>
      <c r="O47" s="112" t="str">
        <f t="shared" si="115"/>
        <v>x</v>
      </c>
      <c r="P47" s="112" t="str">
        <f t="shared" si="116"/>
        <v>x</v>
      </c>
      <c r="Q47" s="112" t="str">
        <f t="shared" si="117"/>
        <v>x</v>
      </c>
      <c r="R47" s="112"/>
      <c r="S47" s="112" t="str">
        <f t="shared" si="118"/>
        <v>x</v>
      </c>
      <c r="T47" s="112" t="str">
        <f t="shared" si="119"/>
        <v>x</v>
      </c>
      <c r="U47" s="112"/>
      <c r="V47" s="112"/>
      <c r="W47" s="112" t="str">
        <f t="shared" si="120"/>
        <v>x</v>
      </c>
      <c r="X47" s="112" t="str">
        <f t="shared" si="121"/>
        <v>x</v>
      </c>
      <c r="Y47" s="112"/>
      <c r="Z47" s="112"/>
      <c r="AA47" s="112"/>
      <c r="AB47" s="112"/>
      <c r="AC47" s="112" t="str">
        <f t="shared" si="122"/>
        <v>x</v>
      </c>
      <c r="AD47" s="112"/>
      <c r="AE47" s="112" t="str">
        <f t="shared" si="123"/>
        <v>x</v>
      </c>
      <c r="AF47" s="112" t="str">
        <f t="shared" si="124"/>
        <v>x</v>
      </c>
      <c r="AG47" s="111"/>
      <c r="AH47" s="112" t="str">
        <f t="shared" si="125"/>
        <v>x</v>
      </c>
      <c r="AI47" s="112" t="str">
        <f t="shared" si="126"/>
        <v>x</v>
      </c>
      <c r="AJ47" s="112" t="str">
        <f t="shared" si="127"/>
        <v>x</v>
      </c>
      <c r="AK47" s="112" t="str">
        <f t="shared" si="128"/>
        <v>x</v>
      </c>
      <c r="AL47" s="112"/>
      <c r="AM47" s="112" t="str">
        <f t="shared" si="129"/>
        <v>x</v>
      </c>
      <c r="AN47" s="112"/>
      <c r="AO47" s="112"/>
      <c r="AP47" s="112"/>
      <c r="AQ47" s="112"/>
      <c r="AR47" s="112"/>
      <c r="AS47" s="112" t="str">
        <f t="shared" si="130"/>
        <v>x</v>
      </c>
      <c r="AT47" s="112"/>
      <c r="AU47" s="114" t="str">
        <f t="shared" si="131"/>
        <v>x</v>
      </c>
      <c r="AV47" s="114" t="str">
        <f t="shared" si="85"/>
        <v>x</v>
      </c>
      <c r="AW47" s="114" t="str">
        <f t="shared" si="86"/>
        <v>x</v>
      </c>
      <c r="AX47" s="112" t="str">
        <f t="shared" si="132"/>
        <v>x</v>
      </c>
      <c r="AY47" s="111"/>
      <c r="AZ47" s="112" t="str">
        <f t="shared" si="87"/>
        <v>x</v>
      </c>
      <c r="BA47" s="112" t="str">
        <f t="shared" si="88"/>
        <v>x</v>
      </c>
      <c r="BB47" s="112"/>
      <c r="BC47" s="112" t="str">
        <f t="shared" si="133"/>
        <v>x</v>
      </c>
      <c r="BD47" s="112" t="str">
        <f t="shared" si="134"/>
        <v>x</v>
      </c>
      <c r="BE47" s="112" t="str">
        <f t="shared" si="135"/>
        <v>x</v>
      </c>
      <c r="BF47" s="111"/>
      <c r="BG47" s="112" t="str">
        <f t="shared" si="136"/>
        <v>x</v>
      </c>
      <c r="BH47" s="112" t="str">
        <f t="shared" si="137"/>
        <v>x</v>
      </c>
      <c r="BI47" s="112" t="str">
        <f t="shared" si="138"/>
        <v>x</v>
      </c>
      <c r="BJ47" s="112" t="str">
        <f t="shared" si="139"/>
        <v>x</v>
      </c>
      <c r="BK47" s="112" t="str">
        <f t="shared" si="140"/>
        <v>x</v>
      </c>
      <c r="BL47" s="112" t="str">
        <f t="shared" si="89"/>
        <v>x</v>
      </c>
      <c r="BM47" s="112" t="str">
        <f t="shared" si="141"/>
        <v>x</v>
      </c>
      <c r="BN47" s="111"/>
      <c r="BO47" s="111"/>
      <c r="BP47" s="112" t="str">
        <f t="shared" si="142"/>
        <v>x</v>
      </c>
      <c r="BQ47" s="111"/>
      <c r="BR47" s="112" t="str">
        <f t="shared" si="90"/>
        <v>x</v>
      </c>
      <c r="BS47" s="112" t="str">
        <f t="shared" si="143"/>
        <v>x</v>
      </c>
      <c r="BT47" s="111"/>
      <c r="BU47" s="112" t="str">
        <f t="shared" si="91"/>
        <v>x</v>
      </c>
      <c r="BV47" s="112" t="str">
        <f t="shared" si="144"/>
        <v>x</v>
      </c>
      <c r="BW47" s="112"/>
      <c r="BX47" s="112"/>
      <c r="BY47" s="112" t="str">
        <f t="shared" si="145"/>
        <v>x</v>
      </c>
      <c r="BZ47" s="112" t="str">
        <f t="shared" si="92"/>
        <v>x</v>
      </c>
      <c r="CA47" s="112" t="str">
        <f t="shared" si="93"/>
        <v>x</v>
      </c>
      <c r="CB47" s="112" t="str">
        <f t="shared" si="94"/>
        <v>x</v>
      </c>
      <c r="CC47" s="112"/>
      <c r="CD47" s="112"/>
      <c r="CE47" s="112" t="str">
        <f t="shared" si="146"/>
        <v>x</v>
      </c>
      <c r="CF47" s="112" t="str">
        <f t="shared" si="147"/>
        <v>x</v>
      </c>
      <c r="CG47" s="112" t="str">
        <f t="shared" si="148"/>
        <v>x</v>
      </c>
      <c r="CH47" s="112"/>
      <c r="CI47" s="112" t="str">
        <f t="shared" si="149"/>
        <v>x</v>
      </c>
      <c r="CJ47" s="112" t="str">
        <f t="shared" si="95"/>
        <v>x</v>
      </c>
      <c r="CK47" s="112" t="str">
        <f t="shared" si="150"/>
        <v>x</v>
      </c>
      <c r="CL47" s="112"/>
      <c r="CM47" s="112"/>
      <c r="CN47" s="112"/>
      <c r="CO47" s="112" t="str">
        <f t="shared" si="151"/>
        <v>x</v>
      </c>
      <c r="CP47" s="112"/>
      <c r="CQ47" s="112" t="str">
        <f t="shared" si="152"/>
        <v>x</v>
      </c>
      <c r="CR47" s="112"/>
      <c r="CS47" s="112"/>
      <c r="CT47" s="112" t="str">
        <f t="shared" si="153"/>
        <v>x</v>
      </c>
      <c r="CU47" s="112"/>
      <c r="CV47" s="112"/>
      <c r="CW47" s="112"/>
      <c r="CX47" s="112" t="str">
        <f t="shared" si="154"/>
        <v>x</v>
      </c>
      <c r="CY47" s="112"/>
      <c r="CZ47" s="112" t="str">
        <f t="shared" si="96"/>
        <v>x</v>
      </c>
      <c r="DA47" s="112"/>
      <c r="DB47" s="115" t="str">
        <f t="shared" si="155"/>
        <v>x</v>
      </c>
      <c r="DC47" s="112"/>
      <c r="DD47" s="112"/>
      <c r="DE47" s="112" t="str">
        <f t="shared" si="97"/>
        <v>x</v>
      </c>
      <c r="DF47" s="115" t="str">
        <f t="shared" si="98"/>
        <v>x</v>
      </c>
      <c r="DG47" s="112" t="str">
        <f t="shared" si="99"/>
        <v>x</v>
      </c>
      <c r="DH47" s="112" t="str">
        <f t="shared" si="100"/>
        <v>x</v>
      </c>
      <c r="DI47" s="112" t="str">
        <f t="shared" si="156"/>
        <v>x</v>
      </c>
      <c r="DJ47" s="112"/>
      <c r="DK47" s="112" t="str">
        <f t="shared" si="157"/>
        <v>x</v>
      </c>
      <c r="DL47" s="112"/>
      <c r="DM47" s="112"/>
      <c r="DN47" s="112" t="str">
        <f t="shared" si="158"/>
        <v>x</v>
      </c>
      <c r="DO47" s="111"/>
      <c r="DP47" s="112" t="str">
        <f t="shared" si="159"/>
        <v>x</v>
      </c>
      <c r="DQ47" s="112" t="str">
        <f t="shared" si="160"/>
        <v>x</v>
      </c>
      <c r="DR47" s="112" t="str">
        <f t="shared" si="161"/>
        <v>x</v>
      </c>
      <c r="DS47" s="112" t="str">
        <f t="shared" si="162"/>
        <v>x</v>
      </c>
      <c r="DT47" s="112"/>
      <c r="DU47" s="112" t="str">
        <f t="shared" si="163"/>
        <v>x</v>
      </c>
      <c r="DV47" s="112"/>
      <c r="DW47" s="112" t="str">
        <f t="shared" si="164"/>
        <v>x</v>
      </c>
      <c r="DX47" s="112" t="str">
        <f t="shared" si="165"/>
        <v>x</v>
      </c>
      <c r="DY47" s="112" t="str">
        <f t="shared" si="166"/>
        <v>x</v>
      </c>
      <c r="DZ47" s="112" t="str">
        <f t="shared" si="167"/>
        <v>x</v>
      </c>
      <c r="EA47" s="112" t="str">
        <f t="shared" si="168"/>
        <v>x</v>
      </c>
      <c r="EB47" s="112" t="str">
        <f t="shared" si="169"/>
        <v>x</v>
      </c>
      <c r="EC47" s="111"/>
      <c r="ED47" s="111"/>
      <c r="EE47" s="111"/>
      <c r="EF47" s="111"/>
      <c r="EG47" s="111"/>
      <c r="EH47" s="111"/>
      <c r="EI47" s="112"/>
      <c r="EJ47" s="112" t="str">
        <f t="shared" si="170"/>
        <v>x</v>
      </c>
      <c r="EK47" s="112" t="str">
        <f t="shared" si="171"/>
        <v>x</v>
      </c>
      <c r="EL47" s="112" t="str">
        <f t="shared" si="172"/>
        <v>x</v>
      </c>
      <c r="EM47" s="112" t="str">
        <f t="shared" si="173"/>
        <v>x</v>
      </c>
      <c r="EN47" s="112" t="str">
        <f t="shared" si="174"/>
        <v>x</v>
      </c>
      <c r="EO47" s="117" t="str">
        <f t="shared" si="101"/>
        <v>x</v>
      </c>
      <c r="EP47" s="117" t="str">
        <f t="shared" si="175"/>
        <v>x</v>
      </c>
      <c r="EQ47" s="112" t="str">
        <f t="shared" si="176"/>
        <v>x</v>
      </c>
      <c r="ER47" s="112"/>
      <c r="ES47" s="112" t="str">
        <f t="shared" si="102"/>
        <v>x</v>
      </c>
      <c r="ET47" s="112" t="str">
        <f t="shared" si="177"/>
        <v>x</v>
      </c>
      <c r="EU47" s="112" t="str">
        <f t="shared" si="178"/>
        <v>x</v>
      </c>
      <c r="EV47" s="112" t="str">
        <f t="shared" si="103"/>
        <v>x</v>
      </c>
      <c r="EW47" s="112" t="str">
        <f t="shared" si="179"/>
        <v>x</v>
      </c>
      <c r="EX47" s="112" t="str">
        <f t="shared" si="180"/>
        <v>x</v>
      </c>
      <c r="EY47" s="112" t="str">
        <f t="shared" si="181"/>
        <v>x</v>
      </c>
      <c r="EZ47" s="112"/>
      <c r="FA47" s="112" t="str">
        <f t="shared" si="182"/>
        <v>x</v>
      </c>
      <c r="FB47" s="111"/>
      <c r="FC47" s="112" t="str">
        <f t="shared" si="104"/>
        <v>x</v>
      </c>
      <c r="FD47" s="112" t="str">
        <f t="shared" si="105"/>
        <v>x</v>
      </c>
      <c r="FE47" s="112" t="str">
        <f t="shared" si="106"/>
        <v>x</v>
      </c>
      <c r="FF47" s="112" t="str">
        <f t="shared" si="107"/>
        <v>x</v>
      </c>
      <c r="FG47" s="111"/>
      <c r="FH47" s="111"/>
      <c r="FI47" s="112" t="str">
        <f t="shared" si="183"/>
        <v>x</v>
      </c>
      <c r="FJ47" s="112" t="str">
        <f t="shared" si="184"/>
        <v>x</v>
      </c>
      <c r="FK47" s="112" t="str">
        <f t="shared" si="185"/>
        <v>x</v>
      </c>
      <c r="FL47" s="112"/>
      <c r="FM47" s="112" t="str">
        <f t="shared" si="186"/>
        <v>x</v>
      </c>
      <c r="FN47" s="112"/>
      <c r="FO47" s="112" t="str">
        <f t="shared" si="187"/>
        <v>x</v>
      </c>
      <c r="FP47" s="112" t="str">
        <f t="shared" si="188"/>
        <v>x</v>
      </c>
      <c r="FQ47" s="112" t="str">
        <f t="shared" si="189"/>
        <v>x</v>
      </c>
      <c r="FR47" s="112" t="str">
        <f t="shared" si="190"/>
        <v>x</v>
      </c>
      <c r="FS47" s="112" t="str">
        <f t="shared" si="191"/>
        <v>x</v>
      </c>
      <c r="FT47" s="112" t="str">
        <f t="shared" si="192"/>
        <v>x</v>
      </c>
      <c r="FU47" s="112" t="str">
        <f t="shared" si="193"/>
        <v>x</v>
      </c>
      <c r="FV47" s="112" t="str">
        <f t="shared" si="194"/>
        <v>x</v>
      </c>
      <c r="FW47" s="112" t="str">
        <f t="shared" si="195"/>
        <v>x</v>
      </c>
      <c r="FX47" s="112" t="str">
        <f t="shared" si="196"/>
        <v>x</v>
      </c>
      <c r="FY47" s="112" t="str">
        <f t="shared" si="197"/>
        <v>x</v>
      </c>
      <c r="FZ47" s="112"/>
      <c r="GA47" s="112" t="str">
        <f t="shared" si="198"/>
        <v>x</v>
      </c>
      <c r="GB47" s="112"/>
      <c r="GC47" s="112" t="str">
        <f t="shared" si="199"/>
        <v>x</v>
      </c>
      <c r="GD47" s="112"/>
      <c r="GE47" s="112"/>
      <c r="GF47" s="112"/>
      <c r="GG47" s="112"/>
      <c r="GH47" s="112" t="str">
        <f t="shared" si="200"/>
        <v>x</v>
      </c>
      <c r="GI47" s="112" t="str">
        <f t="shared" si="201"/>
        <v>x</v>
      </c>
      <c r="GJ47" s="111"/>
      <c r="GK47" s="111"/>
      <c r="GL47" s="112" t="str">
        <f t="shared" si="202"/>
        <v>x</v>
      </c>
      <c r="GM47" s="112"/>
      <c r="GN47" s="112" t="str">
        <f t="shared" si="203"/>
        <v>x</v>
      </c>
      <c r="GO47" s="112" t="str">
        <f t="shared" si="204"/>
        <v>x</v>
      </c>
      <c r="GP47" s="112"/>
      <c r="GQ47" s="112" t="str">
        <f t="shared" si="205"/>
        <v>x</v>
      </c>
      <c r="GR47" s="112" t="str">
        <f t="shared" si="206"/>
        <v>x</v>
      </c>
      <c r="GS47" s="112"/>
      <c r="GT47" s="112" t="str">
        <f t="shared" si="207"/>
        <v>x</v>
      </c>
      <c r="GU47" s="112"/>
      <c r="GV47" s="112"/>
      <c r="GW47" s="112" t="str">
        <f t="shared" si="208"/>
        <v>x</v>
      </c>
      <c r="GX47" s="112"/>
      <c r="GY47" s="112"/>
      <c r="GZ47" s="112"/>
      <c r="HA47" s="112"/>
      <c r="HB47" s="112" t="str">
        <f t="shared" si="48"/>
        <v>x</v>
      </c>
      <c r="HC47" s="112" t="str">
        <f t="shared" si="209"/>
        <v>x</v>
      </c>
      <c r="HD47" s="112" t="str">
        <f t="shared" si="210"/>
        <v>x</v>
      </c>
      <c r="HE47" s="112" t="str">
        <f t="shared" si="211"/>
        <v>x</v>
      </c>
      <c r="HF47" s="112" t="str">
        <f t="shared" si="212"/>
        <v>x</v>
      </c>
      <c r="HG47" s="112"/>
      <c r="HH47" s="112"/>
      <c r="HI47" s="112" t="str">
        <f t="shared" si="213"/>
        <v>x</v>
      </c>
      <c r="HJ47" s="112"/>
      <c r="HK47" s="112" t="str">
        <f t="shared" si="214"/>
        <v>x</v>
      </c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 t="str">
        <f t="shared" si="215"/>
        <v>x</v>
      </c>
      <c r="HX47" s="112" t="str">
        <f t="shared" si="108"/>
        <v>x</v>
      </c>
      <c r="HY47" s="112" t="str">
        <f t="shared" si="109"/>
        <v>x</v>
      </c>
      <c r="HZ47" s="112"/>
      <c r="IA47" s="112"/>
      <c r="IB47" s="112"/>
      <c r="IC47" s="112" t="str">
        <f t="shared" si="216"/>
        <v>x</v>
      </c>
      <c r="ID47" s="112"/>
      <c r="IE47" s="112"/>
      <c r="IF47" s="112"/>
      <c r="IG47" s="111"/>
      <c r="IH47" s="112"/>
      <c r="II47" s="112"/>
      <c r="IJ47" s="112" t="str">
        <f t="shared" si="217"/>
        <v>x</v>
      </c>
      <c r="IK47" s="112" t="str">
        <f t="shared" si="218"/>
        <v>x</v>
      </c>
      <c r="IL47" s="111"/>
      <c r="IM47" s="112" t="str">
        <f t="shared" si="219"/>
        <v>x</v>
      </c>
      <c r="IN47" s="112"/>
      <c r="IO47" s="111"/>
      <c r="IP47" s="112" t="str">
        <f t="shared" si="220"/>
        <v>x</v>
      </c>
      <c r="IQ47" s="112" t="str">
        <f t="shared" si="221"/>
        <v>x</v>
      </c>
      <c r="IR47" s="111"/>
      <c r="IS47" s="111"/>
      <c r="IT47" s="111"/>
      <c r="IU47" s="112" t="str">
        <f t="shared" si="222"/>
        <v>x</v>
      </c>
      <c r="IV47" s="112" t="str">
        <f t="shared" si="223"/>
        <v>x</v>
      </c>
      <c r="IW47" s="112"/>
      <c r="IX47" s="112" t="str">
        <f t="shared" si="224"/>
        <v>x</v>
      </c>
      <c r="IY47" s="111"/>
      <c r="IZ47" s="112" t="str">
        <f t="shared" si="225"/>
        <v>x</v>
      </c>
      <c r="JA47" s="111"/>
      <c r="JB47" s="112"/>
      <c r="JC47" s="111"/>
      <c r="JD47" s="112"/>
      <c r="JE47" s="112"/>
      <c r="JF47" s="112" t="str">
        <f t="shared" si="226"/>
        <v>x</v>
      </c>
      <c r="JG47" s="112" t="str">
        <f t="shared" si="227"/>
        <v>x</v>
      </c>
      <c r="JH47" s="111"/>
      <c r="JI47" s="112"/>
      <c r="JJ47" s="112" t="str">
        <f t="shared" si="228"/>
        <v>x</v>
      </c>
      <c r="JK47" s="112" t="str">
        <f t="shared" si="229"/>
        <v>x</v>
      </c>
      <c r="JL47" s="112" t="str">
        <f t="shared" si="230"/>
        <v>x</v>
      </c>
      <c r="JM47" s="112"/>
      <c r="JN47" s="112"/>
      <c r="JO47" s="112"/>
      <c r="JP47" s="112"/>
      <c r="JQ47" s="112" t="str">
        <f t="shared" si="110"/>
        <v>x</v>
      </c>
      <c r="JR47" s="112"/>
      <c r="JS47" s="112" t="str">
        <f t="shared" si="231"/>
        <v>x</v>
      </c>
      <c r="JT47" s="111"/>
      <c r="JU47" s="111"/>
      <c r="JV47" s="112"/>
      <c r="JW47" s="112"/>
      <c r="JX47" s="112"/>
      <c r="JY47" s="112"/>
      <c r="JZ47" s="112" t="str">
        <f t="shared" si="232"/>
        <v>x</v>
      </c>
      <c r="KA47" s="112" t="str">
        <f t="shared" si="233"/>
        <v>x</v>
      </c>
      <c r="KB47" s="112" t="str">
        <f t="shared" si="234"/>
        <v>x</v>
      </c>
      <c r="KC47" s="112" t="str">
        <f t="shared" si="235"/>
        <v>x</v>
      </c>
      <c r="KD47" s="112" t="str">
        <f t="shared" si="111"/>
        <v>x</v>
      </c>
      <c r="KE47" s="112" t="str">
        <f t="shared" si="236"/>
        <v>x</v>
      </c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1"/>
      <c r="LC47" s="111"/>
      <c r="LD47" s="111"/>
      <c r="LE47" s="111"/>
      <c r="LF47" s="112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2"/>
      <c r="LT47" s="111"/>
      <c r="LU47" s="111"/>
      <c r="LV47" s="111"/>
      <c r="LW47" s="111"/>
      <c r="LX47" s="111"/>
      <c r="LY47" s="112" t="str">
        <f t="shared" si="237"/>
        <v>x</v>
      </c>
      <c r="LZ47" s="111"/>
      <c r="MA47" s="111"/>
      <c r="MB47" s="111"/>
      <c r="MC47" s="112" t="str">
        <f t="shared" si="238"/>
        <v>x</v>
      </c>
      <c r="MD47" s="111"/>
      <c r="ME47" s="112" t="str">
        <f t="shared" si="239"/>
        <v>x</v>
      </c>
      <c r="MF47" s="112" t="str">
        <f t="shared" si="240"/>
        <v>x</v>
      </c>
      <c r="MG47" s="112" t="str">
        <f t="shared" si="241"/>
        <v>x</v>
      </c>
      <c r="MH47" s="112" t="str">
        <f t="shared" si="112"/>
        <v>x</v>
      </c>
    </row>
    <row r="48" spans="1:346" x14ac:dyDescent="0.25">
      <c r="A48" s="110" t="s">
        <v>1</v>
      </c>
      <c r="B48" s="101" t="s">
        <v>69</v>
      </c>
      <c r="C48" s="102"/>
      <c r="D48" s="102"/>
      <c r="E48" s="102"/>
      <c r="F48" s="102"/>
      <c r="G48" s="102"/>
      <c r="H48" s="102"/>
      <c r="I48" s="102"/>
      <c r="J48" s="103"/>
      <c r="K48" s="112" t="str">
        <f t="shared" si="113"/>
        <v>x</v>
      </c>
      <c r="L48" s="111"/>
      <c r="M48" s="112" t="str">
        <f t="shared" si="84"/>
        <v>x</v>
      </c>
      <c r="N48" s="112" t="str">
        <f t="shared" si="114"/>
        <v>x</v>
      </c>
      <c r="O48" s="112" t="str">
        <f t="shared" si="115"/>
        <v>x</v>
      </c>
      <c r="P48" s="112" t="str">
        <f t="shared" si="116"/>
        <v>x</v>
      </c>
      <c r="Q48" s="112" t="str">
        <f t="shared" si="117"/>
        <v>x</v>
      </c>
      <c r="R48" s="112"/>
      <c r="S48" s="112" t="str">
        <f t="shared" si="118"/>
        <v>x</v>
      </c>
      <c r="T48" s="112" t="str">
        <f t="shared" si="119"/>
        <v>x</v>
      </c>
      <c r="U48" s="112"/>
      <c r="V48" s="112"/>
      <c r="W48" s="112" t="str">
        <f t="shared" si="120"/>
        <v>x</v>
      </c>
      <c r="X48" s="112" t="str">
        <f t="shared" si="121"/>
        <v>x</v>
      </c>
      <c r="Y48" s="112"/>
      <c r="Z48" s="112"/>
      <c r="AA48" s="112"/>
      <c r="AB48" s="112"/>
      <c r="AC48" s="112" t="str">
        <f t="shared" si="122"/>
        <v>x</v>
      </c>
      <c r="AD48" s="112"/>
      <c r="AE48" s="112" t="str">
        <f t="shared" si="123"/>
        <v>x</v>
      </c>
      <c r="AF48" s="112" t="str">
        <f t="shared" si="124"/>
        <v>x</v>
      </c>
      <c r="AG48" s="111"/>
      <c r="AH48" s="112" t="str">
        <f t="shared" si="125"/>
        <v>x</v>
      </c>
      <c r="AI48" s="112" t="str">
        <f t="shared" si="126"/>
        <v>x</v>
      </c>
      <c r="AJ48" s="112" t="str">
        <f t="shared" si="127"/>
        <v>x</v>
      </c>
      <c r="AK48" s="112" t="str">
        <f t="shared" si="128"/>
        <v>x</v>
      </c>
      <c r="AL48" s="112"/>
      <c r="AM48" s="112" t="str">
        <f t="shared" si="129"/>
        <v>x</v>
      </c>
      <c r="AN48" s="112"/>
      <c r="AO48" s="112"/>
      <c r="AP48" s="112"/>
      <c r="AQ48" s="112"/>
      <c r="AR48" s="112"/>
      <c r="AS48" s="112" t="str">
        <f t="shared" si="130"/>
        <v>x</v>
      </c>
      <c r="AT48" s="112"/>
      <c r="AU48" s="114" t="str">
        <f t="shared" si="131"/>
        <v>x</v>
      </c>
      <c r="AV48" s="114" t="str">
        <f t="shared" si="85"/>
        <v>x</v>
      </c>
      <c r="AW48" s="114" t="str">
        <f t="shared" si="86"/>
        <v>x</v>
      </c>
      <c r="AX48" s="112" t="str">
        <f t="shared" si="132"/>
        <v>x</v>
      </c>
      <c r="AY48" s="111"/>
      <c r="AZ48" s="112" t="str">
        <f t="shared" si="87"/>
        <v>x</v>
      </c>
      <c r="BA48" s="112" t="str">
        <f t="shared" si="88"/>
        <v>x</v>
      </c>
      <c r="BB48" s="112"/>
      <c r="BC48" s="112" t="str">
        <f t="shared" si="133"/>
        <v>x</v>
      </c>
      <c r="BD48" s="112" t="str">
        <f t="shared" si="134"/>
        <v>x</v>
      </c>
      <c r="BE48" s="112" t="str">
        <f t="shared" si="135"/>
        <v>x</v>
      </c>
      <c r="BF48" s="111"/>
      <c r="BG48" s="112" t="str">
        <f t="shared" si="136"/>
        <v>x</v>
      </c>
      <c r="BH48" s="112" t="str">
        <f t="shared" si="137"/>
        <v>x</v>
      </c>
      <c r="BI48" s="112" t="str">
        <f t="shared" si="138"/>
        <v>x</v>
      </c>
      <c r="BJ48" s="112" t="str">
        <f t="shared" si="139"/>
        <v>x</v>
      </c>
      <c r="BK48" s="112" t="str">
        <f t="shared" si="140"/>
        <v>x</v>
      </c>
      <c r="BL48" s="112" t="str">
        <f t="shared" si="89"/>
        <v>x</v>
      </c>
      <c r="BM48" s="112" t="str">
        <f t="shared" si="141"/>
        <v>x</v>
      </c>
      <c r="BN48" s="111"/>
      <c r="BO48" s="111"/>
      <c r="BP48" s="112" t="str">
        <f t="shared" si="142"/>
        <v>x</v>
      </c>
      <c r="BQ48" s="111"/>
      <c r="BR48" s="112" t="str">
        <f t="shared" si="90"/>
        <v>x</v>
      </c>
      <c r="BS48" s="112" t="str">
        <f t="shared" si="143"/>
        <v>x</v>
      </c>
      <c r="BT48" s="111"/>
      <c r="BU48" s="112" t="str">
        <f t="shared" si="91"/>
        <v>x</v>
      </c>
      <c r="BV48" s="112" t="str">
        <f t="shared" si="144"/>
        <v>x</v>
      </c>
      <c r="BW48" s="112"/>
      <c r="BX48" s="112"/>
      <c r="BY48" s="112" t="str">
        <f t="shared" si="145"/>
        <v>x</v>
      </c>
      <c r="BZ48" s="112" t="str">
        <f t="shared" si="92"/>
        <v>x</v>
      </c>
      <c r="CA48" s="112" t="str">
        <f t="shared" si="93"/>
        <v>x</v>
      </c>
      <c r="CB48" s="112" t="str">
        <f t="shared" si="94"/>
        <v>x</v>
      </c>
      <c r="CC48" s="112"/>
      <c r="CD48" s="112"/>
      <c r="CE48" s="112" t="str">
        <f t="shared" si="146"/>
        <v>x</v>
      </c>
      <c r="CF48" s="112" t="str">
        <f t="shared" si="147"/>
        <v>x</v>
      </c>
      <c r="CG48" s="112" t="str">
        <f t="shared" si="148"/>
        <v>x</v>
      </c>
      <c r="CH48" s="112"/>
      <c r="CI48" s="112" t="str">
        <f t="shared" si="149"/>
        <v>x</v>
      </c>
      <c r="CJ48" s="112" t="str">
        <f t="shared" si="95"/>
        <v>x</v>
      </c>
      <c r="CK48" s="112" t="str">
        <f t="shared" si="150"/>
        <v>x</v>
      </c>
      <c r="CL48" s="112"/>
      <c r="CM48" s="112"/>
      <c r="CN48" s="112"/>
      <c r="CO48" s="112" t="str">
        <f t="shared" si="151"/>
        <v>x</v>
      </c>
      <c r="CP48" s="112"/>
      <c r="CQ48" s="112" t="str">
        <f t="shared" si="152"/>
        <v>x</v>
      </c>
      <c r="CR48" s="112"/>
      <c r="CS48" s="112"/>
      <c r="CT48" s="112" t="str">
        <f t="shared" si="153"/>
        <v>x</v>
      </c>
      <c r="CU48" s="112"/>
      <c r="CV48" s="112"/>
      <c r="CW48" s="112"/>
      <c r="CX48" s="112" t="str">
        <f t="shared" si="154"/>
        <v>x</v>
      </c>
      <c r="CY48" s="112"/>
      <c r="CZ48" s="112" t="str">
        <f t="shared" si="96"/>
        <v>x</v>
      </c>
      <c r="DA48" s="112"/>
      <c r="DB48" s="115" t="str">
        <f t="shared" si="155"/>
        <v>x</v>
      </c>
      <c r="DC48" s="112"/>
      <c r="DD48" s="112"/>
      <c r="DE48" s="112" t="str">
        <f t="shared" si="97"/>
        <v>x</v>
      </c>
      <c r="DF48" s="115" t="str">
        <f t="shared" si="98"/>
        <v>x</v>
      </c>
      <c r="DG48" s="112" t="str">
        <f t="shared" si="99"/>
        <v>x</v>
      </c>
      <c r="DH48" s="112" t="str">
        <f t="shared" si="100"/>
        <v>x</v>
      </c>
      <c r="DI48" s="112" t="str">
        <f t="shared" si="156"/>
        <v>x</v>
      </c>
      <c r="DJ48" s="112"/>
      <c r="DK48" s="112" t="str">
        <f t="shared" si="157"/>
        <v>x</v>
      </c>
      <c r="DL48" s="112"/>
      <c r="DM48" s="112"/>
      <c r="DN48" s="112" t="str">
        <f t="shared" si="158"/>
        <v>x</v>
      </c>
      <c r="DO48" s="111"/>
      <c r="DP48" s="112" t="str">
        <f t="shared" si="159"/>
        <v>x</v>
      </c>
      <c r="DQ48" s="112" t="str">
        <f t="shared" si="160"/>
        <v>x</v>
      </c>
      <c r="DR48" s="112" t="str">
        <f t="shared" si="161"/>
        <v>x</v>
      </c>
      <c r="DS48" s="112" t="str">
        <f t="shared" si="162"/>
        <v>x</v>
      </c>
      <c r="DT48" s="112"/>
      <c r="DU48" s="112" t="str">
        <f t="shared" si="163"/>
        <v>x</v>
      </c>
      <c r="DV48" s="112"/>
      <c r="DW48" s="112" t="str">
        <f t="shared" si="164"/>
        <v>x</v>
      </c>
      <c r="DX48" s="112" t="str">
        <f t="shared" si="165"/>
        <v>x</v>
      </c>
      <c r="DY48" s="112" t="str">
        <f t="shared" si="166"/>
        <v>x</v>
      </c>
      <c r="DZ48" s="112" t="str">
        <f t="shared" si="167"/>
        <v>x</v>
      </c>
      <c r="EA48" s="112" t="str">
        <f t="shared" si="168"/>
        <v>x</v>
      </c>
      <c r="EB48" s="112" t="str">
        <f t="shared" si="169"/>
        <v>x</v>
      </c>
      <c r="EC48" s="111"/>
      <c r="ED48" s="111"/>
      <c r="EE48" s="111"/>
      <c r="EF48" s="111"/>
      <c r="EG48" s="111"/>
      <c r="EH48" s="111"/>
      <c r="EI48" s="112"/>
      <c r="EJ48" s="112" t="str">
        <f t="shared" si="170"/>
        <v>x</v>
      </c>
      <c r="EK48" s="112" t="str">
        <f t="shared" si="171"/>
        <v>x</v>
      </c>
      <c r="EL48" s="112" t="str">
        <f t="shared" si="172"/>
        <v>x</v>
      </c>
      <c r="EM48" s="112" t="str">
        <f t="shared" si="173"/>
        <v>x</v>
      </c>
      <c r="EN48" s="112" t="str">
        <f t="shared" si="174"/>
        <v>x</v>
      </c>
      <c r="EO48" s="117" t="str">
        <f t="shared" si="101"/>
        <v>x</v>
      </c>
      <c r="EP48" s="117" t="str">
        <f t="shared" si="175"/>
        <v>x</v>
      </c>
      <c r="EQ48" s="112" t="str">
        <f t="shared" si="176"/>
        <v>x</v>
      </c>
      <c r="ER48" s="112"/>
      <c r="ES48" s="112" t="str">
        <f t="shared" si="102"/>
        <v>x</v>
      </c>
      <c r="ET48" s="112" t="str">
        <f t="shared" si="177"/>
        <v>x</v>
      </c>
      <c r="EU48" s="112" t="str">
        <f t="shared" si="178"/>
        <v>x</v>
      </c>
      <c r="EV48" s="112" t="str">
        <f t="shared" si="103"/>
        <v>x</v>
      </c>
      <c r="EW48" s="112" t="str">
        <f t="shared" si="179"/>
        <v>x</v>
      </c>
      <c r="EX48" s="112" t="str">
        <f t="shared" si="180"/>
        <v>x</v>
      </c>
      <c r="EY48" s="112" t="str">
        <f t="shared" si="181"/>
        <v>x</v>
      </c>
      <c r="EZ48" s="112"/>
      <c r="FA48" s="112" t="str">
        <f t="shared" si="182"/>
        <v>x</v>
      </c>
      <c r="FB48" s="111"/>
      <c r="FC48" s="112" t="str">
        <f t="shared" si="104"/>
        <v>x</v>
      </c>
      <c r="FD48" s="112" t="str">
        <f t="shared" si="105"/>
        <v>x</v>
      </c>
      <c r="FE48" s="112" t="str">
        <f t="shared" si="106"/>
        <v>x</v>
      </c>
      <c r="FF48" s="112" t="str">
        <f t="shared" si="107"/>
        <v>x</v>
      </c>
      <c r="FG48" s="111"/>
      <c r="FH48" s="111"/>
      <c r="FI48" s="112" t="str">
        <f t="shared" si="183"/>
        <v>x</v>
      </c>
      <c r="FJ48" s="112" t="str">
        <f t="shared" si="184"/>
        <v>x</v>
      </c>
      <c r="FK48" s="112" t="str">
        <f t="shared" si="185"/>
        <v>x</v>
      </c>
      <c r="FL48" s="112"/>
      <c r="FM48" s="112" t="str">
        <f t="shared" si="186"/>
        <v>x</v>
      </c>
      <c r="FN48" s="112"/>
      <c r="FO48" s="112" t="str">
        <f t="shared" si="187"/>
        <v>x</v>
      </c>
      <c r="FP48" s="112" t="str">
        <f t="shared" si="188"/>
        <v>x</v>
      </c>
      <c r="FQ48" s="112" t="str">
        <f t="shared" si="189"/>
        <v>x</v>
      </c>
      <c r="FR48" s="112" t="str">
        <f t="shared" si="190"/>
        <v>x</v>
      </c>
      <c r="FS48" s="112" t="str">
        <f t="shared" si="191"/>
        <v>x</v>
      </c>
      <c r="FT48" s="112" t="str">
        <f t="shared" si="192"/>
        <v>x</v>
      </c>
      <c r="FU48" s="112" t="str">
        <f t="shared" si="193"/>
        <v>x</v>
      </c>
      <c r="FV48" s="112" t="str">
        <f t="shared" si="194"/>
        <v>x</v>
      </c>
      <c r="FW48" s="112" t="str">
        <f t="shared" si="195"/>
        <v>x</v>
      </c>
      <c r="FX48" s="112" t="str">
        <f t="shared" si="196"/>
        <v>x</v>
      </c>
      <c r="FY48" s="112" t="str">
        <f t="shared" si="197"/>
        <v>x</v>
      </c>
      <c r="FZ48" s="112"/>
      <c r="GA48" s="112" t="str">
        <f t="shared" si="198"/>
        <v>x</v>
      </c>
      <c r="GB48" s="112"/>
      <c r="GC48" s="112" t="str">
        <f t="shared" si="199"/>
        <v>x</v>
      </c>
      <c r="GD48" s="112"/>
      <c r="GE48" s="112"/>
      <c r="GF48" s="112"/>
      <c r="GG48" s="112"/>
      <c r="GH48" s="112" t="str">
        <f t="shared" si="200"/>
        <v>x</v>
      </c>
      <c r="GI48" s="112" t="str">
        <f t="shared" si="201"/>
        <v>x</v>
      </c>
      <c r="GJ48" s="111"/>
      <c r="GK48" s="111"/>
      <c r="GL48" s="112" t="str">
        <f t="shared" si="202"/>
        <v>x</v>
      </c>
      <c r="GM48" s="112"/>
      <c r="GN48" s="112" t="str">
        <f t="shared" si="203"/>
        <v>x</v>
      </c>
      <c r="GO48" s="112" t="str">
        <f t="shared" si="204"/>
        <v>x</v>
      </c>
      <c r="GP48" s="112"/>
      <c r="GQ48" s="112" t="str">
        <f t="shared" si="205"/>
        <v>x</v>
      </c>
      <c r="GR48" s="112" t="str">
        <f t="shared" si="206"/>
        <v>x</v>
      </c>
      <c r="GS48" s="112"/>
      <c r="GT48" s="112" t="str">
        <f t="shared" si="207"/>
        <v>x</v>
      </c>
      <c r="GU48" s="112"/>
      <c r="GV48" s="112"/>
      <c r="GW48" s="112" t="str">
        <f t="shared" si="208"/>
        <v>x</v>
      </c>
      <c r="GX48" s="112"/>
      <c r="GY48" s="112"/>
      <c r="GZ48" s="112"/>
      <c r="HA48" s="112"/>
      <c r="HB48" s="112" t="str">
        <f t="shared" si="48"/>
        <v>x</v>
      </c>
      <c r="HC48" s="112" t="str">
        <f t="shared" si="209"/>
        <v>x</v>
      </c>
      <c r="HD48" s="112" t="str">
        <f t="shared" si="210"/>
        <v>x</v>
      </c>
      <c r="HE48" s="112" t="str">
        <f t="shared" si="211"/>
        <v>x</v>
      </c>
      <c r="HF48" s="112" t="str">
        <f t="shared" si="212"/>
        <v>x</v>
      </c>
      <c r="HG48" s="112"/>
      <c r="HH48" s="112"/>
      <c r="HI48" s="112" t="str">
        <f t="shared" si="213"/>
        <v>x</v>
      </c>
      <c r="HJ48" s="112"/>
      <c r="HK48" s="112" t="str">
        <f t="shared" si="214"/>
        <v>x</v>
      </c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 t="str">
        <f t="shared" si="215"/>
        <v>x</v>
      </c>
      <c r="HX48" s="112" t="str">
        <f t="shared" si="108"/>
        <v>x</v>
      </c>
      <c r="HY48" s="112" t="str">
        <f t="shared" si="109"/>
        <v>x</v>
      </c>
      <c r="HZ48" s="112"/>
      <c r="IA48" s="112"/>
      <c r="IB48" s="112"/>
      <c r="IC48" s="112" t="str">
        <f t="shared" si="216"/>
        <v>x</v>
      </c>
      <c r="ID48" s="112"/>
      <c r="IE48" s="112"/>
      <c r="IF48" s="112"/>
      <c r="IG48" s="111"/>
      <c r="IH48" s="112"/>
      <c r="II48" s="112"/>
      <c r="IJ48" s="112" t="str">
        <f t="shared" si="217"/>
        <v>x</v>
      </c>
      <c r="IK48" s="112" t="str">
        <f t="shared" si="218"/>
        <v>x</v>
      </c>
      <c r="IL48" s="111"/>
      <c r="IM48" s="112" t="str">
        <f t="shared" si="219"/>
        <v>x</v>
      </c>
      <c r="IN48" s="112"/>
      <c r="IO48" s="111"/>
      <c r="IP48" s="112" t="str">
        <f t="shared" si="220"/>
        <v>x</v>
      </c>
      <c r="IQ48" s="112" t="str">
        <f t="shared" si="221"/>
        <v>x</v>
      </c>
      <c r="IR48" s="111"/>
      <c r="IS48" s="111"/>
      <c r="IT48" s="111"/>
      <c r="IU48" s="112" t="str">
        <f t="shared" si="222"/>
        <v>x</v>
      </c>
      <c r="IV48" s="112" t="str">
        <f t="shared" si="223"/>
        <v>x</v>
      </c>
      <c r="IW48" s="112"/>
      <c r="IX48" s="112" t="str">
        <f t="shared" si="224"/>
        <v>x</v>
      </c>
      <c r="IY48" s="111"/>
      <c r="IZ48" s="112" t="str">
        <f t="shared" si="225"/>
        <v>x</v>
      </c>
      <c r="JA48" s="111"/>
      <c r="JB48" s="112"/>
      <c r="JC48" s="111"/>
      <c r="JD48" s="112"/>
      <c r="JE48" s="112"/>
      <c r="JF48" s="112" t="str">
        <f t="shared" si="226"/>
        <v>x</v>
      </c>
      <c r="JG48" s="112" t="str">
        <f t="shared" si="227"/>
        <v>x</v>
      </c>
      <c r="JH48" s="111"/>
      <c r="JI48" s="112"/>
      <c r="JJ48" s="112" t="str">
        <f t="shared" si="228"/>
        <v>x</v>
      </c>
      <c r="JK48" s="112" t="str">
        <f t="shared" si="229"/>
        <v>x</v>
      </c>
      <c r="JL48" s="112" t="str">
        <f t="shared" si="230"/>
        <v>x</v>
      </c>
      <c r="JM48" s="112"/>
      <c r="JN48" s="112"/>
      <c r="JO48" s="112"/>
      <c r="JP48" s="112"/>
      <c r="JQ48" s="112" t="str">
        <f t="shared" si="110"/>
        <v>x</v>
      </c>
      <c r="JR48" s="112"/>
      <c r="JS48" s="112" t="str">
        <f t="shared" si="231"/>
        <v>x</v>
      </c>
      <c r="JT48" s="111"/>
      <c r="JU48" s="111"/>
      <c r="JV48" s="112"/>
      <c r="JW48" s="112"/>
      <c r="JX48" s="112"/>
      <c r="JY48" s="112"/>
      <c r="JZ48" s="112" t="str">
        <f t="shared" si="232"/>
        <v>x</v>
      </c>
      <c r="KA48" s="112" t="str">
        <f t="shared" si="233"/>
        <v>x</v>
      </c>
      <c r="KB48" s="112" t="str">
        <f t="shared" si="234"/>
        <v>x</v>
      </c>
      <c r="KC48" s="112" t="str">
        <f t="shared" si="235"/>
        <v>x</v>
      </c>
      <c r="KD48" s="112" t="str">
        <f t="shared" si="111"/>
        <v>x</v>
      </c>
      <c r="KE48" s="112" t="str">
        <f t="shared" si="236"/>
        <v>x</v>
      </c>
      <c r="KF48" s="112"/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1"/>
      <c r="LC48" s="111"/>
      <c r="LD48" s="111"/>
      <c r="LE48" s="111"/>
      <c r="LF48" s="112"/>
      <c r="LG48" s="111"/>
      <c r="LH48" s="111"/>
      <c r="LI48" s="111"/>
      <c r="LJ48" s="111"/>
      <c r="LK48" s="111"/>
      <c r="LL48" s="111"/>
      <c r="LM48" s="111"/>
      <c r="LN48" s="111"/>
      <c r="LO48" s="111"/>
      <c r="LP48" s="111"/>
      <c r="LQ48" s="111"/>
      <c r="LR48" s="111"/>
      <c r="LS48" s="112"/>
      <c r="LT48" s="111"/>
      <c r="LU48" s="111"/>
      <c r="LV48" s="111"/>
      <c r="LW48" s="111"/>
      <c r="LX48" s="111"/>
      <c r="LY48" s="112" t="str">
        <f t="shared" si="237"/>
        <v>x</v>
      </c>
      <c r="LZ48" s="111"/>
      <c r="MA48" s="111"/>
      <c r="MB48" s="111"/>
      <c r="MC48" s="112" t="str">
        <f t="shared" si="238"/>
        <v>x</v>
      </c>
      <c r="MD48" s="111"/>
      <c r="ME48" s="112" t="str">
        <f t="shared" si="239"/>
        <v>x</v>
      </c>
      <c r="MF48" s="112" t="str">
        <f t="shared" si="240"/>
        <v>x</v>
      </c>
      <c r="MG48" s="112" t="str">
        <f t="shared" si="241"/>
        <v>x</v>
      </c>
      <c r="MH48" s="112" t="str">
        <f t="shared" si="112"/>
        <v>x</v>
      </c>
    </row>
    <row r="49" spans="1:346" x14ac:dyDescent="0.25">
      <c r="A49" s="101" t="s">
        <v>45</v>
      </c>
      <c r="B49" s="102"/>
      <c r="C49" s="102"/>
      <c r="D49" s="102"/>
      <c r="E49" s="102"/>
      <c r="F49" s="102"/>
      <c r="G49" s="102"/>
      <c r="H49" s="102"/>
      <c r="I49" s="102"/>
      <c r="J49" s="103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6"/>
      <c r="AV49" s="106"/>
      <c r="AW49" s="106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9"/>
      <c r="EP49" s="109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5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</row>
    <row r="50" spans="1:346" x14ac:dyDescent="0.25">
      <c r="A50" s="110" t="s">
        <v>45</v>
      </c>
      <c r="B50" s="101" t="s">
        <v>70</v>
      </c>
      <c r="C50" s="102"/>
      <c r="D50" s="102"/>
      <c r="E50" s="102"/>
      <c r="F50" s="102"/>
      <c r="G50" s="102"/>
      <c r="H50" s="102"/>
      <c r="I50" s="102"/>
      <c r="J50" s="103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3"/>
      <c r="AV50" s="114" t="str">
        <f>HYPERLINK("http://sab.landtag.sachsen.de/dokumente/landtagskurier/SAB_DeutschLernen_DinA5_WEB141115.pdf","x")</f>
        <v>x</v>
      </c>
      <c r="AW50" s="114" t="str">
        <f>HYPERLINK("http://sab.landtag.sachsen.de/dokumente/landtagskurier/SAB_PL_Lernposter_WEB091115.pdf","x")</f>
        <v>x</v>
      </c>
      <c r="AX50" s="111"/>
      <c r="AY50" s="111"/>
      <c r="AZ5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0" s="112" t="str">
        <f>HYPERLINK("http://wie-kann-ich-helfen.info/WoerterbuchAnalphabet_innen_%28c%29_Dagmar_Schmeelcke.pdf","x")</f>
        <v>x</v>
      </c>
      <c r="BB50" s="111"/>
      <c r="BC50" s="111"/>
      <c r="BD50" s="111"/>
      <c r="BE50" s="111"/>
      <c r="BF50" s="111"/>
      <c r="BG50" s="112" t="str">
        <f>HYPERLINK("http://www.refugeephrasebook.de/pdf/germany150920.pdf","x")</f>
        <v>x</v>
      </c>
      <c r="BH50" s="112"/>
      <c r="BI50" s="111"/>
      <c r="BJ50" s="111"/>
      <c r="BK50" s="111"/>
      <c r="BL50" s="111"/>
      <c r="BM50" s="111"/>
      <c r="BN50" s="111"/>
      <c r="BO50" s="111"/>
      <c r="BP50" s="111"/>
      <c r="BQ50" s="111"/>
      <c r="BR50" s="112" t="str">
        <f>HYPERLINK("http://www.goethe.de/lrn/prj/wnd/deu/lti/deindex.htm#13322010","x")</f>
        <v>x</v>
      </c>
      <c r="BS50" s="112"/>
      <c r="BT50" s="111"/>
      <c r="BU50" s="112" t="str">
        <f>HYPERLINK("https://s3-eu-west-1.amazonaws.com/lingolia/download/lingolia_daf.pdf","x")</f>
        <v>x</v>
      </c>
      <c r="BV50" s="112" t="str">
        <f>HYPERLINK("http://www.welcomegrooves.de/wp-content/uploads/2015/11/welcomegrooves_DE-BENGALISCH_V2.pdf","x")</f>
        <v>x</v>
      </c>
      <c r="BW50" s="112"/>
      <c r="BX50" s="112"/>
      <c r="BY50" s="112"/>
      <c r="BZ50" s="112" t="str">
        <f>HYPERLINK("http://www.hueber.de/shared/uebungen/schritte-plus","x")</f>
        <v>x</v>
      </c>
      <c r="CA50" s="112" t="str">
        <f>HYPERLINK("https://www.hueber.de/shared/uebungen/menschen-hier/ab/a1-1/menu.html","x")</f>
        <v>x</v>
      </c>
      <c r="CB50" s="112" t="str">
        <f>HYPERLINK("http://www.goethe-verlag.com/DE/","x")</f>
        <v>x</v>
      </c>
      <c r="CC50" s="112"/>
      <c r="CD50" s="112"/>
      <c r="CE50" s="111"/>
      <c r="CF50" s="111"/>
      <c r="CG50" s="111"/>
      <c r="CH50" s="111"/>
      <c r="CI50" s="111"/>
      <c r="CJ50" s="112" t="str">
        <f>HYPERLINK("http://www.e-migrantinnen.de/index.php?de_wichtige-links","x")</f>
        <v>x</v>
      </c>
      <c r="CK50" s="112"/>
      <c r="CL50" s="112"/>
      <c r="CM50" s="112"/>
      <c r="CN50" s="112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2"/>
      <c r="CZ50" s="112"/>
      <c r="DA50" s="112"/>
      <c r="DB50" s="115"/>
      <c r="DC50" s="112"/>
      <c r="DD50" s="112"/>
      <c r="DE50" s="112" t="str">
        <f>HYPERLINK("http://fi-lohmar-siegburg.de/data/documents/130-37_Inklusion_im_Anfangsunterricht_-_Poster_mit_Situationsbildern.pdf","x")</f>
        <v>x</v>
      </c>
      <c r="DF50" s="115" t="str">
        <f>HYPERLINK("http://s3-eu-west-1.amazonaws.com/lingolia/calendar/2016/lingolia_2016_de.pdf","x")</f>
        <v>x</v>
      </c>
      <c r="DG50" s="112" t="str">
        <f>HYPERLINK("http://www.bibliomedia.ch/de/angebote/img/Wimmelbild.jpg","x")</f>
        <v>x</v>
      </c>
      <c r="DH50" s="112" t="str">
        <f>HYPERLINK("http://www.bibliomedia.ch/de/angebote/dokumente/Wimmelbild_Fehler.jpg","x")</f>
        <v>x</v>
      </c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8"/>
      <c r="EP50" s="118"/>
      <c r="EQ50" s="111"/>
      <c r="ER50" s="111"/>
      <c r="ES50" s="111"/>
      <c r="ET50" s="111"/>
      <c r="EU50" s="111"/>
      <c r="EV50" s="112" t="str">
        <f>HYPERLINK("http://www.lak-rlp.de/fileadmin/redakteure/pdf/download/Piktogramme_Dosieretiketten_AoG.pdf","x")</f>
        <v>x</v>
      </c>
      <c r="EW50" s="111"/>
      <c r="EX50" s="111"/>
      <c r="EY50" s="111"/>
      <c r="EZ50" s="111"/>
      <c r="FA50" s="111"/>
      <c r="FB50" s="111"/>
      <c r="FC50" s="112" t="str">
        <f>HYPERLINK("http://mige.ix-tech.de/index.php?id=241","x")</f>
        <v>x</v>
      </c>
      <c r="FD50" s="112" t="str">
        <f>HYPERLINK("http://sghanstedt.elbnetz.com/ueber-uns/","x")</f>
        <v>x</v>
      </c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2" t="str">
        <f t="shared" si="48"/>
        <v>x</v>
      </c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2" t="str">
        <f>HYPERLINK("http://www.selfhelpfortrauma.org/","x")</f>
        <v>x</v>
      </c>
      <c r="HY50" s="112" t="str">
        <f>HYPERLINK("http://peacefulheart.se/wp-content/uploads/2014/12/Resolving-Yesterday-20141201-Self-Tapping.pdf","x")</f>
        <v>x</v>
      </c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</row>
    <row r="51" spans="1:346" x14ac:dyDescent="0.25">
      <c r="A51" s="101" t="s">
        <v>44</v>
      </c>
      <c r="B51" s="102"/>
      <c r="C51" s="102"/>
      <c r="D51" s="102"/>
      <c r="E51" s="102"/>
      <c r="F51" s="102"/>
      <c r="G51" s="102"/>
      <c r="H51" s="102"/>
      <c r="I51" s="102"/>
      <c r="J51" s="103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6"/>
      <c r="AV51" s="106"/>
      <c r="AW51" s="106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9"/>
      <c r="EP51" s="109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5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4"/>
      <c r="JN51" s="104"/>
      <c r="JO51" s="104"/>
      <c r="JP51" s="104"/>
      <c r="JQ51" s="104"/>
      <c r="JR51" s="104"/>
      <c r="JS51" s="104"/>
      <c r="JT51" s="104"/>
      <c r="JU51" s="104"/>
      <c r="JV51" s="104"/>
      <c r="JW51" s="104"/>
      <c r="JX51" s="104"/>
      <c r="JY51" s="104"/>
      <c r="JZ51" s="104"/>
      <c r="KA51" s="104"/>
      <c r="KB51" s="104"/>
      <c r="KC51" s="104"/>
      <c r="KD51" s="104"/>
      <c r="KE51" s="104"/>
      <c r="KF51" s="104"/>
      <c r="KG51" s="104"/>
      <c r="KH51" s="104"/>
      <c r="KI51" s="104"/>
      <c r="KJ51" s="104"/>
      <c r="KK51" s="104"/>
      <c r="KL51" s="104"/>
      <c r="KM51" s="104"/>
      <c r="KN51" s="104"/>
      <c r="KO51" s="104"/>
      <c r="KP51" s="104"/>
      <c r="KQ51" s="104"/>
      <c r="KR51" s="104"/>
      <c r="KS51" s="104"/>
      <c r="KT51" s="104"/>
      <c r="KU51" s="104"/>
      <c r="KV51" s="104"/>
      <c r="KW51" s="104"/>
      <c r="KX51" s="104"/>
      <c r="KY51" s="104"/>
      <c r="KZ51" s="104"/>
      <c r="LA51" s="104"/>
      <c r="LB51" s="104"/>
      <c r="LC51" s="104"/>
      <c r="LD51" s="104"/>
      <c r="LE51" s="104"/>
      <c r="LF51" s="104"/>
      <c r="LG51" s="104"/>
      <c r="LH51" s="104"/>
      <c r="LI51" s="104"/>
      <c r="LJ51" s="104"/>
      <c r="LK51" s="104"/>
      <c r="LL51" s="104"/>
      <c r="LM51" s="104"/>
      <c r="LN51" s="104"/>
      <c r="LO51" s="104"/>
      <c r="LP51" s="104"/>
      <c r="LQ51" s="104"/>
      <c r="LR51" s="104"/>
      <c r="LS51" s="104"/>
      <c r="LT51" s="104"/>
      <c r="LU51" s="104"/>
      <c r="LV51" s="104"/>
      <c r="LW51" s="104"/>
      <c r="LX51" s="104"/>
      <c r="LY51" s="104"/>
      <c r="LZ51" s="104"/>
      <c r="MA51" s="104"/>
      <c r="MB51" s="104"/>
      <c r="MC51" s="104"/>
      <c r="MD51" s="104"/>
      <c r="ME51" s="104"/>
      <c r="MF51" s="104"/>
      <c r="MG51" s="104"/>
      <c r="MH51" s="104"/>
    </row>
    <row r="52" spans="1:346" x14ac:dyDescent="0.25">
      <c r="A52" s="110" t="s">
        <v>44</v>
      </c>
      <c r="B52" s="101" t="s">
        <v>71</v>
      </c>
      <c r="C52" s="102"/>
      <c r="D52" s="102"/>
      <c r="E52" s="102"/>
      <c r="F52" s="102"/>
      <c r="G52" s="102"/>
      <c r="H52" s="102"/>
      <c r="I52" s="102"/>
      <c r="J52" s="103"/>
      <c r="K52" s="111"/>
      <c r="L52" s="111"/>
      <c r="M52" s="112" t="str">
        <f t="shared" ref="M52:M54" si="242">HYPERLINK("http://www.ag-fluechtlingshilfe-wetterau.de/uploads/infos/170.pdf","x")</f>
        <v>x</v>
      </c>
      <c r="N52" s="112"/>
      <c r="O52" s="112"/>
      <c r="P52" s="112"/>
      <c r="Q52" s="112"/>
      <c r="R52" s="112"/>
      <c r="S52" s="112"/>
      <c r="T52" s="112"/>
      <c r="U52" s="112"/>
      <c r="V52" s="111"/>
      <c r="W52" s="112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2"/>
      <c r="AO52" s="112"/>
      <c r="AP52" s="112"/>
      <c r="AQ52" s="112"/>
      <c r="AR52" s="112"/>
      <c r="AS52" s="112"/>
      <c r="AT52" s="112"/>
      <c r="AU52" s="113"/>
      <c r="AV52" s="114" t="str">
        <f t="shared" ref="AV52:AV54" si="243">HYPERLINK("http://sab.landtag.sachsen.de/dokumente/landtagskurier/SAB_DeutschLernen_DinA5_WEB141115.pdf","x")</f>
        <v>x</v>
      </c>
      <c r="AW52" s="114" t="str">
        <f t="shared" ref="AW52:AW54" si="244">HYPERLINK("http://sab.landtag.sachsen.de/dokumente/landtagskurier/SAB_PL_Lernposter_WEB091115.pdf","x")</f>
        <v>x</v>
      </c>
      <c r="AX52" s="111"/>
      <c r="AY52" s="111"/>
      <c r="AZ52" s="112" t="str">
        <f t="shared" ref="AZ52:AZ54" si="24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2" s="112" t="str">
        <f t="shared" ref="BA52:BA54" si="246">HYPERLINK("http://wie-kann-ich-helfen.info/WoerterbuchAnalphabet_innen_%28c%29_Dagmar_Schmeelcke.pdf","x")</f>
        <v>x</v>
      </c>
      <c r="BB52" s="111"/>
      <c r="BC52" s="111"/>
      <c r="BD52" s="111"/>
      <c r="BE52" s="111"/>
      <c r="BF52" s="111"/>
      <c r="BG52" s="112" t="str">
        <f t="shared" ref="BG52:BG54" si="247">HYPERLINK("http://www.refugeephrasebook.de/pdf/germany150920.pdf","x")</f>
        <v>x</v>
      </c>
      <c r="BH52" s="112" t="str">
        <f>HYPERLINK("https://www.advanced-online.eu/downloads/RefugeePhrasebookCards_German-Bosnian-Croatian-Serbian.pdf","x")</f>
        <v>x</v>
      </c>
      <c r="BI52" s="111"/>
      <c r="BJ52" s="111"/>
      <c r="BK52" s="112" t="str">
        <f>HYPERLINK("http://www.bundessprachenamt.de/deutsch/wir_ueber_uns/nachrichten/2015/20151103/Verständigungshilfe_Bosnisch_04_12_2015.pdf","x")</f>
        <v>x</v>
      </c>
      <c r="BL52" s="111"/>
      <c r="BM52" s="111"/>
      <c r="BN52" s="111"/>
      <c r="BO52" s="111"/>
      <c r="BP52" s="111"/>
      <c r="BQ52" s="111"/>
      <c r="BR52" s="112" t="str">
        <f t="shared" ref="BR52:BR54" si="248">HYPERLINK("http://www.goethe.de/lrn/prj/wnd/deu/lti/deindex.htm#13322010","x")</f>
        <v>x</v>
      </c>
      <c r="BS52" s="112"/>
      <c r="BT52" s="111"/>
      <c r="BU52" s="112" t="str">
        <f t="shared" ref="BU52:BU54" si="249">HYPERLINK("https://s3-eu-west-1.amazonaws.com/lingolia/download/lingolia_daf.pdf","x")</f>
        <v>x</v>
      </c>
      <c r="BV52" s="112" t="str">
        <f>HYPERLINK("http://www.welcomegrooves.de/wp-content/uploads/2015/10/welcomegrooves_DE-BOSNISCH-SERBISCH_latein.pdf","x")</f>
        <v>x</v>
      </c>
      <c r="BW52" s="112"/>
      <c r="BX52" s="112"/>
      <c r="BY52" s="112"/>
      <c r="BZ52" s="112" t="str">
        <f t="shared" ref="BZ52:BZ54" si="250">HYPERLINK("http://www.hueber.de/shared/uebungen/schritte-plus","x")</f>
        <v>x</v>
      </c>
      <c r="CA52" s="112" t="str">
        <f t="shared" ref="CA52:CA54" si="251">HYPERLINK("https://www.hueber.de/shared/uebungen/menschen-hier/ab/a1-1/menu.html","x")</f>
        <v>x</v>
      </c>
      <c r="CB52" s="112" t="str">
        <f t="shared" ref="CB52:CB54" si="252">HYPERLINK("http://www.goethe-verlag.com/DE/","x")</f>
        <v>x</v>
      </c>
      <c r="CC52" s="112"/>
      <c r="CD52" s="112"/>
      <c r="CE52" s="111"/>
      <c r="CF52" s="112" t="str">
        <f t="shared" ref="CF52:CF54" si="253">HYPERLINK("http://www.braunschweig.de/leben/frauen/hilfe/Ohne-Gewalt-leben.pdf","x")</f>
        <v>x</v>
      </c>
      <c r="CG52" s="112"/>
      <c r="CH52" s="112"/>
      <c r="CI52" s="112"/>
      <c r="CJ52" s="112" t="str">
        <f t="shared" ref="CJ52:CJ54" si="254">HYPERLINK("http://www.e-migrantinnen.de/index.php?de_wichtige-links","x")</f>
        <v>x</v>
      </c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5"/>
      <c r="DC52" s="112"/>
      <c r="DD52" s="112"/>
      <c r="DE52" s="112" t="str">
        <f t="shared" ref="DE52:DE54" si="255">HYPERLINK("http://fi-lohmar-siegburg.de/data/documents/130-37_Inklusion_im_Anfangsunterricht_-_Poster_mit_Situationsbildern.pdf","x")</f>
        <v>x</v>
      </c>
      <c r="DF52" s="115" t="str">
        <f t="shared" ref="DF52:DF54" si="256">HYPERLINK("http://s3-eu-west-1.amazonaws.com/lingolia/calendar/2016/lingolia_2016_de.pdf","x")</f>
        <v>x</v>
      </c>
      <c r="DG52" s="112" t="str">
        <f t="shared" ref="DG52:DG54" si="257">HYPERLINK("http://www.bibliomedia.ch/de/angebote/img/Wimmelbild.jpg","x")</f>
        <v>x</v>
      </c>
      <c r="DH52" s="112" t="str">
        <f t="shared" ref="DH52:DH54" si="258">HYPERLINK("http://www.bibliomedia.ch/de/angebote/dokumente/Wimmelbild_Fehler.jpg","x")</f>
        <v>x</v>
      </c>
      <c r="DI52" s="112" t="str">
        <f>HYPERLINK("http://www.bibliomedia.ch/de/angebote/dokumente/Glossar_bosnisch.pdf","x")</f>
        <v>x</v>
      </c>
      <c r="DJ52" s="112"/>
      <c r="DK52" s="112"/>
      <c r="DL52" s="112"/>
      <c r="DM52" s="112"/>
      <c r="DN52" s="112"/>
      <c r="DO52" s="111"/>
      <c r="DP52" s="111"/>
      <c r="DQ52" s="111"/>
      <c r="DR52" s="112" t="str">
        <f>HYPERLINK("http://bildung.koeln.de/materialbibliothek/download.php?idx=b4f04228ed86f03198250a7acd852a37","x")</f>
        <v>x</v>
      </c>
      <c r="DS52" s="112" t="str">
        <f>HYPERLINK("http://bildung.koeln.de/materialbibliothek/download.php?idx=a6b4538da040042ad863645437a8d288","x")</f>
        <v>x</v>
      </c>
      <c r="DT52" s="112"/>
      <c r="DU52" s="112" t="str">
        <f>HYPERLINK("https://www.bmbf.de/pub/Kausa_Elternbroschuere_bosn_kroat_serb.pdf","x")</f>
        <v>x</v>
      </c>
      <c r="DV52" s="111"/>
      <c r="DW52" s="111"/>
      <c r="DX52" s="111"/>
      <c r="DY52" s="111"/>
      <c r="DZ52" s="111"/>
      <c r="EA52" s="112"/>
      <c r="EB52" s="111"/>
      <c r="EC52" s="111"/>
      <c r="ED52" s="111"/>
      <c r="EE52" s="111"/>
      <c r="EF52" s="111"/>
      <c r="EG52" s="111"/>
      <c r="EH52" s="111"/>
      <c r="EI52" s="112"/>
      <c r="EJ52" s="112"/>
      <c r="EK52" s="111"/>
      <c r="EL52" s="112" t="str">
        <f>HYPERLINK("http://www.kvs-sachsen.de/fileadmin/img/Mitglieder/Asylbewerber/Allg-Informationen/Anlage_1_Bosnisch_LEK.pdf","x")</f>
        <v>x</v>
      </c>
      <c r="EM52" s="111"/>
      <c r="EN52" s="111"/>
      <c r="EO52" s="118"/>
      <c r="EP52" s="118"/>
      <c r="EQ52" s="112" t="str">
        <f>HYPERLINK("http://www.kvs-sachsen.de/fileadmin/img/Mitglieder/Asylbewerber/Allg-Informationen/Anlagen_2-1_2-2_Bosnisch_LEK.pdf","x")</f>
        <v>x</v>
      </c>
      <c r="ER52" s="112"/>
      <c r="ES52" s="112"/>
      <c r="ET52" s="111"/>
      <c r="EU52" s="111"/>
      <c r="EV52" s="112" t="str">
        <f t="shared" ref="EV52:EV54" si="259">HYPERLINK("http://www.lak-rlp.de/fileadmin/redakteure/pdf/download/Piktogramme_Dosieretiketten_AoG.pdf","x")</f>
        <v>x</v>
      </c>
      <c r="EW52" s="111"/>
      <c r="EX52" s="111"/>
      <c r="EY52" s="111"/>
      <c r="EZ52" s="111"/>
      <c r="FA52" s="111"/>
      <c r="FB52" s="111"/>
      <c r="FC52" s="112" t="str">
        <f t="shared" ref="FC52:FC54" si="260">HYPERLINK("http://mige.ix-tech.de/index.php?id=241","x")</f>
        <v>x</v>
      </c>
      <c r="FD52" s="112" t="str">
        <f t="shared" ref="FD52:FD54" si="261">HYPERLINK("http://sghanstedt.elbnetz.com/ueber-uns/","x")</f>
        <v>x</v>
      </c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2" t="str">
        <f t="shared" si="48"/>
        <v>x</v>
      </c>
      <c r="HC52" s="111"/>
      <c r="HD52" s="111"/>
      <c r="HE52" s="111"/>
      <c r="HF52" s="111"/>
      <c r="HG52" s="111"/>
      <c r="HH52" s="111"/>
      <c r="HI52" s="111"/>
      <c r="HJ52" s="112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2" t="str">
        <f t="shared" ref="HX52:HX54" si="262">HYPERLINK("http://www.selfhelpfortrauma.org/","x")</f>
        <v>x</v>
      </c>
      <c r="HY52" s="112" t="str">
        <f t="shared" ref="HY52:HY54" si="263">HYPERLINK("http://peacefulheart.se/wp-content/uploads/2014/12/Resolving-Yesterday-20141201-Self-Tapping.pdf","x")</f>
        <v>x</v>
      </c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2"/>
      <c r="IK52" s="111"/>
      <c r="IL52" s="111"/>
      <c r="IM52" s="111"/>
      <c r="IN52" s="111"/>
      <c r="IO52" s="111"/>
      <c r="IP52" s="112"/>
      <c r="IQ52" s="112"/>
      <c r="IR52" s="111"/>
      <c r="IS52" s="111"/>
      <c r="IT52" s="111"/>
      <c r="IU52" s="112" t="str">
        <f>HYPERLINK("http://www.asyl.net/fileadmin/user_upload/infoblatt_anhoerung/Infoblatt_2015_bosn_fin.pdf","x")</f>
        <v>x</v>
      </c>
      <c r="IV52" s="112"/>
      <c r="IW52" s="112"/>
      <c r="IX52" s="112"/>
      <c r="IY52" s="111"/>
      <c r="IZ52" s="111"/>
      <c r="JA52" s="111"/>
      <c r="JB52" s="112"/>
      <c r="JC52" s="111"/>
      <c r="JD52" s="112"/>
      <c r="JE52" s="112"/>
      <c r="JF52" s="111"/>
      <c r="JG52" s="111"/>
      <c r="JH52" s="111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1"/>
      <c r="JT52" s="111"/>
      <c r="JU52" s="111"/>
      <c r="JV52" s="112"/>
      <c r="JW52" s="112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</row>
    <row r="53" spans="1:346" x14ac:dyDescent="0.25">
      <c r="A53" s="110" t="s">
        <v>44</v>
      </c>
      <c r="B53" s="101" t="s">
        <v>75</v>
      </c>
      <c r="C53" s="102"/>
      <c r="D53" s="102"/>
      <c r="E53" s="102"/>
      <c r="F53" s="102"/>
      <c r="G53" s="102"/>
      <c r="H53" s="102"/>
      <c r="I53" s="102"/>
      <c r="J53" s="103"/>
      <c r="K53" s="111"/>
      <c r="L53" s="111"/>
      <c r="M53" s="112" t="str">
        <f t="shared" si="242"/>
        <v>x</v>
      </c>
      <c r="N53" s="112"/>
      <c r="O53" s="112"/>
      <c r="P53" s="112"/>
      <c r="Q53" s="112"/>
      <c r="R53" s="112"/>
      <c r="S53" s="112"/>
      <c r="T53" s="112"/>
      <c r="U53" s="112"/>
      <c r="V53" s="111"/>
      <c r="W53" s="112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2"/>
      <c r="AO53" s="112"/>
      <c r="AP53" s="112"/>
      <c r="AQ53" s="112"/>
      <c r="AR53" s="112"/>
      <c r="AS53" s="112"/>
      <c r="AT53" s="112"/>
      <c r="AU53" s="113"/>
      <c r="AV53" s="114" t="str">
        <f t="shared" si="243"/>
        <v>x</v>
      </c>
      <c r="AW53" s="114" t="str">
        <f t="shared" si="244"/>
        <v>x</v>
      </c>
      <c r="AX53" s="111"/>
      <c r="AY53" s="111"/>
      <c r="AZ53" s="112" t="str">
        <f t="shared" si="245"/>
        <v>x</v>
      </c>
      <c r="BA53" s="112" t="str">
        <f t="shared" si="246"/>
        <v>x</v>
      </c>
      <c r="BB53" s="111"/>
      <c r="BC53" s="111"/>
      <c r="BD53" s="111"/>
      <c r="BE53" s="111"/>
      <c r="BF53" s="111"/>
      <c r="BG53" s="112" t="str">
        <f t="shared" si="247"/>
        <v>x</v>
      </c>
      <c r="BH53" s="112" t="str">
        <f t="shared" ref="BH53:BH54" si="264">HYPERLINK("https://www.advanced-online.eu/downloads/RefugeePhrasebookCards_German-Bosnian-Croatian-Serbian.pdf","x")</f>
        <v>x</v>
      </c>
      <c r="BI53" s="111"/>
      <c r="BJ53" s="111"/>
      <c r="BK53" s="112" t="str">
        <f>HYPERLINK("http://www.bundessprachenamt.de/deutsch/wir_ueber_uns/nachrichten/2015/20151103/Verständigungshilfe_Bosnisch_04_12_2015.pdf","x")</f>
        <v>x</v>
      </c>
      <c r="BL53" s="111"/>
      <c r="BM53" s="111"/>
      <c r="BN53" s="111"/>
      <c r="BO53" s="111"/>
      <c r="BP53" s="111"/>
      <c r="BQ53" s="111"/>
      <c r="BR53" s="112" t="str">
        <f t="shared" si="248"/>
        <v>x</v>
      </c>
      <c r="BS53" s="112"/>
      <c r="BT53" s="111"/>
      <c r="BU53" s="112" t="str">
        <f t="shared" si="249"/>
        <v>x</v>
      </c>
      <c r="BV53" s="112" t="str">
        <f>HYPERLINK("http://www.welcomegrooves.de/wp-content/uploads/2015/10/welcomegrooves_DE-BOSNISCH-SERBISCH_latein.pdf","x")</f>
        <v>x</v>
      </c>
      <c r="BW53" s="112"/>
      <c r="BX53" s="112"/>
      <c r="BY53" s="112"/>
      <c r="BZ53" s="112" t="str">
        <f t="shared" si="250"/>
        <v>x</v>
      </c>
      <c r="CA53" s="112" t="str">
        <f t="shared" si="251"/>
        <v>x</v>
      </c>
      <c r="CB53" s="112" t="str">
        <f t="shared" si="252"/>
        <v>x</v>
      </c>
      <c r="CC53" s="112"/>
      <c r="CD53" s="112"/>
      <c r="CE53" s="111"/>
      <c r="CF53" s="112" t="str">
        <f t="shared" si="253"/>
        <v>x</v>
      </c>
      <c r="CG53" s="112"/>
      <c r="CH53" s="112"/>
      <c r="CI53" s="112"/>
      <c r="CJ53" s="112" t="str">
        <f t="shared" si="254"/>
        <v>x</v>
      </c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5"/>
      <c r="DC53" s="112"/>
      <c r="DD53" s="112"/>
      <c r="DE53" s="112" t="str">
        <f t="shared" si="255"/>
        <v>x</v>
      </c>
      <c r="DF53" s="115" t="str">
        <f t="shared" si="256"/>
        <v>x</v>
      </c>
      <c r="DG53" s="112" t="str">
        <f t="shared" si="257"/>
        <v>x</v>
      </c>
      <c r="DH53" s="112" t="str">
        <f t="shared" si="258"/>
        <v>x</v>
      </c>
      <c r="DI53" s="112" t="str">
        <f>HYPERLINK("http://www.bibliomedia.ch/de/angebote/dokumente/Glossar_bosnisch.pdf","x")</f>
        <v>x</v>
      </c>
      <c r="DJ53" s="112"/>
      <c r="DK53" s="112"/>
      <c r="DL53" s="112"/>
      <c r="DM53" s="112"/>
      <c r="DN53" s="112"/>
      <c r="DO53" s="111"/>
      <c r="DP53" s="111"/>
      <c r="DQ53" s="111"/>
      <c r="DR53" s="112" t="str">
        <f t="shared" ref="DR53:DR54" si="265">HYPERLINK("http://bildung.koeln.de/materialbibliothek/download.php?idx=b4f04228ed86f03198250a7acd852a37","x")</f>
        <v>x</v>
      </c>
      <c r="DS53" s="112" t="str">
        <f t="shared" ref="DS53:DS54" si="266">HYPERLINK("http://bildung.koeln.de/materialbibliothek/download.php?idx=a6b4538da040042ad863645437a8d288","x")</f>
        <v>x</v>
      </c>
      <c r="DT53" s="112"/>
      <c r="DU53" s="112" t="str">
        <f>HYPERLINK("https://www.bmbf.de/pub/Kausa_Elternbroschuere_bosn_kroat_serb.pdf","x")</f>
        <v>x</v>
      </c>
      <c r="DV53" s="111"/>
      <c r="DW53" s="111"/>
      <c r="DX53" s="111"/>
      <c r="DY53" s="111"/>
      <c r="DZ53" s="111"/>
      <c r="EA53" s="112"/>
      <c r="EB53" s="111"/>
      <c r="EC53" s="111"/>
      <c r="ED53" s="111"/>
      <c r="EE53" s="111"/>
      <c r="EF53" s="111"/>
      <c r="EG53" s="111"/>
      <c r="EH53" s="111"/>
      <c r="EI53" s="112"/>
      <c r="EJ53" s="112"/>
      <c r="EK53" s="111"/>
      <c r="EL53" s="112" t="str">
        <f>HYPERLINK("http://www.kvs-sachsen.de/fileadmin/img/Mitglieder/Asylbewerber/Allg-Informationen/Anlage_1_Bosnisch_LEK.pdf","x")</f>
        <v>x</v>
      </c>
      <c r="EM53" s="111"/>
      <c r="EN53" s="111"/>
      <c r="EO53" s="118"/>
      <c r="EP53" s="118"/>
      <c r="EQ53" s="112" t="str">
        <f>HYPERLINK("http://www.kvs-sachsen.de/fileadmin/img/Mitglieder/Asylbewerber/Allg-Informationen/Anlagen_2-1_2-2_Bosnisch_LEK.pdf","x")</f>
        <v>x</v>
      </c>
      <c r="ER53" s="112"/>
      <c r="ES53" s="112"/>
      <c r="ET53" s="111"/>
      <c r="EU53" s="111"/>
      <c r="EV53" s="112" t="str">
        <f t="shared" si="259"/>
        <v>x</v>
      </c>
      <c r="EW53" s="111"/>
      <c r="EX53" s="111"/>
      <c r="EY53" s="111"/>
      <c r="EZ53" s="111"/>
      <c r="FA53" s="111"/>
      <c r="FB53" s="111"/>
      <c r="FC53" s="112" t="str">
        <f t="shared" si="260"/>
        <v>x</v>
      </c>
      <c r="FD53" s="112" t="str">
        <f t="shared" si="261"/>
        <v>x</v>
      </c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2" t="str">
        <f t="shared" si="48"/>
        <v>x</v>
      </c>
      <c r="HC53" s="111"/>
      <c r="HD53" s="111"/>
      <c r="HE53" s="111"/>
      <c r="HF53" s="111"/>
      <c r="HG53" s="111"/>
      <c r="HH53" s="111"/>
      <c r="HI53" s="111"/>
      <c r="HJ53" s="112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2" t="str">
        <f t="shared" si="262"/>
        <v>x</v>
      </c>
      <c r="HY53" s="112" t="str">
        <f t="shared" si="263"/>
        <v>x</v>
      </c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2"/>
      <c r="IK53" s="111"/>
      <c r="IL53" s="111"/>
      <c r="IM53" s="111"/>
      <c r="IN53" s="111"/>
      <c r="IO53" s="111"/>
      <c r="IP53" s="112"/>
      <c r="IQ53" s="112"/>
      <c r="IR53" s="111"/>
      <c r="IS53" s="111"/>
      <c r="IT53" s="111"/>
      <c r="IU53" s="112" t="str">
        <f>HYPERLINK("http://www.asyl.net/fileadmin/user_upload/infoblatt_anhoerung/Infoblatt_2015_bosn_fin.pdf","x")</f>
        <v>x</v>
      </c>
      <c r="IV53" s="112"/>
      <c r="IW53" s="112"/>
      <c r="IX53" s="112"/>
      <c r="IY53" s="111"/>
      <c r="IZ53" s="111"/>
      <c r="JA53" s="111"/>
      <c r="JB53" s="112"/>
      <c r="JC53" s="111"/>
      <c r="JD53" s="112"/>
      <c r="JE53" s="112"/>
      <c r="JF53" s="111"/>
      <c r="JG53" s="111"/>
      <c r="JH53" s="111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1"/>
      <c r="JT53" s="111"/>
      <c r="JU53" s="111"/>
      <c r="JV53" s="112"/>
      <c r="JW53" s="112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1"/>
      <c r="LQ53" s="111"/>
      <c r="LR53" s="111"/>
      <c r="LS53" s="111"/>
      <c r="LT53" s="111"/>
      <c r="LU53" s="111"/>
      <c r="LV53" s="111"/>
      <c r="LW53" s="111"/>
      <c r="LX53" s="111"/>
      <c r="LY53" s="111"/>
      <c r="LZ53" s="111"/>
      <c r="MA53" s="111"/>
      <c r="MB53" s="111"/>
      <c r="MC53" s="111"/>
      <c r="MD53" s="111"/>
      <c r="ME53" s="111"/>
      <c r="MF53" s="111"/>
      <c r="MG53" s="111"/>
      <c r="MH53" s="111"/>
    </row>
    <row r="54" spans="1:346" x14ac:dyDescent="0.25">
      <c r="A54" s="110" t="s">
        <v>44</v>
      </c>
      <c r="B54" s="101" t="s">
        <v>47</v>
      </c>
      <c r="C54" s="102"/>
      <c r="D54" s="102"/>
      <c r="E54" s="102"/>
      <c r="F54" s="102"/>
      <c r="G54" s="102"/>
      <c r="H54" s="102"/>
      <c r="I54" s="102"/>
      <c r="J54" s="103"/>
      <c r="K54" s="111"/>
      <c r="L54" s="111"/>
      <c r="M54" s="112" t="str">
        <f t="shared" si="242"/>
        <v>x</v>
      </c>
      <c r="N54" s="112"/>
      <c r="O54" s="112"/>
      <c r="P54" s="112"/>
      <c r="Q54" s="112"/>
      <c r="R54" s="112"/>
      <c r="S54" s="112"/>
      <c r="T54" s="112"/>
      <c r="U54" s="112"/>
      <c r="V54" s="111"/>
      <c r="W54" s="112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2"/>
      <c r="AO54" s="112"/>
      <c r="AP54" s="112"/>
      <c r="AQ54" s="112"/>
      <c r="AR54" s="112"/>
      <c r="AS54" s="112"/>
      <c r="AT54" s="112"/>
      <c r="AU54" s="113"/>
      <c r="AV54" s="114" t="str">
        <f t="shared" si="243"/>
        <v>x</v>
      </c>
      <c r="AW54" s="114" t="str">
        <f t="shared" si="244"/>
        <v>x</v>
      </c>
      <c r="AX54" s="111"/>
      <c r="AY54" s="111"/>
      <c r="AZ54" s="112" t="str">
        <f t="shared" si="245"/>
        <v>x</v>
      </c>
      <c r="BA54" s="112" t="str">
        <f t="shared" si="246"/>
        <v>x</v>
      </c>
      <c r="BB54" s="111"/>
      <c r="BC54" s="111"/>
      <c r="BD54" s="111"/>
      <c r="BE54" s="111"/>
      <c r="BF54" s="111"/>
      <c r="BG54" s="112" t="str">
        <f t="shared" si="247"/>
        <v>x</v>
      </c>
      <c r="BH54" s="112" t="str">
        <f t="shared" si="264"/>
        <v>x</v>
      </c>
      <c r="BI54" s="111"/>
      <c r="BJ54" s="111"/>
      <c r="BK54" s="112" t="str">
        <f>HYPERLINK("http://www.bundessprachenamt.de/deutsch/wir_ueber_uns/nachrichten/2015/20151103/Verständigungshilfe_Bosnisch_04_12_2015.pdf","x")</f>
        <v>x</v>
      </c>
      <c r="BL54" s="111"/>
      <c r="BM54" s="111"/>
      <c r="BN54" s="111"/>
      <c r="BO54" s="111"/>
      <c r="BP54" s="111"/>
      <c r="BQ54" s="111"/>
      <c r="BR54" s="112" t="str">
        <f t="shared" si="248"/>
        <v>x</v>
      </c>
      <c r="BS54" s="112"/>
      <c r="BT54" s="111"/>
      <c r="BU54" s="112" t="str">
        <f t="shared" si="249"/>
        <v>x</v>
      </c>
      <c r="BV54" s="112" t="str">
        <f>HYPERLINK("http://www.welcomegrooves.de/wp-content/uploads/2015/10/welcomegrooves_DE-BOSNISCH-SERBISCH_latein.pdf","x")</f>
        <v>x</v>
      </c>
      <c r="BW54" s="112"/>
      <c r="BX54" s="112"/>
      <c r="BY54" s="112"/>
      <c r="BZ54" s="112" t="str">
        <f t="shared" si="250"/>
        <v>x</v>
      </c>
      <c r="CA54" s="112" t="str">
        <f t="shared" si="251"/>
        <v>x</v>
      </c>
      <c r="CB54" s="112" t="str">
        <f t="shared" si="252"/>
        <v>x</v>
      </c>
      <c r="CC54" s="112"/>
      <c r="CD54" s="112"/>
      <c r="CE54" s="111"/>
      <c r="CF54" s="112" t="str">
        <f t="shared" si="253"/>
        <v>x</v>
      </c>
      <c r="CG54" s="112"/>
      <c r="CH54" s="112"/>
      <c r="CI54" s="112"/>
      <c r="CJ54" s="112" t="str">
        <f t="shared" si="254"/>
        <v>x</v>
      </c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5"/>
      <c r="DC54" s="112"/>
      <c r="DD54" s="112"/>
      <c r="DE54" s="112" t="str">
        <f t="shared" si="255"/>
        <v>x</v>
      </c>
      <c r="DF54" s="115" t="str">
        <f t="shared" si="256"/>
        <v>x</v>
      </c>
      <c r="DG54" s="112" t="str">
        <f t="shared" si="257"/>
        <v>x</v>
      </c>
      <c r="DH54" s="112" t="str">
        <f t="shared" si="258"/>
        <v>x</v>
      </c>
      <c r="DI54" s="112" t="str">
        <f>HYPERLINK("http://www.bibliomedia.ch/de/angebote/dokumente/Glossar_bosnisch.pdf","x")</f>
        <v>x</v>
      </c>
      <c r="DJ54" s="112"/>
      <c r="DK54" s="112"/>
      <c r="DL54" s="112"/>
      <c r="DM54" s="112"/>
      <c r="DN54" s="112"/>
      <c r="DO54" s="111"/>
      <c r="DP54" s="111"/>
      <c r="DQ54" s="111"/>
      <c r="DR54" s="112" t="str">
        <f t="shared" si="265"/>
        <v>x</v>
      </c>
      <c r="DS54" s="112" t="str">
        <f t="shared" si="266"/>
        <v>x</v>
      </c>
      <c r="DT54" s="112"/>
      <c r="DU54" s="112" t="str">
        <f>HYPERLINK("https://www.bmbf.de/pub/Kausa_Elternbroschuere_bosn_kroat_serb.pdf","x")</f>
        <v>x</v>
      </c>
      <c r="DV54" s="111"/>
      <c r="DW54" s="111"/>
      <c r="DX54" s="111"/>
      <c r="DY54" s="111"/>
      <c r="DZ54" s="111"/>
      <c r="EA54" s="112"/>
      <c r="EB54" s="111"/>
      <c r="EC54" s="111"/>
      <c r="ED54" s="111"/>
      <c r="EE54" s="111"/>
      <c r="EF54" s="111"/>
      <c r="EG54" s="111"/>
      <c r="EH54" s="111"/>
      <c r="EI54" s="112"/>
      <c r="EJ54" s="112"/>
      <c r="EK54" s="111"/>
      <c r="EL54" s="112" t="str">
        <f>HYPERLINK("http://www.kvs-sachsen.de/fileadmin/img/Mitglieder/Asylbewerber/Allg-Informationen/Anlage_1_Bosnisch_LEK.pdf","x")</f>
        <v>x</v>
      </c>
      <c r="EM54" s="111"/>
      <c r="EN54" s="111"/>
      <c r="EO54" s="118"/>
      <c r="EP54" s="118"/>
      <c r="EQ54" s="112" t="str">
        <f>HYPERLINK("http://www.kvs-sachsen.de/fileadmin/img/Mitglieder/Asylbewerber/Allg-Informationen/Anlagen_2-1_2-2_Bosnisch_LEK.pdf","x")</f>
        <v>x</v>
      </c>
      <c r="ER54" s="112"/>
      <c r="ES54" s="112"/>
      <c r="ET54" s="111"/>
      <c r="EU54" s="111"/>
      <c r="EV54" s="112" t="str">
        <f t="shared" si="259"/>
        <v>x</v>
      </c>
      <c r="EW54" s="111"/>
      <c r="EX54" s="111"/>
      <c r="EY54" s="111"/>
      <c r="EZ54" s="111"/>
      <c r="FA54" s="111"/>
      <c r="FB54" s="111"/>
      <c r="FC54" s="112" t="str">
        <f t="shared" si="260"/>
        <v>x</v>
      </c>
      <c r="FD54" s="112" t="str">
        <f t="shared" si="261"/>
        <v>x</v>
      </c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2" t="str">
        <f t="shared" si="48"/>
        <v>x</v>
      </c>
      <c r="HC54" s="111"/>
      <c r="HD54" s="111"/>
      <c r="HE54" s="111"/>
      <c r="HF54" s="111"/>
      <c r="HG54" s="111"/>
      <c r="HH54" s="111"/>
      <c r="HI54" s="111"/>
      <c r="HJ54" s="112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2" t="str">
        <f t="shared" si="262"/>
        <v>x</v>
      </c>
      <c r="HY54" s="112" t="str">
        <f t="shared" si="263"/>
        <v>x</v>
      </c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2"/>
      <c r="IK54" s="111"/>
      <c r="IL54" s="111"/>
      <c r="IM54" s="111"/>
      <c r="IN54" s="111"/>
      <c r="IO54" s="111"/>
      <c r="IP54" s="112"/>
      <c r="IQ54" s="112"/>
      <c r="IR54" s="111"/>
      <c r="IS54" s="111"/>
      <c r="IT54" s="111"/>
      <c r="IU54" s="112" t="str">
        <f>HYPERLINK("http://www.asyl.net/fileadmin/user_upload/infoblatt_anhoerung/Infoblatt_2015_bosn_fin.pdf","x")</f>
        <v>x</v>
      </c>
      <c r="IV54" s="112"/>
      <c r="IW54" s="112"/>
      <c r="IX54" s="112"/>
      <c r="IY54" s="111"/>
      <c r="IZ54" s="111"/>
      <c r="JA54" s="111"/>
      <c r="JB54" s="112"/>
      <c r="JC54" s="111"/>
      <c r="JD54" s="112"/>
      <c r="JE54" s="112"/>
      <c r="JF54" s="111"/>
      <c r="JG54" s="111"/>
      <c r="JH54" s="111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1"/>
      <c r="JT54" s="111"/>
      <c r="JU54" s="111"/>
      <c r="JV54" s="112"/>
      <c r="JW54" s="112"/>
      <c r="JX54" s="111"/>
      <c r="JY54" s="111"/>
      <c r="JZ54" s="111"/>
      <c r="KA54" s="111"/>
      <c r="KB54" s="111"/>
      <c r="KC54" s="111"/>
      <c r="KD54" s="111"/>
      <c r="KE54" s="111"/>
      <c r="KF54" s="111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</row>
    <row r="55" spans="1:346" x14ac:dyDescent="0.25">
      <c r="A55" s="101" t="s">
        <v>30</v>
      </c>
      <c r="B55" s="102"/>
      <c r="C55" s="102"/>
      <c r="D55" s="102"/>
      <c r="E55" s="102"/>
      <c r="F55" s="102"/>
      <c r="G55" s="102"/>
      <c r="H55" s="102"/>
      <c r="I55" s="102"/>
      <c r="J55" s="103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6"/>
      <c r="AV55" s="106"/>
      <c r="AW55" s="106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9"/>
      <c r="EP55" s="109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5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4"/>
      <c r="JK55" s="104"/>
      <c r="JL55" s="104"/>
      <c r="JM55" s="104"/>
      <c r="JN55" s="104"/>
      <c r="JO55" s="104"/>
      <c r="JP55" s="104"/>
      <c r="JQ55" s="104"/>
      <c r="JR55" s="104"/>
      <c r="JS55" s="104"/>
      <c r="JT55" s="104"/>
      <c r="JU55" s="104"/>
      <c r="JV55" s="104"/>
      <c r="JW55" s="104"/>
      <c r="JX55" s="104"/>
      <c r="JY55" s="104"/>
      <c r="JZ55" s="104"/>
      <c r="KA55" s="104"/>
      <c r="KB55" s="104"/>
      <c r="KC55" s="104"/>
      <c r="KD55" s="104"/>
      <c r="KE55" s="104"/>
      <c r="KF55" s="104"/>
      <c r="KG55" s="104"/>
      <c r="KH55" s="104"/>
      <c r="KI55" s="104"/>
      <c r="KJ55" s="104"/>
      <c r="KK55" s="104"/>
      <c r="KL55" s="104"/>
      <c r="KM55" s="104"/>
      <c r="KN55" s="104"/>
      <c r="KO55" s="104"/>
      <c r="KP55" s="104"/>
      <c r="KQ55" s="104"/>
      <c r="KR55" s="104"/>
      <c r="KS55" s="104"/>
      <c r="KT55" s="104"/>
      <c r="KU55" s="104"/>
      <c r="KV55" s="104"/>
      <c r="KW55" s="104"/>
      <c r="KX55" s="104"/>
      <c r="KY55" s="104"/>
      <c r="KZ55" s="104"/>
      <c r="LA55" s="104"/>
      <c r="LB55" s="104"/>
      <c r="LC55" s="104"/>
      <c r="LD55" s="104"/>
      <c r="LE55" s="104"/>
      <c r="LF55" s="104"/>
      <c r="LG55" s="104"/>
      <c r="LH55" s="104"/>
      <c r="LI55" s="104"/>
      <c r="LJ55" s="104"/>
      <c r="LK55" s="104"/>
      <c r="LL55" s="104"/>
      <c r="LM55" s="104"/>
      <c r="LN55" s="104"/>
      <c r="LO55" s="104"/>
      <c r="LP55" s="104"/>
      <c r="LQ55" s="104"/>
      <c r="LR55" s="104"/>
      <c r="LS55" s="104"/>
      <c r="LT55" s="104"/>
      <c r="LU55" s="104"/>
      <c r="LV55" s="104"/>
      <c r="LW55" s="104"/>
      <c r="LX55" s="104"/>
      <c r="LY55" s="104"/>
      <c r="LZ55" s="104"/>
      <c r="MA55" s="104"/>
      <c r="MB55" s="104"/>
      <c r="MC55" s="104"/>
      <c r="MD55" s="104"/>
      <c r="ME55" s="104"/>
      <c r="MF55" s="104"/>
      <c r="MG55" s="104"/>
      <c r="MH55" s="104"/>
    </row>
    <row r="56" spans="1:346" x14ac:dyDescent="0.25">
      <c r="A56" s="110" t="s">
        <v>30</v>
      </c>
      <c r="B56" s="101" t="s">
        <v>72</v>
      </c>
      <c r="C56" s="102"/>
      <c r="D56" s="102"/>
      <c r="E56" s="102"/>
      <c r="F56" s="102"/>
      <c r="G56" s="102"/>
      <c r="H56" s="102"/>
      <c r="I56" s="102"/>
      <c r="J56" s="103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2"/>
      <c r="AO56" s="112"/>
      <c r="AP56" s="112"/>
      <c r="AQ56" s="112"/>
      <c r="AR56" s="112"/>
      <c r="AS56" s="112"/>
      <c r="AT56" s="112"/>
      <c r="AU56" s="113"/>
      <c r="AV56" s="114" t="str">
        <f t="shared" ref="AV56:AV61" si="267">HYPERLINK("http://sab.landtag.sachsen.de/dokumente/landtagskurier/SAB_DeutschLernen_DinA5_WEB141115.pdf","x")</f>
        <v>x</v>
      </c>
      <c r="AW56" s="114" t="str">
        <f t="shared" ref="AW56:AW61" si="268">HYPERLINK("http://sab.landtag.sachsen.de/dokumente/landtagskurier/SAB_PL_Lernposter_WEB091115.pdf","x")</f>
        <v>x</v>
      </c>
      <c r="AX56" s="111"/>
      <c r="AY56" s="111"/>
      <c r="AZ56" s="112" t="str">
        <f t="shared" ref="AZ56:AZ61" si="2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6" s="112" t="str">
        <f t="shared" ref="BA56:BA61" si="270">HYPERLINK("http://wie-kann-ich-helfen.info/WoerterbuchAnalphabet_innen_%28c%29_Dagmar_Schmeelcke.pdf","x")</f>
        <v>x</v>
      </c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2" t="str">
        <f t="shared" ref="BR56:BR61" si="271">HYPERLINK("http://www.goethe.de/lrn/prj/wnd/deu/lti/deindex.htm#13322010","x")</f>
        <v>x</v>
      </c>
      <c r="BS56" s="112"/>
      <c r="BT56" s="111"/>
      <c r="BU56" s="112" t="str">
        <f t="shared" ref="BU56:BU61" si="272">HYPERLINK("https://s3-eu-west-1.amazonaws.com/lingolia/download/lingolia_daf.pdf","x")</f>
        <v>x</v>
      </c>
      <c r="BV56" s="112" t="str">
        <f>HYPERLINK("http://www.welcomegrooves.de/wp-content/uploads/2015/11/welcomegrooves_DE-BULGARISCH_V1.pdf","x")</f>
        <v>x</v>
      </c>
      <c r="BW56" s="112"/>
      <c r="BX56" s="112"/>
      <c r="BY56" s="112"/>
      <c r="BZ56" s="112" t="str">
        <f t="shared" ref="BZ56:BZ61" si="273">HYPERLINK("http://www.hueber.de/shared/uebungen/schritte-plus","x")</f>
        <v>x</v>
      </c>
      <c r="CA56" s="112" t="str">
        <f t="shared" ref="CA56:CA61" si="274">HYPERLINK("https://www.hueber.de/shared/uebungen/menschen-hier/ab/a1-1/menu.html","x")</f>
        <v>x</v>
      </c>
      <c r="CB56" s="112" t="str">
        <f t="shared" ref="CB56:CB61" si="275">HYPERLINK("http://www.goethe-verlag.com/DE/","x")</f>
        <v>x</v>
      </c>
      <c r="CC56" s="112"/>
      <c r="CD56" s="112"/>
      <c r="CE56" s="111"/>
      <c r="CF56" s="111"/>
      <c r="CG56" s="111"/>
      <c r="CH56" s="111"/>
      <c r="CI56" s="112" t="str">
        <f t="shared" ref="CI56:CI61" si="276">HYPERLINK("https://www.hilfetelefon.de/fileadmin/hilfetelefon_de/Materialien/weitere_werbemittel/Klappflyer_Vorder-_und_Rueckseite_opt2.pdf","x")</f>
        <v>x</v>
      </c>
      <c r="CJ56" s="112" t="str">
        <f t="shared" ref="CJ56:CJ61" si="277">HYPERLINK("http://www.e-migrantinnen.de/index.php?de_wichtige-links","x")</f>
        <v>x</v>
      </c>
      <c r="CK56" s="112"/>
      <c r="CL56" s="112"/>
      <c r="CM56" s="112"/>
      <c r="CN56" s="112"/>
      <c r="CO56" s="112" t="str">
        <f>HYPERLINK("http://www.schwanger-und-viele-fragen.de/bg/","x")</f>
        <v>x</v>
      </c>
      <c r="CP56" s="112"/>
      <c r="CQ56" s="112"/>
      <c r="CR56" s="112"/>
      <c r="CS56" s="112"/>
      <c r="CT56" s="112" t="str">
        <f>HYPERLINK("http://www.profamilia.de/fileadmin/publikationen/Erwachsene/mehrsprachig/Bro_Verhuetung_bul_141016.pdf","x")</f>
        <v>x</v>
      </c>
      <c r="CU56" s="112"/>
      <c r="CV56" s="112"/>
      <c r="CW56" s="112"/>
      <c r="CX56" s="112"/>
      <c r="CY56" s="112"/>
      <c r="CZ56" s="112"/>
      <c r="DA56" s="112"/>
      <c r="DB56" s="115"/>
      <c r="DC56" s="112"/>
      <c r="DD56" s="112"/>
      <c r="DE56" s="112" t="str">
        <f t="shared" ref="DE56:DE61" si="278">HYPERLINK("http://fi-lohmar-siegburg.de/data/documents/130-37_Inklusion_im_Anfangsunterricht_-_Poster_mit_Situationsbildern.pdf","x")</f>
        <v>x</v>
      </c>
      <c r="DF56" s="115" t="str">
        <f t="shared" ref="DF56:DF61" si="279">HYPERLINK("http://s3-eu-west-1.amazonaws.com/lingolia/calendar/2016/lingolia_2016_de.pdf","x")</f>
        <v>x</v>
      </c>
      <c r="DG56" s="112" t="str">
        <f t="shared" ref="DG56:DG61" si="280">HYPERLINK("http://www.bibliomedia.ch/de/angebote/img/Wimmelbild.jpg","x")</f>
        <v>x</v>
      </c>
      <c r="DH56" s="112" t="str">
        <f t="shared" ref="DH56:DH61" si="281">HYPERLINK("http://www.bibliomedia.ch/de/angebote/dokumente/Wimmelbild_Fehler.jpg","x")</f>
        <v>x</v>
      </c>
      <c r="DI56" s="112" t="str">
        <f>HYPERLINK("http://www.bibliomedia.ch/de/angebote/dokumente/Glossar_bulgarisch.pdf","x")</f>
        <v>x</v>
      </c>
      <c r="DJ56" s="112"/>
      <c r="DK56" s="112"/>
      <c r="DL56" s="112"/>
      <c r="DM56" s="112"/>
      <c r="DN56" s="112"/>
      <c r="DO56" s="111"/>
      <c r="DP56" s="112" t="str">
        <f>HYPERLINK("http://tipdoc.de/bus/grafik/kinder-tip/SCHULTIP_give_BulgRoSRB.pdf","x")</f>
        <v>x</v>
      </c>
      <c r="DQ56" s="111"/>
      <c r="DR56" s="112" t="str">
        <f>HYPERLINK("http://bildung.koeln.de/materialbibliothek/download.php?idx=fa5ec5a51d71668e22b39aad7ce835b7","x")</f>
        <v>x</v>
      </c>
      <c r="DS56" s="112" t="str">
        <f>HYPERLINK("http://bildung.koeln.de/materialbibliothek/download.php?idx=b6156c96f0672121e7a1d19acc23ac96","x")</f>
        <v>x</v>
      </c>
      <c r="DT56" s="112"/>
      <c r="DU56" s="112" t="str">
        <f>HYPERLINK("https://www.bmbf.de/pub/Kausa_Elternratgeber_deutsch_bulgarisch.pdf","x")</f>
        <v>x</v>
      </c>
      <c r="DV56" s="111"/>
      <c r="DW56" s="111"/>
      <c r="DX56" s="111"/>
      <c r="DY56" s="112" t="str">
        <f>HYPERLINK("http://www.bamf.de/SharedDocs/Anlagen/DE/Publikationen/Flyer/AnerkennungBerufsabschluss/anerkennung-berufsabschluss_bg.pdf?__blob=publicationFile","x")</f>
        <v>x</v>
      </c>
      <c r="DZ56" s="112"/>
      <c r="EA56" s="112"/>
      <c r="EB56" s="112"/>
      <c r="EC56" s="111"/>
      <c r="ED56" s="111"/>
      <c r="EE56" s="111"/>
      <c r="EF56" s="111"/>
      <c r="EG56" s="111"/>
      <c r="EH56" s="111"/>
      <c r="EI56" s="112"/>
      <c r="EJ56" s="112"/>
      <c r="EK56" s="111"/>
      <c r="EL56" s="111"/>
      <c r="EM56" s="111"/>
      <c r="EN56" s="111"/>
      <c r="EO56" s="117" t="str">
        <f t="shared" ref="EO56:EO61" si="282">HYPERLINK("http://www.medi-bild.de/pdf/anamnese/Welche_Sprache.pdf","x")</f>
        <v>x</v>
      </c>
      <c r="EP56" s="117" t="str">
        <f>HYPERLINK("http://www.armut-gesundheit.de/fileadmin/redakteur/dokumente/Anamnesebogen%20-%20bulgarischnew.pdf","x")</f>
        <v>x</v>
      </c>
      <c r="EQ56" s="111"/>
      <c r="ER56" s="111"/>
      <c r="ES56" s="111"/>
      <c r="ET56" s="111"/>
      <c r="EU56" s="111"/>
      <c r="EV56" s="112" t="str">
        <f t="shared" ref="EV56:EV61" si="283">HYPERLINK("http://www.lak-rlp.de/fileadmin/redakteure/pdf/download/Piktogramme_Dosieretiketten_AoG.pdf","x")</f>
        <v>x</v>
      </c>
      <c r="EW56" s="111"/>
      <c r="EX56" s="111"/>
      <c r="EY56" s="111"/>
      <c r="EZ56" s="111"/>
      <c r="FA56" s="111"/>
      <c r="FB56" s="111"/>
      <c r="FC56" s="112" t="str">
        <f t="shared" ref="FC56:FC61" si="284">HYPERLINK("http://mige.ix-tech.de/index.php?id=241","x")</f>
        <v>x</v>
      </c>
      <c r="FD56" s="112" t="str">
        <f t="shared" ref="FD56:FD61" si="285">HYPERLINK("http://sghanstedt.elbnetz.com/ueber-uns/","x")</f>
        <v>x</v>
      </c>
      <c r="FE56" s="111"/>
      <c r="FF56" s="111"/>
      <c r="FG56" s="111"/>
      <c r="FH56" s="111"/>
      <c r="FI56" s="112"/>
      <c r="FJ56" s="112" t="str">
        <f>HYPERLINK("http://www.rki.de/DE/Content/Infekt/Impfen/Materialien/Downloads-Impfkalender/Impfkalender_Bulgarisch.pdf?__blob=publicationFile","x")</f>
        <v>x</v>
      </c>
      <c r="FK56" s="112" t="str">
        <f>HYPERLINK("http://www.ethno-medizinisches-zentrum.de/images/PDF-Files/impfwegweiser_bulgarisch_2013_online.pdf","x")</f>
        <v>x</v>
      </c>
      <c r="FL56" s="112"/>
      <c r="FM56" s="111"/>
      <c r="FN56" s="111"/>
      <c r="FO56" s="112" t="str">
        <f>HYPERLINK("http://www.rki.de/DE/Content/Infekt/Impfen/Materialien/Downloads-MMR/MMR-Impfinfo-bulgarisch.pdf?__blob=publicationFile","x")</f>
        <v>x</v>
      </c>
      <c r="FP56" s="111"/>
      <c r="FQ56" s="112" t="str">
        <f>HYPERLINK("http://www.rki.de/DE/Content/Infekt/Impfen/Materialien/Downloads_HepA/Aufklaerung_HAV-Impfung_bulgarisch.pdf?__blob=publicationFile","x")</f>
        <v>x</v>
      </c>
      <c r="FR56" s="112" t="str">
        <f>HYPERLINK("http://www.rki.de/DE/Content/Infekt/Impfen/Materialien/Downloads_Pneumokokken/Aufklaerung_Pneumo-Impfung_Bulgarisch.pdf?__blob=publicationFile","x")</f>
        <v>x</v>
      </c>
      <c r="FS56" s="112" t="str">
        <f>HYPERLINK("http://www.rki.de/DE/Content/Infekt/Impfen/Materialien/Downloads-DTaPIPVHibHepB/DTaPIPVHibHepB_bulgarisch.pdf?__blob=publicationFile","x")</f>
        <v>x</v>
      </c>
      <c r="FT56" s="112" t="str">
        <f>HYPERLINK("http://www.rki.de/DE/Content/Infekt/Impfen/Materialien/Downloads-Varizellen/Varizellen-Impfinfo-bulgarisch.pdf;jsessionid=65B697F4EE7EDA8A1ED9E2C4CD6C74EC.2_cid363?__blob=publicationFile","x")</f>
        <v>x</v>
      </c>
      <c r="FU56" s="112" t="str">
        <f>HYPERLINK("http://www.rki.de/DE/Content/Infekt/Impfen/Materialien/Downloads-Tdap-IPV/Tdap-IPV-bulgarisch.pdf?__blob=publicationFile","x")</f>
        <v>x</v>
      </c>
      <c r="FV56" s="112" t="str">
        <f>HYPERLINK("http://www.rki.de/DE/Content/Infekt/Impfen/Materialien/Downloads-Influenza_nasal/Influenza_nasal-bulgarisch.pdf?__blob=publicationFile","x")</f>
        <v>x</v>
      </c>
      <c r="FW56" s="111"/>
      <c r="FX56" s="111"/>
      <c r="FY56" s="111"/>
      <c r="FZ56" s="111"/>
      <c r="GA56" s="111"/>
      <c r="GB56" s="111"/>
      <c r="GC56" s="112" t="str">
        <f>HYPERLINK("http://www.ethno-medizinisches-zentrum.de/images/PDF-Files/lf_diabete_bulgarish.pdf","x")</f>
        <v>x</v>
      </c>
      <c r="GD56" s="111"/>
      <c r="GE56" s="111"/>
      <c r="GF56" s="111"/>
      <c r="GG56" s="111"/>
      <c r="GH56" s="111"/>
      <c r="GI56" s="111"/>
      <c r="GJ56" s="111"/>
      <c r="GK56" s="111"/>
      <c r="GL56" s="112" t="str">
        <f>HYPERLINK("http://www.rki.de/DE/Content/Infekt/Impfen/Materialien/Downloads-Influenza/Influenza-bulgarisch.pdf?__blob=publicationFile","x")</f>
        <v>x</v>
      </c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2" t="str">
        <f t="shared" si="48"/>
        <v>x</v>
      </c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2" t="str">
        <f t="shared" ref="HX56:HX61" si="286">HYPERLINK("http://www.selfhelpfortrauma.org/","x")</f>
        <v>x</v>
      </c>
      <c r="HY56" s="112" t="str">
        <f t="shared" ref="HY56:HY61" si="287">HYPERLINK("http://peacefulheart.se/wp-content/uploads/2014/12/Resolving-Yesterday-20141201-Self-Tapping.pdf","x")</f>
        <v>x</v>
      </c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2"/>
      <c r="IK56" s="111"/>
      <c r="IL56" s="111"/>
      <c r="IM56" s="112" t="str">
        <f>HYPERLINK("https://www.bamf.de/SharedDocs/Anlagen/DE/Publikationen/Broschueren/willkommen-in-deutschland_bg.pdf?__blob=publicationFile","x")</f>
        <v>x</v>
      </c>
      <c r="IN56" s="112"/>
      <c r="IO56" s="111"/>
      <c r="IP56" s="112" t="str">
        <f>HYPERLINK("http://www.bamf.de/SharedDocs/Anlagen/DE/Publikationen/Flyer/Lernen-Sie-Deutsch/lernen-sie-deutsch_bg.pdf?__blob=publicationFile","x")</f>
        <v>x</v>
      </c>
      <c r="IQ56" s="112"/>
      <c r="IR56" s="111"/>
      <c r="IS56" s="111"/>
      <c r="IT56" s="111"/>
      <c r="IU56" s="112"/>
      <c r="IV56" s="112"/>
      <c r="IW56" s="112"/>
      <c r="IX56" s="112"/>
      <c r="IY56" s="111"/>
      <c r="IZ56" s="111"/>
      <c r="JA56" s="111"/>
      <c r="JB56" s="112"/>
      <c r="JC56" s="111"/>
      <c r="JD56" s="112"/>
      <c r="JE56" s="112"/>
      <c r="JF56" s="112"/>
      <c r="JG56" s="112"/>
      <c r="JH56" s="111"/>
      <c r="JI56" s="112"/>
      <c r="JJ56" s="112"/>
      <c r="JK56" s="112"/>
      <c r="JL56" s="112" t="str">
        <f t="shared" ref="JL56:JL61" si="288">HYPERLINK("https://www.arbeitsagentur.de/web/content/DE/Formulare/Detail/index.htm?dfContentId=L6019022DSTBAI485740","x")</f>
        <v>x</v>
      </c>
      <c r="JM56" s="112"/>
      <c r="JN56" s="112"/>
      <c r="JO56" s="112"/>
      <c r="JP56" s="112"/>
      <c r="JQ56" s="112" t="str">
        <f t="shared" ref="JQ56:JQ61" si="289">HYPERLINK("http://www.ibla-germany.de/merkblaetter.php","x")</f>
        <v>x</v>
      </c>
      <c r="JR56" s="112"/>
      <c r="JS56" s="111"/>
      <c r="JT56" s="111"/>
      <c r="JU56" s="111"/>
      <c r="JV56" s="112"/>
      <c r="JW56" s="112"/>
      <c r="JX56" s="111"/>
      <c r="JY56" s="111"/>
      <c r="JZ56" s="111"/>
      <c r="KA56" s="111"/>
      <c r="KB56" s="111"/>
      <c r="KC56" s="111"/>
      <c r="KD56" s="111"/>
      <c r="KE56" s="111"/>
      <c r="KF56" s="111"/>
      <c r="KG56" s="111"/>
      <c r="KH56" s="111"/>
      <c r="KI56" s="111"/>
      <c r="KJ56" s="111"/>
      <c r="KK56" s="111"/>
      <c r="KL56" s="111"/>
      <c r="KM56" s="111"/>
      <c r="KN56" s="111"/>
      <c r="KO56" s="111"/>
      <c r="KP56" s="111"/>
      <c r="KQ56" s="111"/>
      <c r="KR56" s="111"/>
      <c r="KS56" s="111"/>
      <c r="KT56" s="111"/>
      <c r="KU56" s="111"/>
      <c r="KV56" s="111"/>
      <c r="KW56" s="111"/>
      <c r="KX56" s="111"/>
      <c r="KY56" s="111"/>
      <c r="KZ56" s="111"/>
      <c r="LA56" s="111"/>
      <c r="LB56" s="111"/>
      <c r="LC56" s="111"/>
      <c r="LD56" s="111"/>
      <c r="LE56" s="111"/>
      <c r="LF56" s="111"/>
      <c r="LG56" s="111"/>
      <c r="LH56" s="111"/>
      <c r="LI56" s="111"/>
      <c r="LJ56" s="111"/>
      <c r="LK56" s="111"/>
      <c r="LL56" s="111"/>
      <c r="LM56" s="111"/>
      <c r="LN56" s="111"/>
      <c r="LO56" s="111"/>
      <c r="LP56" s="111"/>
      <c r="LQ56" s="111"/>
      <c r="LR56" s="111"/>
      <c r="LS56" s="111"/>
      <c r="LT56" s="111"/>
      <c r="LU56" s="111"/>
      <c r="LV56" s="111"/>
      <c r="LW56" s="111"/>
      <c r="LX56" s="111"/>
      <c r="LY56" s="111"/>
      <c r="LZ56" s="111"/>
      <c r="MA56" s="111"/>
      <c r="MB56" s="111"/>
      <c r="MC56" s="111"/>
      <c r="MD56" s="111"/>
      <c r="ME56" s="111"/>
      <c r="MF56" s="111"/>
      <c r="MG56" s="111"/>
      <c r="MH56" s="111"/>
    </row>
    <row r="57" spans="1:346" x14ac:dyDescent="0.25">
      <c r="A57" s="110" t="s">
        <v>30</v>
      </c>
      <c r="B57" s="101" t="s">
        <v>78</v>
      </c>
      <c r="C57" s="102"/>
      <c r="D57" s="102"/>
      <c r="E57" s="102"/>
      <c r="F57" s="102"/>
      <c r="G57" s="102"/>
      <c r="H57" s="102"/>
      <c r="I57" s="102"/>
      <c r="J57" s="103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2"/>
      <c r="AO57" s="112"/>
      <c r="AP57" s="112"/>
      <c r="AQ57" s="112"/>
      <c r="AR57" s="112"/>
      <c r="AS57" s="112"/>
      <c r="AT57" s="112"/>
      <c r="AU57" s="113"/>
      <c r="AV57" s="114" t="str">
        <f t="shared" si="267"/>
        <v>x</v>
      </c>
      <c r="AW57" s="114" t="str">
        <f t="shared" si="268"/>
        <v>x</v>
      </c>
      <c r="AX57" s="111"/>
      <c r="AY57" s="111"/>
      <c r="AZ57" s="112" t="str">
        <f t="shared" si="269"/>
        <v>x</v>
      </c>
      <c r="BA57" s="112" t="str">
        <f t="shared" si="270"/>
        <v>x</v>
      </c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2" t="str">
        <f t="shared" si="271"/>
        <v>x</v>
      </c>
      <c r="BS57" s="112"/>
      <c r="BT57" s="111"/>
      <c r="BU57" s="112" t="str">
        <f t="shared" si="272"/>
        <v>x</v>
      </c>
      <c r="BV57" s="112" t="str">
        <f t="shared" ref="BV57:BV61" si="290">HYPERLINK("http://www.welcomegrooves.de/wp-content/uploads/2015/11/welcomegrooves_DE-BULGARISCH_V1.pdf","x")</f>
        <v>x</v>
      </c>
      <c r="BW57" s="112"/>
      <c r="BX57" s="112"/>
      <c r="BY57" s="112"/>
      <c r="BZ57" s="112" t="str">
        <f t="shared" si="273"/>
        <v>x</v>
      </c>
      <c r="CA57" s="112" t="str">
        <f t="shared" si="274"/>
        <v>x</v>
      </c>
      <c r="CB57" s="112" t="str">
        <f t="shared" si="275"/>
        <v>x</v>
      </c>
      <c r="CC57" s="112"/>
      <c r="CD57" s="112"/>
      <c r="CE57" s="111"/>
      <c r="CF57" s="111"/>
      <c r="CG57" s="111"/>
      <c r="CH57" s="111"/>
      <c r="CI57" s="112" t="str">
        <f t="shared" si="276"/>
        <v>x</v>
      </c>
      <c r="CJ57" s="112" t="str">
        <f t="shared" si="277"/>
        <v>x</v>
      </c>
      <c r="CK57" s="112"/>
      <c r="CL57" s="112"/>
      <c r="CM57" s="112"/>
      <c r="CN57" s="112"/>
      <c r="CO57" s="112" t="str">
        <f t="shared" ref="CO57:CO61" si="291">HYPERLINK("http://www.schwanger-und-viele-fragen.de/bg/","x")</f>
        <v>x</v>
      </c>
      <c r="CP57" s="112"/>
      <c r="CQ57" s="112"/>
      <c r="CR57" s="112"/>
      <c r="CS57" s="112"/>
      <c r="CT57" s="112" t="str">
        <f t="shared" ref="CT57:CT61" si="292">HYPERLINK("http://www.profamilia.de/fileadmin/publikationen/Erwachsene/mehrsprachig/Bro_Verhuetung_bul_141016.pdf","x")</f>
        <v>x</v>
      </c>
      <c r="CU57" s="112"/>
      <c r="CV57" s="112"/>
      <c r="CW57" s="112"/>
      <c r="CX57" s="112"/>
      <c r="CY57" s="112"/>
      <c r="CZ57" s="112"/>
      <c r="DA57" s="112"/>
      <c r="DB57" s="115"/>
      <c r="DC57" s="112"/>
      <c r="DD57" s="112"/>
      <c r="DE57" s="112" t="str">
        <f t="shared" si="278"/>
        <v>x</v>
      </c>
      <c r="DF57" s="115" t="str">
        <f t="shared" si="279"/>
        <v>x</v>
      </c>
      <c r="DG57" s="112" t="str">
        <f t="shared" si="280"/>
        <v>x</v>
      </c>
      <c r="DH57" s="112" t="str">
        <f t="shared" si="281"/>
        <v>x</v>
      </c>
      <c r="DI57" s="112" t="str">
        <f t="shared" ref="DI57:DI61" si="293">HYPERLINK("http://www.bibliomedia.ch/de/angebote/dokumente/Glossar_bulgarisch.pdf","x")</f>
        <v>x</v>
      </c>
      <c r="DJ57" s="112"/>
      <c r="DK57" s="112"/>
      <c r="DL57" s="112"/>
      <c r="DM57" s="112"/>
      <c r="DN57" s="112"/>
      <c r="DO57" s="111"/>
      <c r="DP57" s="112" t="str">
        <f t="shared" ref="DP57:DP61" si="294">HYPERLINK("http://tipdoc.de/bus/grafik/kinder-tip/SCHULTIP_give_BulgRoSRB.pdf","x")</f>
        <v>x</v>
      </c>
      <c r="DQ57" s="111"/>
      <c r="DR57" s="112" t="str">
        <f t="shared" ref="DR57:DR61" si="295">HYPERLINK("http://bildung.koeln.de/materialbibliothek/download.php?idx=fa5ec5a51d71668e22b39aad7ce835b7","x")</f>
        <v>x</v>
      </c>
      <c r="DS57" s="112" t="str">
        <f t="shared" ref="DS57:DS61" si="296">HYPERLINK("http://bildung.koeln.de/materialbibliothek/download.php?idx=b6156c96f0672121e7a1d19acc23ac96","x")</f>
        <v>x</v>
      </c>
      <c r="DT57" s="112"/>
      <c r="DU57" s="112" t="str">
        <f t="shared" ref="DU57:DU61" si="297">HYPERLINK("https://www.bmbf.de/pub/Kausa_Elternratgeber_deutsch_bulgarisch.pdf","x")</f>
        <v>x</v>
      </c>
      <c r="DV57" s="111"/>
      <c r="DW57" s="111"/>
      <c r="DX57" s="111"/>
      <c r="DY57" s="112" t="str">
        <f t="shared" ref="DY57:DY61" si="298">HYPERLINK("http://www.bamf.de/SharedDocs/Anlagen/DE/Publikationen/Flyer/AnerkennungBerufsabschluss/anerkennung-berufsabschluss_bg.pdf?__blob=publicationFile","x")</f>
        <v>x</v>
      </c>
      <c r="DZ57" s="112"/>
      <c r="EA57" s="112"/>
      <c r="EB57" s="112"/>
      <c r="EC57" s="111"/>
      <c r="ED57" s="111"/>
      <c r="EE57" s="111"/>
      <c r="EF57" s="111"/>
      <c r="EG57" s="111"/>
      <c r="EH57" s="111"/>
      <c r="EI57" s="112"/>
      <c r="EJ57" s="112"/>
      <c r="EK57" s="111"/>
      <c r="EL57" s="111"/>
      <c r="EM57" s="111"/>
      <c r="EN57" s="111"/>
      <c r="EO57" s="117" t="str">
        <f t="shared" si="282"/>
        <v>x</v>
      </c>
      <c r="EP57" s="117" t="str">
        <f t="shared" ref="EP57:EP61" si="299">HYPERLINK("http://www.armut-gesundheit.de/fileadmin/redakteur/dokumente/Anamnesebogen%20-%20bulgarischnew.pdf","x")</f>
        <v>x</v>
      </c>
      <c r="EQ57" s="111"/>
      <c r="ER57" s="111"/>
      <c r="ES57" s="111"/>
      <c r="ET57" s="111"/>
      <c r="EU57" s="111"/>
      <c r="EV57" s="112" t="str">
        <f t="shared" si="283"/>
        <v>x</v>
      </c>
      <c r="EW57" s="111"/>
      <c r="EX57" s="111"/>
      <c r="EY57" s="111"/>
      <c r="EZ57" s="111"/>
      <c r="FA57" s="111"/>
      <c r="FB57" s="111"/>
      <c r="FC57" s="112" t="str">
        <f t="shared" si="284"/>
        <v>x</v>
      </c>
      <c r="FD57" s="112" t="str">
        <f t="shared" si="285"/>
        <v>x</v>
      </c>
      <c r="FE57" s="111"/>
      <c r="FF57" s="111"/>
      <c r="FG57" s="111"/>
      <c r="FH57" s="111"/>
      <c r="FI57" s="112"/>
      <c r="FJ57" s="112" t="str">
        <f t="shared" ref="FJ57:FJ61" si="300">HYPERLINK("http://www.rki.de/DE/Content/Infekt/Impfen/Materialien/Downloads-Impfkalender/Impfkalender_Bulgarisch.pdf?__blob=publicationFile","x")</f>
        <v>x</v>
      </c>
      <c r="FK57" s="112" t="str">
        <f t="shared" ref="FK57:FK61" si="301">HYPERLINK("http://www.ethno-medizinisches-zentrum.de/images/PDF-Files/impfwegweiser_bulgarisch_2013_online.pdf","x")</f>
        <v>x</v>
      </c>
      <c r="FL57" s="112"/>
      <c r="FM57" s="111"/>
      <c r="FN57" s="111"/>
      <c r="FO57" s="112" t="str">
        <f t="shared" ref="FO57:FO61" si="302">HYPERLINK("http://www.rki.de/DE/Content/Infekt/Impfen/Materialien/Downloads-MMR/MMR-Impfinfo-bulgarisch.pdf?__blob=publicationFile","x")</f>
        <v>x</v>
      </c>
      <c r="FP57" s="111"/>
      <c r="FQ57" s="112" t="str">
        <f t="shared" ref="FQ57:FQ61" si="303">HYPERLINK("http://www.rki.de/DE/Content/Infekt/Impfen/Materialien/Downloads_HepA/Aufklaerung_HAV-Impfung_bulgarisch.pdf?__blob=publicationFile","x")</f>
        <v>x</v>
      </c>
      <c r="FR57" s="112" t="str">
        <f t="shared" ref="FR57:FR61" si="304">HYPERLINK("http://www.rki.de/DE/Content/Infekt/Impfen/Materialien/Downloads_Pneumokokken/Aufklaerung_Pneumo-Impfung_Bulgarisch.pdf?__blob=publicationFile","x")</f>
        <v>x</v>
      </c>
      <c r="FS57" s="112" t="str">
        <f t="shared" ref="FS57:FS61" si="305">HYPERLINK("http://www.rki.de/DE/Content/Infekt/Impfen/Materialien/Downloads-DTaPIPVHibHepB/DTaPIPVHibHepB_bulgarisch.pdf?__blob=publicationFile","x")</f>
        <v>x</v>
      </c>
      <c r="FT57" s="112" t="str">
        <f t="shared" ref="FT57:FT61" si="306">HYPERLINK("http://www.rki.de/DE/Content/Infekt/Impfen/Materialien/Downloads-Varizellen/Varizellen-Impfinfo-bulgarisch.pdf;jsessionid=65B697F4EE7EDA8A1ED9E2C4CD6C74EC.2_cid363?__blob=publicationFile","x")</f>
        <v>x</v>
      </c>
      <c r="FU57" s="112" t="str">
        <f t="shared" ref="FU57:FU61" si="307">HYPERLINK("http://www.rki.de/DE/Content/Infekt/Impfen/Materialien/Downloads-Tdap-IPV/Tdap-IPV-bulgarisch.pdf?__blob=publicationFile","x")</f>
        <v>x</v>
      </c>
      <c r="FV57" s="112" t="str">
        <f t="shared" ref="FV57:FV61" si="308">HYPERLINK("http://www.rki.de/DE/Content/Infekt/Impfen/Materialien/Downloads-Influenza_nasal/Influenza_nasal-bulgarisch.pdf?__blob=publicationFile","x")</f>
        <v>x</v>
      </c>
      <c r="FW57" s="111"/>
      <c r="FX57" s="111"/>
      <c r="FY57" s="111"/>
      <c r="FZ57" s="111"/>
      <c r="GA57" s="111"/>
      <c r="GB57" s="111"/>
      <c r="GC57" s="112" t="str">
        <f>HYPERLINK("http://www.ethno-medizinisches-zentrum.de/images/PDF-Files/lf_diabete_bulgarish.pdf","x")</f>
        <v>x</v>
      </c>
      <c r="GD57" s="111"/>
      <c r="GE57" s="111"/>
      <c r="GF57" s="111"/>
      <c r="GG57" s="111"/>
      <c r="GH57" s="111"/>
      <c r="GI57" s="111"/>
      <c r="GJ57" s="111"/>
      <c r="GK57" s="111"/>
      <c r="GL57" s="112" t="str">
        <f t="shared" ref="GL57:GL61" si="309">HYPERLINK("http://www.rki.de/DE/Content/Infekt/Impfen/Materialien/Downloads-Influenza/Influenza-bulgarisch.pdf?__blob=publicationFile","x")</f>
        <v>x</v>
      </c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2" t="str">
        <f t="shared" si="48"/>
        <v>x</v>
      </c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2" t="str">
        <f t="shared" si="286"/>
        <v>x</v>
      </c>
      <c r="HY57" s="112" t="str">
        <f t="shared" si="287"/>
        <v>x</v>
      </c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2"/>
      <c r="IK57" s="111"/>
      <c r="IL57" s="111"/>
      <c r="IM57" s="112" t="str">
        <f t="shared" ref="IM57:IM61" si="310">HYPERLINK("https://www.bamf.de/SharedDocs/Anlagen/DE/Publikationen/Broschueren/willkommen-in-deutschland_bg.pdf?__blob=publicationFile","x")</f>
        <v>x</v>
      </c>
      <c r="IN57" s="112"/>
      <c r="IO57" s="111"/>
      <c r="IP57" s="112" t="str">
        <f t="shared" ref="IP57:IP61" si="311">HYPERLINK("http://www.bamf.de/SharedDocs/Anlagen/DE/Publikationen/Flyer/Lernen-Sie-Deutsch/lernen-sie-deutsch_bg.pdf?__blob=publicationFile","x")</f>
        <v>x</v>
      </c>
      <c r="IQ57" s="112"/>
      <c r="IR57" s="111"/>
      <c r="IS57" s="111"/>
      <c r="IT57" s="111"/>
      <c r="IU57" s="112"/>
      <c r="IV57" s="112"/>
      <c r="IW57" s="112"/>
      <c r="IX57" s="112"/>
      <c r="IY57" s="111"/>
      <c r="IZ57" s="111"/>
      <c r="JA57" s="111"/>
      <c r="JB57" s="112"/>
      <c r="JC57" s="111"/>
      <c r="JD57" s="112"/>
      <c r="JE57" s="112"/>
      <c r="JF57" s="112"/>
      <c r="JG57" s="112"/>
      <c r="JH57" s="111"/>
      <c r="JI57" s="112"/>
      <c r="JJ57" s="112"/>
      <c r="JK57" s="112"/>
      <c r="JL57" s="112" t="str">
        <f t="shared" si="288"/>
        <v>x</v>
      </c>
      <c r="JM57" s="112"/>
      <c r="JN57" s="112"/>
      <c r="JO57" s="112"/>
      <c r="JP57" s="112"/>
      <c r="JQ57" s="112" t="str">
        <f t="shared" si="289"/>
        <v>x</v>
      </c>
      <c r="JR57" s="112"/>
      <c r="JS57" s="111"/>
      <c r="JT57" s="111"/>
      <c r="JU57" s="111"/>
      <c r="JV57" s="112"/>
      <c r="JW57" s="112"/>
      <c r="JX57" s="111"/>
      <c r="JY57" s="111"/>
      <c r="JZ57" s="111"/>
      <c r="KA57" s="111"/>
      <c r="KB57" s="111"/>
      <c r="KC57" s="111"/>
      <c r="KD57" s="111"/>
      <c r="KE57" s="111"/>
      <c r="KF57" s="111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</row>
    <row r="58" spans="1:346" x14ac:dyDescent="0.25">
      <c r="A58" s="110" t="s">
        <v>30</v>
      </c>
      <c r="B58" s="101" t="s">
        <v>82</v>
      </c>
      <c r="C58" s="102"/>
      <c r="D58" s="102"/>
      <c r="E58" s="102"/>
      <c r="F58" s="102"/>
      <c r="G58" s="102"/>
      <c r="H58" s="102"/>
      <c r="I58" s="102"/>
      <c r="J58" s="103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2"/>
      <c r="AO58" s="112"/>
      <c r="AP58" s="112"/>
      <c r="AQ58" s="112"/>
      <c r="AR58" s="112"/>
      <c r="AS58" s="112"/>
      <c r="AT58" s="112"/>
      <c r="AU58" s="113"/>
      <c r="AV58" s="114" t="str">
        <f t="shared" si="267"/>
        <v>x</v>
      </c>
      <c r="AW58" s="114" t="str">
        <f t="shared" si="268"/>
        <v>x</v>
      </c>
      <c r="AX58" s="111"/>
      <c r="AY58" s="111"/>
      <c r="AZ58" s="112" t="str">
        <f t="shared" si="269"/>
        <v>x</v>
      </c>
      <c r="BA58" s="112" t="str">
        <f t="shared" si="270"/>
        <v>x</v>
      </c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2" t="str">
        <f t="shared" si="271"/>
        <v>x</v>
      </c>
      <c r="BS58" s="112"/>
      <c r="BT58" s="111"/>
      <c r="BU58" s="112" t="str">
        <f t="shared" si="272"/>
        <v>x</v>
      </c>
      <c r="BV58" s="112" t="str">
        <f t="shared" si="290"/>
        <v>x</v>
      </c>
      <c r="BW58" s="112"/>
      <c r="BX58" s="112"/>
      <c r="BY58" s="112"/>
      <c r="BZ58" s="112" t="str">
        <f t="shared" si="273"/>
        <v>x</v>
      </c>
      <c r="CA58" s="112" t="str">
        <f t="shared" si="274"/>
        <v>x</v>
      </c>
      <c r="CB58" s="112" t="str">
        <f t="shared" si="275"/>
        <v>x</v>
      </c>
      <c r="CC58" s="112"/>
      <c r="CD58" s="112"/>
      <c r="CE58" s="111"/>
      <c r="CF58" s="111"/>
      <c r="CG58" s="111"/>
      <c r="CH58" s="111"/>
      <c r="CI58" s="112" t="str">
        <f t="shared" si="276"/>
        <v>x</v>
      </c>
      <c r="CJ58" s="112" t="str">
        <f t="shared" si="277"/>
        <v>x</v>
      </c>
      <c r="CK58" s="112"/>
      <c r="CL58" s="112"/>
      <c r="CM58" s="112"/>
      <c r="CN58" s="112"/>
      <c r="CO58" s="112" t="str">
        <f t="shared" si="291"/>
        <v>x</v>
      </c>
      <c r="CP58" s="112"/>
      <c r="CQ58" s="112"/>
      <c r="CR58" s="112"/>
      <c r="CS58" s="112"/>
      <c r="CT58" s="112" t="str">
        <f t="shared" si="292"/>
        <v>x</v>
      </c>
      <c r="CU58" s="112"/>
      <c r="CV58" s="112"/>
      <c r="CW58" s="112"/>
      <c r="CX58" s="112"/>
      <c r="CY58" s="112"/>
      <c r="CZ58" s="112"/>
      <c r="DA58" s="112"/>
      <c r="DB58" s="115"/>
      <c r="DC58" s="112"/>
      <c r="DD58" s="112"/>
      <c r="DE58" s="112" t="str">
        <f t="shared" si="278"/>
        <v>x</v>
      </c>
      <c r="DF58" s="115" t="str">
        <f t="shared" si="279"/>
        <v>x</v>
      </c>
      <c r="DG58" s="112" t="str">
        <f t="shared" si="280"/>
        <v>x</v>
      </c>
      <c r="DH58" s="112" t="str">
        <f t="shared" si="281"/>
        <v>x</v>
      </c>
      <c r="DI58" s="112" t="str">
        <f t="shared" si="293"/>
        <v>x</v>
      </c>
      <c r="DJ58" s="112"/>
      <c r="DK58" s="112"/>
      <c r="DL58" s="112"/>
      <c r="DM58" s="112"/>
      <c r="DN58" s="112"/>
      <c r="DO58" s="111"/>
      <c r="DP58" s="112" t="str">
        <f t="shared" si="294"/>
        <v>x</v>
      </c>
      <c r="DQ58" s="111"/>
      <c r="DR58" s="112" t="str">
        <f t="shared" si="295"/>
        <v>x</v>
      </c>
      <c r="DS58" s="112" t="str">
        <f t="shared" si="296"/>
        <v>x</v>
      </c>
      <c r="DT58" s="112"/>
      <c r="DU58" s="112" t="str">
        <f t="shared" si="297"/>
        <v>x</v>
      </c>
      <c r="DV58" s="111"/>
      <c r="DW58" s="111"/>
      <c r="DX58" s="111"/>
      <c r="DY58" s="112" t="str">
        <f t="shared" si="298"/>
        <v>x</v>
      </c>
      <c r="DZ58" s="112"/>
      <c r="EA58" s="112"/>
      <c r="EB58" s="112"/>
      <c r="EC58" s="111"/>
      <c r="ED58" s="111"/>
      <c r="EE58" s="111"/>
      <c r="EF58" s="111"/>
      <c r="EG58" s="111"/>
      <c r="EH58" s="111"/>
      <c r="EI58" s="112"/>
      <c r="EJ58" s="112"/>
      <c r="EK58" s="111"/>
      <c r="EL58" s="111"/>
      <c r="EM58" s="111"/>
      <c r="EN58" s="111"/>
      <c r="EO58" s="117" t="str">
        <f t="shared" si="282"/>
        <v>x</v>
      </c>
      <c r="EP58" s="117" t="str">
        <f t="shared" si="299"/>
        <v>x</v>
      </c>
      <c r="EQ58" s="111"/>
      <c r="ER58" s="111"/>
      <c r="ES58" s="111"/>
      <c r="ET58" s="111"/>
      <c r="EU58" s="111"/>
      <c r="EV58" s="112" t="str">
        <f t="shared" si="283"/>
        <v>x</v>
      </c>
      <c r="EW58" s="111"/>
      <c r="EX58" s="111"/>
      <c r="EY58" s="111"/>
      <c r="EZ58" s="111"/>
      <c r="FA58" s="111"/>
      <c r="FB58" s="111"/>
      <c r="FC58" s="112" t="str">
        <f t="shared" si="284"/>
        <v>x</v>
      </c>
      <c r="FD58" s="112" t="str">
        <f t="shared" si="285"/>
        <v>x</v>
      </c>
      <c r="FE58" s="111"/>
      <c r="FF58" s="111"/>
      <c r="FG58" s="111"/>
      <c r="FH58" s="111"/>
      <c r="FI58" s="112"/>
      <c r="FJ58" s="112" t="str">
        <f t="shared" si="300"/>
        <v>x</v>
      </c>
      <c r="FK58" s="112" t="str">
        <f t="shared" si="301"/>
        <v>x</v>
      </c>
      <c r="FL58" s="112"/>
      <c r="FM58" s="111"/>
      <c r="FN58" s="111"/>
      <c r="FO58" s="112" t="str">
        <f t="shared" si="302"/>
        <v>x</v>
      </c>
      <c r="FP58" s="111"/>
      <c r="FQ58" s="112" t="str">
        <f t="shared" si="303"/>
        <v>x</v>
      </c>
      <c r="FR58" s="112" t="str">
        <f t="shared" si="304"/>
        <v>x</v>
      </c>
      <c r="FS58" s="112" t="str">
        <f t="shared" si="305"/>
        <v>x</v>
      </c>
      <c r="FT58" s="112" t="str">
        <f t="shared" si="306"/>
        <v>x</v>
      </c>
      <c r="FU58" s="112" t="str">
        <f t="shared" si="307"/>
        <v>x</v>
      </c>
      <c r="FV58" s="112" t="str">
        <f t="shared" si="308"/>
        <v>x</v>
      </c>
      <c r="FW58" s="111"/>
      <c r="FX58" s="111"/>
      <c r="FY58" s="111"/>
      <c r="FZ58" s="111"/>
      <c r="GA58" s="111"/>
      <c r="GB58" s="111"/>
      <c r="GC58" s="112" t="str">
        <f t="shared" ref="GC58:GC61" si="312">HYPERLINK("http://www.ethno-medizinisches-zentrum.de/images/PDF-Files/lf_diabete_bulgarish.pdf","x")</f>
        <v>x</v>
      </c>
      <c r="GD58" s="111"/>
      <c r="GE58" s="111"/>
      <c r="GF58" s="111"/>
      <c r="GG58" s="111"/>
      <c r="GH58" s="111"/>
      <c r="GI58" s="111"/>
      <c r="GJ58" s="111"/>
      <c r="GK58" s="111"/>
      <c r="GL58" s="112" t="str">
        <f t="shared" si="309"/>
        <v>x</v>
      </c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2" t="str">
        <f t="shared" si="48"/>
        <v>x</v>
      </c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2" t="str">
        <f t="shared" si="286"/>
        <v>x</v>
      </c>
      <c r="HY58" s="112" t="str">
        <f t="shared" si="287"/>
        <v>x</v>
      </c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2"/>
      <c r="IK58" s="111"/>
      <c r="IL58" s="111"/>
      <c r="IM58" s="112" t="str">
        <f t="shared" si="310"/>
        <v>x</v>
      </c>
      <c r="IN58" s="112"/>
      <c r="IO58" s="111"/>
      <c r="IP58" s="112" t="str">
        <f t="shared" si="311"/>
        <v>x</v>
      </c>
      <c r="IQ58" s="112"/>
      <c r="IR58" s="111"/>
      <c r="IS58" s="111"/>
      <c r="IT58" s="111"/>
      <c r="IU58" s="112"/>
      <c r="IV58" s="112"/>
      <c r="IW58" s="112"/>
      <c r="IX58" s="112"/>
      <c r="IY58" s="111"/>
      <c r="IZ58" s="111"/>
      <c r="JA58" s="111"/>
      <c r="JB58" s="112"/>
      <c r="JC58" s="111"/>
      <c r="JD58" s="112"/>
      <c r="JE58" s="112"/>
      <c r="JF58" s="112"/>
      <c r="JG58" s="112"/>
      <c r="JH58" s="111"/>
      <c r="JI58" s="112"/>
      <c r="JJ58" s="112"/>
      <c r="JK58" s="112"/>
      <c r="JL58" s="112" t="str">
        <f t="shared" si="288"/>
        <v>x</v>
      </c>
      <c r="JM58" s="112"/>
      <c r="JN58" s="112"/>
      <c r="JO58" s="112"/>
      <c r="JP58" s="112"/>
      <c r="JQ58" s="112" t="str">
        <f t="shared" si="289"/>
        <v>x</v>
      </c>
      <c r="JR58" s="112"/>
      <c r="JS58" s="111"/>
      <c r="JT58" s="111"/>
      <c r="JU58" s="111"/>
      <c r="JV58" s="112"/>
      <c r="JW58" s="112"/>
      <c r="JX58" s="111"/>
      <c r="JY58" s="111"/>
      <c r="JZ58" s="111"/>
      <c r="KA58" s="111"/>
      <c r="KB58" s="111"/>
      <c r="KC58" s="111"/>
      <c r="KD58" s="111"/>
      <c r="KE58" s="111"/>
      <c r="KF58" s="111"/>
      <c r="KG58" s="111"/>
      <c r="KH58" s="111"/>
      <c r="KI58" s="111"/>
      <c r="KJ58" s="111"/>
      <c r="KK58" s="111"/>
      <c r="KL58" s="111"/>
      <c r="KM58" s="111"/>
      <c r="KN58" s="111"/>
      <c r="KO58" s="111"/>
      <c r="KP58" s="111"/>
      <c r="KQ58" s="111"/>
      <c r="KR58" s="111"/>
      <c r="KS58" s="111"/>
      <c r="KT58" s="111"/>
      <c r="KU58" s="111"/>
      <c r="KV58" s="111"/>
      <c r="KW58" s="111"/>
      <c r="KX58" s="111"/>
      <c r="KY58" s="111"/>
      <c r="KZ58" s="111"/>
      <c r="LA58" s="111"/>
      <c r="LB58" s="111"/>
      <c r="LC58" s="111"/>
      <c r="LD58" s="111"/>
      <c r="LE58" s="111"/>
      <c r="LF58" s="111"/>
      <c r="LG58" s="111"/>
      <c r="LH58" s="111"/>
      <c r="LI58" s="111"/>
      <c r="LJ58" s="111"/>
      <c r="LK58" s="111"/>
      <c r="LL58" s="111"/>
      <c r="LM58" s="111"/>
      <c r="LN58" s="111"/>
      <c r="LO58" s="111"/>
      <c r="LP58" s="111"/>
      <c r="LQ58" s="111"/>
      <c r="LR58" s="111"/>
      <c r="LS58" s="111"/>
      <c r="LT58" s="111"/>
      <c r="LU58" s="111"/>
      <c r="LV58" s="111"/>
      <c r="LW58" s="111"/>
      <c r="LX58" s="111"/>
      <c r="LY58" s="111"/>
      <c r="LZ58" s="111"/>
      <c r="MA58" s="111"/>
      <c r="MB58" s="111"/>
      <c r="MC58" s="111"/>
      <c r="MD58" s="111"/>
      <c r="ME58" s="111"/>
      <c r="MF58" s="111"/>
      <c r="MG58" s="111"/>
      <c r="MH58" s="111"/>
    </row>
    <row r="59" spans="1:346" x14ac:dyDescent="0.25">
      <c r="A59" s="110" t="s">
        <v>30</v>
      </c>
      <c r="B59" s="101" t="s">
        <v>58</v>
      </c>
      <c r="C59" s="102"/>
      <c r="D59" s="102"/>
      <c r="E59" s="102"/>
      <c r="F59" s="102"/>
      <c r="G59" s="102"/>
      <c r="H59" s="102"/>
      <c r="I59" s="102"/>
      <c r="J59" s="103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2"/>
      <c r="AO59" s="112"/>
      <c r="AP59" s="112"/>
      <c r="AQ59" s="112"/>
      <c r="AR59" s="112"/>
      <c r="AS59" s="112"/>
      <c r="AT59" s="112"/>
      <c r="AU59" s="113"/>
      <c r="AV59" s="114" t="str">
        <f t="shared" si="267"/>
        <v>x</v>
      </c>
      <c r="AW59" s="114" t="str">
        <f t="shared" si="268"/>
        <v>x</v>
      </c>
      <c r="AX59" s="111"/>
      <c r="AY59" s="111"/>
      <c r="AZ59" s="112" t="str">
        <f t="shared" si="269"/>
        <v>x</v>
      </c>
      <c r="BA59" s="112" t="str">
        <f t="shared" si="270"/>
        <v>x</v>
      </c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2" t="str">
        <f t="shared" si="271"/>
        <v>x</v>
      </c>
      <c r="BS59" s="112"/>
      <c r="BT59" s="111"/>
      <c r="BU59" s="112" t="str">
        <f t="shared" si="272"/>
        <v>x</v>
      </c>
      <c r="BV59" s="112" t="str">
        <f t="shared" si="290"/>
        <v>x</v>
      </c>
      <c r="BW59" s="112"/>
      <c r="BX59" s="112"/>
      <c r="BY59" s="112"/>
      <c r="BZ59" s="112" t="str">
        <f t="shared" si="273"/>
        <v>x</v>
      </c>
      <c r="CA59" s="112" t="str">
        <f t="shared" si="274"/>
        <v>x</v>
      </c>
      <c r="CB59" s="112" t="str">
        <f t="shared" si="275"/>
        <v>x</v>
      </c>
      <c r="CC59" s="112"/>
      <c r="CD59" s="112"/>
      <c r="CE59" s="111"/>
      <c r="CF59" s="111"/>
      <c r="CG59" s="111"/>
      <c r="CH59" s="111"/>
      <c r="CI59" s="112" t="str">
        <f t="shared" si="276"/>
        <v>x</v>
      </c>
      <c r="CJ59" s="112" t="str">
        <f t="shared" si="277"/>
        <v>x</v>
      </c>
      <c r="CK59" s="112"/>
      <c r="CL59" s="112"/>
      <c r="CM59" s="112"/>
      <c r="CN59" s="112"/>
      <c r="CO59" s="112" t="str">
        <f t="shared" si="291"/>
        <v>x</v>
      </c>
      <c r="CP59" s="112"/>
      <c r="CQ59" s="112"/>
      <c r="CR59" s="112"/>
      <c r="CS59" s="112"/>
      <c r="CT59" s="112" t="str">
        <f t="shared" si="292"/>
        <v>x</v>
      </c>
      <c r="CU59" s="112"/>
      <c r="CV59" s="112"/>
      <c r="CW59" s="112"/>
      <c r="CX59" s="112"/>
      <c r="CY59" s="112"/>
      <c r="CZ59" s="112"/>
      <c r="DA59" s="112"/>
      <c r="DB59" s="115"/>
      <c r="DC59" s="112"/>
      <c r="DD59" s="112"/>
      <c r="DE59" s="112" t="str">
        <f t="shared" si="278"/>
        <v>x</v>
      </c>
      <c r="DF59" s="115" t="str">
        <f t="shared" si="279"/>
        <v>x</v>
      </c>
      <c r="DG59" s="112" t="str">
        <f t="shared" si="280"/>
        <v>x</v>
      </c>
      <c r="DH59" s="112" t="str">
        <f t="shared" si="281"/>
        <v>x</v>
      </c>
      <c r="DI59" s="112" t="str">
        <f t="shared" si="293"/>
        <v>x</v>
      </c>
      <c r="DJ59" s="112"/>
      <c r="DK59" s="112"/>
      <c r="DL59" s="112"/>
      <c r="DM59" s="112"/>
      <c r="DN59" s="112"/>
      <c r="DO59" s="111"/>
      <c r="DP59" s="112" t="str">
        <f t="shared" si="294"/>
        <v>x</v>
      </c>
      <c r="DQ59" s="111"/>
      <c r="DR59" s="112" t="str">
        <f t="shared" si="295"/>
        <v>x</v>
      </c>
      <c r="DS59" s="112" t="str">
        <f t="shared" si="296"/>
        <v>x</v>
      </c>
      <c r="DT59" s="112"/>
      <c r="DU59" s="112" t="str">
        <f t="shared" si="297"/>
        <v>x</v>
      </c>
      <c r="DV59" s="111"/>
      <c r="DW59" s="111"/>
      <c r="DX59" s="111"/>
      <c r="DY59" s="112" t="str">
        <f t="shared" si="298"/>
        <v>x</v>
      </c>
      <c r="DZ59" s="112"/>
      <c r="EA59" s="112"/>
      <c r="EB59" s="112"/>
      <c r="EC59" s="111"/>
      <c r="ED59" s="111"/>
      <c r="EE59" s="111"/>
      <c r="EF59" s="111"/>
      <c r="EG59" s="111"/>
      <c r="EH59" s="111"/>
      <c r="EI59" s="112"/>
      <c r="EJ59" s="112"/>
      <c r="EK59" s="111"/>
      <c r="EL59" s="111"/>
      <c r="EM59" s="111"/>
      <c r="EN59" s="111"/>
      <c r="EO59" s="117" t="str">
        <f t="shared" si="282"/>
        <v>x</v>
      </c>
      <c r="EP59" s="117" t="str">
        <f t="shared" si="299"/>
        <v>x</v>
      </c>
      <c r="EQ59" s="111"/>
      <c r="ER59" s="111"/>
      <c r="ES59" s="111"/>
      <c r="ET59" s="111"/>
      <c r="EU59" s="111"/>
      <c r="EV59" s="112" t="str">
        <f t="shared" si="283"/>
        <v>x</v>
      </c>
      <c r="EW59" s="111"/>
      <c r="EX59" s="111"/>
      <c r="EY59" s="111"/>
      <c r="EZ59" s="111"/>
      <c r="FA59" s="111"/>
      <c r="FB59" s="111"/>
      <c r="FC59" s="112" t="str">
        <f t="shared" si="284"/>
        <v>x</v>
      </c>
      <c r="FD59" s="112" t="str">
        <f t="shared" si="285"/>
        <v>x</v>
      </c>
      <c r="FE59" s="111"/>
      <c r="FF59" s="111"/>
      <c r="FG59" s="111"/>
      <c r="FH59" s="111"/>
      <c r="FI59" s="112"/>
      <c r="FJ59" s="112" t="str">
        <f t="shared" si="300"/>
        <v>x</v>
      </c>
      <c r="FK59" s="112" t="str">
        <f t="shared" si="301"/>
        <v>x</v>
      </c>
      <c r="FL59" s="112"/>
      <c r="FM59" s="111"/>
      <c r="FN59" s="111"/>
      <c r="FO59" s="112" t="str">
        <f t="shared" si="302"/>
        <v>x</v>
      </c>
      <c r="FP59" s="111"/>
      <c r="FQ59" s="112" t="str">
        <f t="shared" si="303"/>
        <v>x</v>
      </c>
      <c r="FR59" s="112" t="str">
        <f t="shared" si="304"/>
        <v>x</v>
      </c>
      <c r="FS59" s="112" t="str">
        <f t="shared" si="305"/>
        <v>x</v>
      </c>
      <c r="FT59" s="112" t="str">
        <f t="shared" si="306"/>
        <v>x</v>
      </c>
      <c r="FU59" s="112" t="str">
        <f t="shared" si="307"/>
        <v>x</v>
      </c>
      <c r="FV59" s="112" t="str">
        <f t="shared" si="308"/>
        <v>x</v>
      </c>
      <c r="FW59" s="111"/>
      <c r="FX59" s="111"/>
      <c r="FY59" s="111"/>
      <c r="FZ59" s="111"/>
      <c r="GA59" s="111"/>
      <c r="GB59" s="111"/>
      <c r="GC59" s="112" t="str">
        <f t="shared" si="312"/>
        <v>x</v>
      </c>
      <c r="GD59" s="111"/>
      <c r="GE59" s="111"/>
      <c r="GF59" s="111"/>
      <c r="GG59" s="111"/>
      <c r="GH59" s="111"/>
      <c r="GI59" s="111"/>
      <c r="GJ59" s="111"/>
      <c r="GK59" s="111"/>
      <c r="GL59" s="112" t="str">
        <f t="shared" si="309"/>
        <v>x</v>
      </c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2" t="str">
        <f t="shared" si="48"/>
        <v>x</v>
      </c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2" t="str">
        <f t="shared" si="286"/>
        <v>x</v>
      </c>
      <c r="HY59" s="112" t="str">
        <f t="shared" si="287"/>
        <v>x</v>
      </c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2"/>
      <c r="IK59" s="111"/>
      <c r="IL59" s="111"/>
      <c r="IM59" s="112" t="str">
        <f t="shared" si="310"/>
        <v>x</v>
      </c>
      <c r="IN59" s="112"/>
      <c r="IO59" s="111"/>
      <c r="IP59" s="112" t="str">
        <f t="shared" si="311"/>
        <v>x</v>
      </c>
      <c r="IQ59" s="112"/>
      <c r="IR59" s="111"/>
      <c r="IS59" s="111"/>
      <c r="IT59" s="111"/>
      <c r="IU59" s="112"/>
      <c r="IV59" s="112"/>
      <c r="IW59" s="112"/>
      <c r="IX59" s="112"/>
      <c r="IY59" s="111"/>
      <c r="IZ59" s="111"/>
      <c r="JA59" s="111"/>
      <c r="JB59" s="112"/>
      <c r="JC59" s="111"/>
      <c r="JD59" s="112"/>
      <c r="JE59" s="112"/>
      <c r="JF59" s="112"/>
      <c r="JG59" s="112"/>
      <c r="JH59" s="111"/>
      <c r="JI59" s="112"/>
      <c r="JJ59" s="112"/>
      <c r="JK59" s="112"/>
      <c r="JL59" s="112" t="str">
        <f t="shared" si="288"/>
        <v>x</v>
      </c>
      <c r="JM59" s="112"/>
      <c r="JN59" s="112"/>
      <c r="JO59" s="112"/>
      <c r="JP59" s="112"/>
      <c r="JQ59" s="112" t="str">
        <f t="shared" si="289"/>
        <v>x</v>
      </c>
      <c r="JR59" s="112"/>
      <c r="JS59" s="111"/>
      <c r="JT59" s="111"/>
      <c r="JU59" s="111"/>
      <c r="JV59" s="112"/>
      <c r="JW59" s="112"/>
      <c r="JX59" s="111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</row>
    <row r="60" spans="1:346" x14ac:dyDescent="0.25">
      <c r="A60" s="110" t="s">
        <v>30</v>
      </c>
      <c r="B60" s="101" t="s">
        <v>76</v>
      </c>
      <c r="C60" s="102"/>
      <c r="D60" s="102"/>
      <c r="E60" s="102"/>
      <c r="F60" s="102"/>
      <c r="G60" s="102"/>
      <c r="H60" s="102"/>
      <c r="I60" s="102"/>
      <c r="J60" s="103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2"/>
      <c r="AO60" s="112"/>
      <c r="AP60" s="112"/>
      <c r="AQ60" s="112"/>
      <c r="AR60" s="112"/>
      <c r="AS60" s="112"/>
      <c r="AT60" s="112"/>
      <c r="AU60" s="113"/>
      <c r="AV60" s="114" t="str">
        <f t="shared" si="267"/>
        <v>x</v>
      </c>
      <c r="AW60" s="114" t="str">
        <f t="shared" si="268"/>
        <v>x</v>
      </c>
      <c r="AX60" s="111"/>
      <c r="AY60" s="111"/>
      <c r="AZ60" s="112" t="str">
        <f t="shared" si="269"/>
        <v>x</v>
      </c>
      <c r="BA60" s="112" t="str">
        <f t="shared" si="270"/>
        <v>x</v>
      </c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2" t="str">
        <f t="shared" si="271"/>
        <v>x</v>
      </c>
      <c r="BS60" s="112"/>
      <c r="BT60" s="111"/>
      <c r="BU60" s="112" t="str">
        <f t="shared" si="272"/>
        <v>x</v>
      </c>
      <c r="BV60" s="112" t="str">
        <f t="shared" si="290"/>
        <v>x</v>
      </c>
      <c r="BW60" s="112"/>
      <c r="BX60" s="112"/>
      <c r="BY60" s="112"/>
      <c r="BZ60" s="112" t="str">
        <f t="shared" si="273"/>
        <v>x</v>
      </c>
      <c r="CA60" s="112" t="str">
        <f t="shared" si="274"/>
        <v>x</v>
      </c>
      <c r="CB60" s="112" t="str">
        <f t="shared" si="275"/>
        <v>x</v>
      </c>
      <c r="CC60" s="112"/>
      <c r="CD60" s="112"/>
      <c r="CE60" s="111"/>
      <c r="CF60" s="111"/>
      <c r="CG60" s="111"/>
      <c r="CH60" s="111"/>
      <c r="CI60" s="112" t="str">
        <f t="shared" si="276"/>
        <v>x</v>
      </c>
      <c r="CJ60" s="112" t="str">
        <f t="shared" si="277"/>
        <v>x</v>
      </c>
      <c r="CK60" s="112"/>
      <c r="CL60" s="112"/>
      <c r="CM60" s="112"/>
      <c r="CN60" s="112"/>
      <c r="CO60" s="112" t="str">
        <f t="shared" si="291"/>
        <v>x</v>
      </c>
      <c r="CP60" s="112"/>
      <c r="CQ60" s="112"/>
      <c r="CR60" s="112"/>
      <c r="CS60" s="112"/>
      <c r="CT60" s="112" t="str">
        <f t="shared" si="292"/>
        <v>x</v>
      </c>
      <c r="CU60" s="112"/>
      <c r="CV60" s="112"/>
      <c r="CW60" s="112"/>
      <c r="CX60" s="112"/>
      <c r="CY60" s="112"/>
      <c r="CZ60" s="112"/>
      <c r="DA60" s="112"/>
      <c r="DB60" s="115"/>
      <c r="DC60" s="112"/>
      <c r="DD60" s="112"/>
      <c r="DE60" s="112" t="str">
        <f t="shared" si="278"/>
        <v>x</v>
      </c>
      <c r="DF60" s="115" t="str">
        <f t="shared" si="279"/>
        <v>x</v>
      </c>
      <c r="DG60" s="112" t="str">
        <f t="shared" si="280"/>
        <v>x</v>
      </c>
      <c r="DH60" s="112" t="str">
        <f t="shared" si="281"/>
        <v>x</v>
      </c>
      <c r="DI60" s="112" t="str">
        <f t="shared" si="293"/>
        <v>x</v>
      </c>
      <c r="DJ60" s="112"/>
      <c r="DK60" s="112"/>
      <c r="DL60" s="112"/>
      <c r="DM60" s="112"/>
      <c r="DN60" s="112"/>
      <c r="DO60" s="111"/>
      <c r="DP60" s="112" t="str">
        <f t="shared" si="294"/>
        <v>x</v>
      </c>
      <c r="DQ60" s="111"/>
      <c r="DR60" s="112" t="str">
        <f t="shared" si="295"/>
        <v>x</v>
      </c>
      <c r="DS60" s="112" t="str">
        <f t="shared" si="296"/>
        <v>x</v>
      </c>
      <c r="DT60" s="112"/>
      <c r="DU60" s="112" t="str">
        <f t="shared" si="297"/>
        <v>x</v>
      </c>
      <c r="DV60" s="111"/>
      <c r="DW60" s="111"/>
      <c r="DX60" s="111"/>
      <c r="DY60" s="112" t="str">
        <f t="shared" si="298"/>
        <v>x</v>
      </c>
      <c r="DZ60" s="112"/>
      <c r="EA60" s="112"/>
      <c r="EB60" s="112"/>
      <c r="EC60" s="111"/>
      <c r="ED60" s="111"/>
      <c r="EE60" s="111"/>
      <c r="EF60" s="111"/>
      <c r="EG60" s="111"/>
      <c r="EH60" s="111"/>
      <c r="EI60" s="112"/>
      <c r="EJ60" s="112"/>
      <c r="EK60" s="111"/>
      <c r="EL60" s="111"/>
      <c r="EM60" s="111"/>
      <c r="EN60" s="111"/>
      <c r="EO60" s="117" t="str">
        <f t="shared" si="282"/>
        <v>x</v>
      </c>
      <c r="EP60" s="117" t="str">
        <f t="shared" si="299"/>
        <v>x</v>
      </c>
      <c r="EQ60" s="111"/>
      <c r="ER60" s="111"/>
      <c r="ES60" s="111"/>
      <c r="ET60" s="111"/>
      <c r="EU60" s="111"/>
      <c r="EV60" s="112" t="str">
        <f t="shared" si="283"/>
        <v>x</v>
      </c>
      <c r="EW60" s="111"/>
      <c r="EX60" s="111"/>
      <c r="EY60" s="111"/>
      <c r="EZ60" s="111"/>
      <c r="FA60" s="111"/>
      <c r="FB60" s="111"/>
      <c r="FC60" s="112" t="str">
        <f t="shared" si="284"/>
        <v>x</v>
      </c>
      <c r="FD60" s="112" t="str">
        <f t="shared" si="285"/>
        <v>x</v>
      </c>
      <c r="FE60" s="111"/>
      <c r="FF60" s="111"/>
      <c r="FG60" s="111"/>
      <c r="FH60" s="111"/>
      <c r="FI60" s="112"/>
      <c r="FJ60" s="112" t="str">
        <f t="shared" si="300"/>
        <v>x</v>
      </c>
      <c r="FK60" s="112" t="str">
        <f t="shared" si="301"/>
        <v>x</v>
      </c>
      <c r="FL60" s="112"/>
      <c r="FM60" s="111"/>
      <c r="FN60" s="111"/>
      <c r="FO60" s="112" t="str">
        <f t="shared" si="302"/>
        <v>x</v>
      </c>
      <c r="FP60" s="111"/>
      <c r="FQ60" s="112" t="str">
        <f t="shared" si="303"/>
        <v>x</v>
      </c>
      <c r="FR60" s="112" t="str">
        <f t="shared" si="304"/>
        <v>x</v>
      </c>
      <c r="FS60" s="112" t="str">
        <f t="shared" si="305"/>
        <v>x</v>
      </c>
      <c r="FT60" s="112" t="str">
        <f t="shared" si="306"/>
        <v>x</v>
      </c>
      <c r="FU60" s="112" t="str">
        <f t="shared" si="307"/>
        <v>x</v>
      </c>
      <c r="FV60" s="112" t="str">
        <f t="shared" si="308"/>
        <v>x</v>
      </c>
      <c r="FW60" s="111"/>
      <c r="FX60" s="111"/>
      <c r="FY60" s="111"/>
      <c r="FZ60" s="111"/>
      <c r="GA60" s="111"/>
      <c r="GB60" s="111"/>
      <c r="GC60" s="112" t="str">
        <f t="shared" si="312"/>
        <v>x</v>
      </c>
      <c r="GD60" s="111"/>
      <c r="GE60" s="111"/>
      <c r="GF60" s="111"/>
      <c r="GG60" s="111"/>
      <c r="GH60" s="111"/>
      <c r="GI60" s="111"/>
      <c r="GJ60" s="111"/>
      <c r="GK60" s="111"/>
      <c r="GL60" s="112" t="str">
        <f t="shared" si="309"/>
        <v>x</v>
      </c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2" t="str">
        <f t="shared" si="48"/>
        <v>x</v>
      </c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2" t="str">
        <f t="shared" si="286"/>
        <v>x</v>
      </c>
      <c r="HY60" s="112" t="str">
        <f t="shared" si="287"/>
        <v>x</v>
      </c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2"/>
      <c r="IK60" s="111"/>
      <c r="IL60" s="111"/>
      <c r="IM60" s="112" t="str">
        <f t="shared" si="310"/>
        <v>x</v>
      </c>
      <c r="IN60" s="112"/>
      <c r="IO60" s="111"/>
      <c r="IP60" s="112" t="str">
        <f t="shared" si="311"/>
        <v>x</v>
      </c>
      <c r="IQ60" s="112"/>
      <c r="IR60" s="111"/>
      <c r="IS60" s="111"/>
      <c r="IT60" s="111"/>
      <c r="IU60" s="112"/>
      <c r="IV60" s="112"/>
      <c r="IW60" s="112"/>
      <c r="IX60" s="112"/>
      <c r="IY60" s="111"/>
      <c r="IZ60" s="111"/>
      <c r="JA60" s="111"/>
      <c r="JB60" s="112"/>
      <c r="JC60" s="111"/>
      <c r="JD60" s="112"/>
      <c r="JE60" s="112"/>
      <c r="JF60" s="112"/>
      <c r="JG60" s="112"/>
      <c r="JH60" s="111"/>
      <c r="JI60" s="112"/>
      <c r="JJ60" s="112"/>
      <c r="JK60" s="112"/>
      <c r="JL60" s="112" t="str">
        <f t="shared" si="288"/>
        <v>x</v>
      </c>
      <c r="JM60" s="112"/>
      <c r="JN60" s="112"/>
      <c r="JO60" s="112"/>
      <c r="JP60" s="112"/>
      <c r="JQ60" s="112" t="str">
        <f t="shared" si="289"/>
        <v>x</v>
      </c>
      <c r="JR60" s="112"/>
      <c r="JS60" s="111"/>
      <c r="JT60" s="111"/>
      <c r="JU60" s="111"/>
      <c r="JV60" s="112"/>
      <c r="JW60" s="112"/>
      <c r="JX60" s="111"/>
      <c r="JY60" s="111"/>
      <c r="JZ60" s="111"/>
      <c r="KA60" s="111"/>
      <c r="KB60" s="111"/>
      <c r="KC60" s="111"/>
      <c r="KD60" s="111"/>
      <c r="KE60" s="111"/>
      <c r="KF60" s="111"/>
      <c r="KG60" s="111"/>
      <c r="KH60" s="111"/>
      <c r="KI60" s="111"/>
      <c r="KJ60" s="111"/>
      <c r="KK60" s="111"/>
      <c r="KL60" s="111"/>
      <c r="KM60" s="111"/>
      <c r="KN60" s="111"/>
      <c r="KO60" s="111"/>
      <c r="KP60" s="111"/>
      <c r="KQ60" s="111"/>
      <c r="KR60" s="111"/>
      <c r="KS60" s="111"/>
      <c r="KT60" s="111"/>
      <c r="KU60" s="111"/>
      <c r="KV60" s="111"/>
      <c r="KW60" s="111"/>
      <c r="KX60" s="111"/>
      <c r="KY60" s="111"/>
      <c r="KZ60" s="111"/>
      <c r="LA60" s="111"/>
      <c r="LB60" s="111"/>
      <c r="LC60" s="111"/>
      <c r="LD60" s="111"/>
      <c r="LE60" s="111"/>
      <c r="LF60" s="111"/>
      <c r="LG60" s="111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1"/>
      <c r="LU60" s="111"/>
      <c r="LV60" s="111"/>
      <c r="LW60" s="111"/>
      <c r="LX60" s="111"/>
      <c r="LY60" s="111"/>
      <c r="LZ60" s="111"/>
      <c r="MA60" s="111"/>
      <c r="MB60" s="111"/>
      <c r="MC60" s="111"/>
      <c r="MD60" s="111"/>
      <c r="ME60" s="111"/>
      <c r="MF60" s="111"/>
      <c r="MG60" s="111"/>
      <c r="MH60" s="111"/>
    </row>
    <row r="61" spans="1:346" x14ac:dyDescent="0.25">
      <c r="A61" s="110" t="s">
        <v>30</v>
      </c>
      <c r="B61" s="101" t="s">
        <v>87</v>
      </c>
      <c r="C61" s="102"/>
      <c r="D61" s="102"/>
      <c r="E61" s="102"/>
      <c r="F61" s="102"/>
      <c r="G61" s="102"/>
      <c r="H61" s="102"/>
      <c r="I61" s="102"/>
      <c r="J61" s="103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2"/>
      <c r="AO61" s="112"/>
      <c r="AP61" s="112"/>
      <c r="AQ61" s="112"/>
      <c r="AR61" s="112"/>
      <c r="AS61" s="112"/>
      <c r="AT61" s="112"/>
      <c r="AU61" s="113"/>
      <c r="AV61" s="114" t="str">
        <f t="shared" si="267"/>
        <v>x</v>
      </c>
      <c r="AW61" s="114" t="str">
        <f t="shared" si="268"/>
        <v>x</v>
      </c>
      <c r="AX61" s="111"/>
      <c r="AY61" s="111"/>
      <c r="AZ61" s="112" t="str">
        <f t="shared" si="269"/>
        <v>x</v>
      </c>
      <c r="BA61" s="112" t="str">
        <f t="shared" si="270"/>
        <v>x</v>
      </c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2" t="str">
        <f t="shared" si="271"/>
        <v>x</v>
      </c>
      <c r="BS61" s="112"/>
      <c r="BT61" s="111"/>
      <c r="BU61" s="112" t="str">
        <f t="shared" si="272"/>
        <v>x</v>
      </c>
      <c r="BV61" s="112" t="str">
        <f t="shared" si="290"/>
        <v>x</v>
      </c>
      <c r="BW61" s="112"/>
      <c r="BX61" s="112"/>
      <c r="BY61" s="112"/>
      <c r="BZ61" s="112" t="str">
        <f t="shared" si="273"/>
        <v>x</v>
      </c>
      <c r="CA61" s="112" t="str">
        <f t="shared" si="274"/>
        <v>x</v>
      </c>
      <c r="CB61" s="112" t="str">
        <f t="shared" si="275"/>
        <v>x</v>
      </c>
      <c r="CC61" s="112"/>
      <c r="CD61" s="112"/>
      <c r="CE61" s="111"/>
      <c r="CF61" s="111"/>
      <c r="CG61" s="111"/>
      <c r="CH61" s="111"/>
      <c r="CI61" s="112" t="str">
        <f t="shared" si="276"/>
        <v>x</v>
      </c>
      <c r="CJ61" s="112" t="str">
        <f t="shared" si="277"/>
        <v>x</v>
      </c>
      <c r="CK61" s="112"/>
      <c r="CL61" s="112"/>
      <c r="CM61" s="112"/>
      <c r="CN61" s="112"/>
      <c r="CO61" s="112" t="str">
        <f t="shared" si="291"/>
        <v>x</v>
      </c>
      <c r="CP61" s="112"/>
      <c r="CQ61" s="112"/>
      <c r="CR61" s="112"/>
      <c r="CS61" s="112"/>
      <c r="CT61" s="112" t="str">
        <f t="shared" si="292"/>
        <v>x</v>
      </c>
      <c r="CU61" s="112"/>
      <c r="CV61" s="112"/>
      <c r="CW61" s="112"/>
      <c r="CX61" s="112"/>
      <c r="CY61" s="112"/>
      <c r="CZ61" s="112"/>
      <c r="DA61" s="112"/>
      <c r="DB61" s="115"/>
      <c r="DC61" s="112"/>
      <c r="DD61" s="112"/>
      <c r="DE61" s="112" t="str">
        <f t="shared" si="278"/>
        <v>x</v>
      </c>
      <c r="DF61" s="115" t="str">
        <f t="shared" si="279"/>
        <v>x</v>
      </c>
      <c r="DG61" s="112" t="str">
        <f t="shared" si="280"/>
        <v>x</v>
      </c>
      <c r="DH61" s="112" t="str">
        <f t="shared" si="281"/>
        <v>x</v>
      </c>
      <c r="DI61" s="112" t="str">
        <f t="shared" si="293"/>
        <v>x</v>
      </c>
      <c r="DJ61" s="112"/>
      <c r="DK61" s="112"/>
      <c r="DL61" s="112"/>
      <c r="DM61" s="112"/>
      <c r="DN61" s="112"/>
      <c r="DO61" s="111"/>
      <c r="DP61" s="112" t="str">
        <f t="shared" si="294"/>
        <v>x</v>
      </c>
      <c r="DQ61" s="111"/>
      <c r="DR61" s="112" t="str">
        <f t="shared" si="295"/>
        <v>x</v>
      </c>
      <c r="DS61" s="112" t="str">
        <f t="shared" si="296"/>
        <v>x</v>
      </c>
      <c r="DT61" s="112"/>
      <c r="DU61" s="112" t="str">
        <f t="shared" si="297"/>
        <v>x</v>
      </c>
      <c r="DV61" s="111"/>
      <c r="DW61" s="111"/>
      <c r="DX61" s="111"/>
      <c r="DY61" s="112" t="str">
        <f t="shared" si="298"/>
        <v>x</v>
      </c>
      <c r="DZ61" s="112"/>
      <c r="EA61" s="112"/>
      <c r="EB61" s="112"/>
      <c r="EC61" s="111"/>
      <c r="ED61" s="111"/>
      <c r="EE61" s="111"/>
      <c r="EF61" s="111"/>
      <c r="EG61" s="111"/>
      <c r="EH61" s="111"/>
      <c r="EI61" s="112"/>
      <c r="EJ61" s="112"/>
      <c r="EK61" s="111"/>
      <c r="EL61" s="111"/>
      <c r="EM61" s="111"/>
      <c r="EN61" s="111"/>
      <c r="EO61" s="117" t="str">
        <f t="shared" si="282"/>
        <v>x</v>
      </c>
      <c r="EP61" s="117" t="str">
        <f t="shared" si="299"/>
        <v>x</v>
      </c>
      <c r="EQ61" s="111"/>
      <c r="ER61" s="111"/>
      <c r="ES61" s="111"/>
      <c r="ET61" s="111"/>
      <c r="EU61" s="111"/>
      <c r="EV61" s="112" t="str">
        <f t="shared" si="283"/>
        <v>x</v>
      </c>
      <c r="EW61" s="111"/>
      <c r="EX61" s="111"/>
      <c r="EY61" s="111"/>
      <c r="EZ61" s="111"/>
      <c r="FA61" s="111"/>
      <c r="FB61" s="111"/>
      <c r="FC61" s="112" t="str">
        <f t="shared" si="284"/>
        <v>x</v>
      </c>
      <c r="FD61" s="112" t="str">
        <f t="shared" si="285"/>
        <v>x</v>
      </c>
      <c r="FE61" s="111"/>
      <c r="FF61" s="111"/>
      <c r="FG61" s="111"/>
      <c r="FH61" s="111"/>
      <c r="FI61" s="112"/>
      <c r="FJ61" s="112" t="str">
        <f t="shared" si="300"/>
        <v>x</v>
      </c>
      <c r="FK61" s="112" t="str">
        <f t="shared" si="301"/>
        <v>x</v>
      </c>
      <c r="FL61" s="112"/>
      <c r="FM61" s="111"/>
      <c r="FN61" s="111"/>
      <c r="FO61" s="112" t="str">
        <f t="shared" si="302"/>
        <v>x</v>
      </c>
      <c r="FP61" s="111"/>
      <c r="FQ61" s="112" t="str">
        <f t="shared" si="303"/>
        <v>x</v>
      </c>
      <c r="FR61" s="112" t="str">
        <f t="shared" si="304"/>
        <v>x</v>
      </c>
      <c r="FS61" s="112" t="str">
        <f t="shared" si="305"/>
        <v>x</v>
      </c>
      <c r="FT61" s="112" t="str">
        <f t="shared" si="306"/>
        <v>x</v>
      </c>
      <c r="FU61" s="112" t="str">
        <f t="shared" si="307"/>
        <v>x</v>
      </c>
      <c r="FV61" s="112" t="str">
        <f t="shared" si="308"/>
        <v>x</v>
      </c>
      <c r="FW61" s="111"/>
      <c r="FX61" s="111"/>
      <c r="FY61" s="111"/>
      <c r="FZ61" s="111"/>
      <c r="GA61" s="111"/>
      <c r="GB61" s="111"/>
      <c r="GC61" s="112" t="str">
        <f t="shared" si="312"/>
        <v>x</v>
      </c>
      <c r="GD61" s="111"/>
      <c r="GE61" s="111"/>
      <c r="GF61" s="111"/>
      <c r="GG61" s="111"/>
      <c r="GH61" s="111"/>
      <c r="GI61" s="111"/>
      <c r="GJ61" s="111"/>
      <c r="GK61" s="111"/>
      <c r="GL61" s="112" t="str">
        <f t="shared" si="309"/>
        <v>x</v>
      </c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2" t="str">
        <f t="shared" si="48"/>
        <v>x</v>
      </c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2" t="str">
        <f t="shared" si="286"/>
        <v>x</v>
      </c>
      <c r="HY61" s="112" t="str">
        <f t="shared" si="287"/>
        <v>x</v>
      </c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2"/>
      <c r="IK61" s="111"/>
      <c r="IL61" s="111"/>
      <c r="IM61" s="112" t="str">
        <f t="shared" si="310"/>
        <v>x</v>
      </c>
      <c r="IN61" s="112"/>
      <c r="IO61" s="111"/>
      <c r="IP61" s="112" t="str">
        <f t="shared" si="311"/>
        <v>x</v>
      </c>
      <c r="IQ61" s="112"/>
      <c r="IR61" s="111"/>
      <c r="IS61" s="111"/>
      <c r="IT61" s="111"/>
      <c r="IU61" s="112"/>
      <c r="IV61" s="112"/>
      <c r="IW61" s="112"/>
      <c r="IX61" s="112"/>
      <c r="IY61" s="111"/>
      <c r="IZ61" s="111"/>
      <c r="JA61" s="111"/>
      <c r="JB61" s="112"/>
      <c r="JC61" s="111"/>
      <c r="JD61" s="112"/>
      <c r="JE61" s="112"/>
      <c r="JF61" s="112"/>
      <c r="JG61" s="112"/>
      <c r="JH61" s="111"/>
      <c r="JI61" s="112"/>
      <c r="JJ61" s="112"/>
      <c r="JK61" s="112"/>
      <c r="JL61" s="112" t="str">
        <f t="shared" si="288"/>
        <v>x</v>
      </c>
      <c r="JM61" s="112"/>
      <c r="JN61" s="112"/>
      <c r="JO61" s="112"/>
      <c r="JP61" s="112"/>
      <c r="JQ61" s="112" t="str">
        <f t="shared" si="289"/>
        <v>x</v>
      </c>
      <c r="JR61" s="112"/>
      <c r="JS61" s="111"/>
      <c r="JT61" s="111"/>
      <c r="JU61" s="111"/>
      <c r="JV61" s="112"/>
      <c r="JW61" s="112"/>
      <c r="JX61" s="111"/>
      <c r="JY61" s="111"/>
      <c r="JZ61" s="111"/>
      <c r="KA61" s="111"/>
      <c r="KB61" s="111"/>
      <c r="KC61" s="111"/>
      <c r="KD61" s="111"/>
      <c r="KE61" s="111"/>
      <c r="KF61" s="111"/>
      <c r="KG61" s="111"/>
      <c r="KH61" s="111"/>
      <c r="KI61" s="111"/>
      <c r="KJ61" s="111"/>
      <c r="KK61" s="111"/>
      <c r="KL61" s="111"/>
      <c r="KM61" s="111"/>
      <c r="KN61" s="111"/>
      <c r="KO61" s="111"/>
      <c r="KP61" s="111"/>
      <c r="KQ61" s="111"/>
      <c r="KR61" s="111"/>
      <c r="KS61" s="111"/>
      <c r="KT61" s="111"/>
      <c r="KU61" s="111"/>
      <c r="KV61" s="111"/>
      <c r="KW61" s="111"/>
      <c r="KX61" s="111"/>
      <c r="KY61" s="111"/>
      <c r="KZ61" s="111"/>
      <c r="LA61" s="111"/>
      <c r="LB61" s="111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</row>
    <row r="62" spans="1:346" x14ac:dyDescent="0.25">
      <c r="A62" s="101" t="s">
        <v>485</v>
      </c>
      <c r="B62" s="102"/>
      <c r="C62" s="102"/>
      <c r="D62" s="102"/>
      <c r="E62" s="102"/>
      <c r="F62" s="102"/>
      <c r="G62" s="102"/>
      <c r="H62" s="102"/>
      <c r="I62" s="102"/>
      <c r="J62" s="103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6"/>
      <c r="AV62" s="106"/>
      <c r="AW62" s="106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9"/>
      <c r="EP62" s="109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5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104"/>
      <c r="JK62" s="104"/>
      <c r="JL62" s="104"/>
      <c r="JM62" s="104"/>
      <c r="JN62" s="104"/>
      <c r="JO62" s="104"/>
      <c r="JP62" s="104"/>
      <c r="JQ62" s="104"/>
      <c r="JR62" s="104"/>
      <c r="JS62" s="104"/>
      <c r="JT62" s="104"/>
      <c r="JU62" s="104"/>
      <c r="JV62" s="104"/>
      <c r="JW62" s="104"/>
      <c r="JX62" s="104"/>
      <c r="JY62" s="104"/>
      <c r="JZ62" s="104"/>
      <c r="KA62" s="104"/>
      <c r="KB62" s="104"/>
      <c r="KC62" s="104"/>
      <c r="KD62" s="104"/>
      <c r="KE62" s="104"/>
      <c r="KF62" s="104"/>
      <c r="KG62" s="104"/>
      <c r="KH62" s="104"/>
      <c r="KI62" s="104"/>
      <c r="KJ62" s="104"/>
      <c r="KK62" s="104"/>
      <c r="KL62" s="104"/>
      <c r="KM62" s="104"/>
      <c r="KN62" s="104"/>
      <c r="KO62" s="104"/>
      <c r="KP62" s="104"/>
      <c r="KQ62" s="104"/>
      <c r="KR62" s="104"/>
      <c r="KS62" s="104"/>
      <c r="KT62" s="104"/>
      <c r="KU62" s="104"/>
      <c r="KV62" s="104"/>
      <c r="KW62" s="104"/>
      <c r="KX62" s="104"/>
      <c r="KY62" s="104"/>
      <c r="KZ62" s="104"/>
      <c r="LA62" s="104"/>
      <c r="LB62" s="104"/>
      <c r="LC62" s="104"/>
      <c r="LD62" s="104"/>
      <c r="LE62" s="104"/>
      <c r="LF62" s="104"/>
      <c r="LG62" s="104"/>
      <c r="LH62" s="104"/>
      <c r="LI62" s="104"/>
      <c r="LJ62" s="104"/>
      <c r="LK62" s="104"/>
      <c r="LL62" s="104"/>
      <c r="LM62" s="104"/>
      <c r="LN62" s="104"/>
      <c r="LO62" s="104"/>
      <c r="LP62" s="104"/>
      <c r="LQ62" s="104"/>
      <c r="LR62" s="104"/>
      <c r="LS62" s="104"/>
      <c r="LT62" s="104"/>
      <c r="LU62" s="104"/>
      <c r="LV62" s="104"/>
      <c r="LW62" s="104"/>
      <c r="LX62" s="104"/>
      <c r="LY62" s="104"/>
      <c r="LZ62" s="104"/>
      <c r="MA62" s="104"/>
      <c r="MB62" s="104"/>
      <c r="MC62" s="104"/>
      <c r="MD62" s="104"/>
      <c r="ME62" s="104"/>
      <c r="MF62" s="104"/>
      <c r="MG62" s="104"/>
      <c r="MH62" s="104"/>
    </row>
    <row r="63" spans="1:346" x14ac:dyDescent="0.25">
      <c r="A63" s="110" t="s">
        <v>485</v>
      </c>
      <c r="B63" s="101" t="s">
        <v>486</v>
      </c>
      <c r="C63" s="102"/>
      <c r="D63" s="102"/>
      <c r="E63" s="102"/>
      <c r="F63" s="102"/>
      <c r="G63" s="102"/>
      <c r="H63" s="102"/>
      <c r="I63" s="102"/>
      <c r="J63" s="103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2"/>
      <c r="AO63" s="112"/>
      <c r="AP63" s="112"/>
      <c r="AQ63" s="112"/>
      <c r="AR63" s="112"/>
      <c r="AS63" s="112"/>
      <c r="AT63" s="112"/>
      <c r="AU63" s="113"/>
      <c r="AV63" s="114" t="str">
        <f>HYPERLINK("http://sab.landtag.sachsen.de/dokumente/landtagskurier/SAB_DeutschLernen_DinA5_WEB141115.pdf","x")</f>
        <v>x</v>
      </c>
      <c r="AW63" s="114" t="str">
        <f>HYPERLINK("http://sab.landtag.sachsen.de/dokumente/landtagskurier/SAB_PL_Lernposter_WEB091115.pdf","x")</f>
        <v>x</v>
      </c>
      <c r="AX63" s="111"/>
      <c r="AY63" s="111"/>
      <c r="AZ63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3" s="112" t="str">
        <f>HYPERLINK("http://wie-kann-ich-helfen.info/WoerterbuchAnalphabet_innen_%28c%29_Dagmar_Schmeelcke.pdf","x")</f>
        <v>x</v>
      </c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2" t="str">
        <f>HYPERLINK("http://www.goethe.de/lrn/prj/wnd/deu/lti/deindex.htm#13322010","x")</f>
        <v>x</v>
      </c>
      <c r="BS63" s="112"/>
      <c r="BT63" s="111"/>
      <c r="BU63" s="112" t="str">
        <f>HYPERLINK("https://s3-eu-west-1.amazonaws.com/lingolia/download/lingolia_daf.pdf","x")</f>
        <v>x</v>
      </c>
      <c r="BV63" s="112"/>
      <c r="BW63" s="112"/>
      <c r="BX63" s="112"/>
      <c r="BY63" s="112"/>
      <c r="BZ63" s="112" t="str">
        <f>HYPERLINK("http://www.hueber.de/shared/uebungen/schritte-plus","x")</f>
        <v>x</v>
      </c>
      <c r="CA63" s="112" t="str">
        <f>HYPERLINK("https://www.hueber.de/shared/uebungen/menschen-hier/ab/a1-1/menu.html","x")</f>
        <v>x</v>
      </c>
      <c r="CB63" s="112" t="str">
        <f>HYPERLINK("http://www.goethe-verlag.com/DE/","x")</f>
        <v>x</v>
      </c>
      <c r="CC63" s="112"/>
      <c r="CD63" s="112"/>
      <c r="CE63" s="111"/>
      <c r="CF63" s="111"/>
      <c r="CG63" s="111"/>
      <c r="CH63" s="111"/>
      <c r="CI63" s="112"/>
      <c r="CJ63" s="112" t="str">
        <f>HYPERLINK("http://www.e-migrantinnen.de/index.php?de_wichtige-links","x")</f>
        <v>x</v>
      </c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5"/>
      <c r="DC63" s="112"/>
      <c r="DD63" s="112"/>
      <c r="DE63" s="112" t="str">
        <f>HYPERLINK("http://fi-lohmar-siegburg.de/data/documents/130-37_Inklusion_im_Anfangsunterricht_-_Poster_mit_Situationsbildern.pdf","x")</f>
        <v>x</v>
      </c>
      <c r="DF63" s="115" t="str">
        <f>HYPERLINK("http://s3-eu-west-1.amazonaws.com/lingolia/calendar/2016/lingolia_2016_de.pdf","x")</f>
        <v>x</v>
      </c>
      <c r="DG63" s="112" t="str">
        <f>HYPERLINK("http://www.bibliomedia.ch/de/angebote/img/Wimmelbild.jpg","x")</f>
        <v>x</v>
      </c>
      <c r="DH63" s="112" t="str">
        <f t="shared" ref="DH63:DH64" si="313">HYPERLINK("http://www.bibliomedia.ch/de/angebote/dokumente/Wimmelbild_Fehler.jpg","x")</f>
        <v>x</v>
      </c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2"/>
      <c r="DU63" s="111"/>
      <c r="DV63" s="111"/>
      <c r="DW63" s="111"/>
      <c r="DX63" s="111"/>
      <c r="DY63" s="111"/>
      <c r="DZ63" s="111"/>
      <c r="EA63" s="112"/>
      <c r="EB63" s="112"/>
      <c r="EC63" s="111"/>
      <c r="ED63" s="111"/>
      <c r="EE63" s="111"/>
      <c r="EF63" s="111"/>
      <c r="EG63" s="111"/>
      <c r="EH63" s="111"/>
      <c r="EI63" s="112"/>
      <c r="EJ63" s="112"/>
      <c r="EK63" s="111"/>
      <c r="EL63" s="112" t="str">
        <f>HYPERLINK("http://www.kvs-sachsen.de/fileadmin/img/Mitglieder/Asylbewerber/Allg-Informationen/Anlage_1_Burmese_LEK.PDF","x")</f>
        <v>x</v>
      </c>
      <c r="EM63" s="112"/>
      <c r="EN63" s="111"/>
      <c r="EO63" s="117"/>
      <c r="EP63" s="117"/>
      <c r="EQ63" s="112" t="str">
        <f>HYPERLINK("http://www.kvs-sachsen.de/fileadmin/img/Mitglieder/Asylbewerber/Allg-Informationen/Anlagen_2-1_2-2_Burmese_LEK.PDF","x")</f>
        <v>x</v>
      </c>
      <c r="ER63" s="111"/>
      <c r="ES63" s="111"/>
      <c r="ET63" s="111"/>
      <c r="EU63" s="111"/>
      <c r="EV63" s="112" t="str">
        <f t="shared" ref="EV63:EV64" si="314">HYPERLINK("http://www.lak-rlp.de/fileadmin/redakteure/pdf/download/Piktogramme_Dosieretiketten_AoG.pdf","x")</f>
        <v>x</v>
      </c>
      <c r="EW63" s="111"/>
      <c r="EX63" s="111"/>
      <c r="EY63" s="111"/>
      <c r="EZ63" s="111"/>
      <c r="FA63" s="111"/>
      <c r="FB63" s="111"/>
      <c r="FC63" s="112" t="str">
        <f>HYPERLINK("http://mige.ix-tech.de/index.php?id=241","x")</f>
        <v>x</v>
      </c>
      <c r="FD63" s="112"/>
      <c r="FE63" s="111"/>
      <c r="FF63" s="111"/>
      <c r="FG63" s="111"/>
      <c r="FH63" s="111"/>
      <c r="FI63" s="112"/>
      <c r="FJ63" s="112"/>
      <c r="FK63" s="111"/>
      <c r="FL63" s="111"/>
      <c r="FM63" s="112"/>
      <c r="FN63" s="112"/>
      <c r="FO63" s="112"/>
      <c r="FP63" s="111"/>
      <c r="FQ63" s="112"/>
      <c r="FR63" s="112"/>
      <c r="FS63" s="112"/>
      <c r="FT63" s="112"/>
      <c r="FU63" s="112"/>
      <c r="FV63" s="112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2"/>
      <c r="GH63" s="111"/>
      <c r="GI63" s="111"/>
      <c r="GJ63" s="111"/>
      <c r="GK63" s="111"/>
      <c r="GL63" s="112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2" t="str">
        <f t="shared" ref="HB63:HB64" si="315">HYPERLINK("https://www.zahnaerzte-wl.de/images/_PDF-suche/KZV_ZÄK/piktogrammheft.pdf","x")</f>
        <v>x</v>
      </c>
      <c r="HC63" s="111"/>
      <c r="HD63" s="111"/>
      <c r="HE63" s="111"/>
      <c r="HF63" s="111"/>
      <c r="HG63" s="111"/>
      <c r="HH63" s="111"/>
      <c r="HI63" s="111"/>
      <c r="HJ63" s="112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2" t="str">
        <f>HYPERLINK("http://www.selfhelpfortrauma.org/","x")</f>
        <v>x</v>
      </c>
      <c r="HY63" s="112" t="str">
        <f>HYPERLINK("http://peacefulheart.se/wp-content/uploads/2014/12/Resolving-Yesterday-20141201-Self-Tapping.pdf","x")</f>
        <v>x</v>
      </c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2"/>
      <c r="IK63" s="111"/>
      <c r="IL63" s="111"/>
      <c r="IM63" s="111"/>
      <c r="IN63" s="111"/>
      <c r="IO63" s="111"/>
      <c r="IP63" s="112"/>
      <c r="IQ63" s="112"/>
      <c r="IR63" s="111"/>
      <c r="IS63" s="111"/>
      <c r="IT63" s="111"/>
      <c r="IU63" s="112"/>
      <c r="IV63" s="112"/>
      <c r="IW63" s="112"/>
      <c r="IX63" s="112"/>
      <c r="IY63" s="111"/>
      <c r="IZ63" s="111"/>
      <c r="JA63" s="111"/>
      <c r="JB63" s="112"/>
      <c r="JC63" s="111"/>
      <c r="JD63" s="112"/>
      <c r="JE63" s="112"/>
      <c r="JF63" s="112"/>
      <c r="JG63" s="112"/>
      <c r="JH63" s="111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1"/>
      <c r="JU63" s="111"/>
      <c r="JV63" s="112"/>
      <c r="JW63" s="112"/>
      <c r="JX63" s="111"/>
      <c r="JY63" s="111"/>
      <c r="JZ63" s="111"/>
      <c r="KA63" s="111"/>
      <c r="KB63" s="111"/>
      <c r="KC63" s="111"/>
      <c r="KD63" s="111"/>
      <c r="KE63" s="112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</row>
    <row r="64" spans="1:346" x14ac:dyDescent="0.25">
      <c r="A64" s="110" t="s">
        <v>485</v>
      </c>
      <c r="B64" s="101" t="s">
        <v>70</v>
      </c>
      <c r="C64" s="102"/>
      <c r="D64" s="102"/>
      <c r="E64" s="102"/>
      <c r="F64" s="102"/>
      <c r="G64" s="102"/>
      <c r="H64" s="102"/>
      <c r="I64" s="102"/>
      <c r="J64" s="103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2"/>
      <c r="AO64" s="112"/>
      <c r="AP64" s="112"/>
      <c r="AQ64" s="112"/>
      <c r="AR64" s="112"/>
      <c r="AS64" s="112"/>
      <c r="AT64" s="112"/>
      <c r="AU64" s="113"/>
      <c r="AV64" s="114" t="str">
        <f>HYPERLINK("http://sab.landtag.sachsen.de/dokumente/landtagskurier/SAB_DeutschLernen_DinA5_WEB141115.pdf","x")</f>
        <v>x</v>
      </c>
      <c r="AW64" s="114" t="str">
        <f>HYPERLINK("http://sab.landtag.sachsen.de/dokumente/landtagskurier/SAB_PL_Lernposter_WEB091115.pdf","x")</f>
        <v>x</v>
      </c>
      <c r="AX64" s="111"/>
      <c r="AY64" s="111"/>
      <c r="AZ6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4" s="112" t="str">
        <f>HYPERLINK("http://wie-kann-ich-helfen.info/WoerterbuchAnalphabet_innen_%28c%29_Dagmar_Schmeelcke.pdf","x")</f>
        <v>x</v>
      </c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2" t="str">
        <f>HYPERLINK("http://www.goethe.de/lrn/prj/wnd/deu/lti/deindex.htm#13322010","x")</f>
        <v>x</v>
      </c>
      <c r="BS64" s="112"/>
      <c r="BT64" s="111"/>
      <c r="BU64" s="112" t="str">
        <f>HYPERLINK("https://s3-eu-west-1.amazonaws.com/lingolia/download/lingolia_daf.pdf","x")</f>
        <v>x</v>
      </c>
      <c r="BV64" s="112"/>
      <c r="BW64" s="112"/>
      <c r="BX64" s="112"/>
      <c r="BY64" s="112"/>
      <c r="BZ64" s="112" t="str">
        <f>HYPERLINK("http://www.hueber.de/shared/uebungen/schritte-plus","x")</f>
        <v>x</v>
      </c>
      <c r="CA64" s="112" t="str">
        <f>HYPERLINK("https://www.hueber.de/shared/uebungen/menschen-hier/ab/a1-1/menu.html","x")</f>
        <v>x</v>
      </c>
      <c r="CB64" s="112" t="str">
        <f>HYPERLINK("http://www.goethe-verlag.com/DE/","x")</f>
        <v>x</v>
      </c>
      <c r="CC64" s="112"/>
      <c r="CD64" s="112"/>
      <c r="CE64" s="111"/>
      <c r="CF64" s="111"/>
      <c r="CG64" s="111"/>
      <c r="CH64" s="111"/>
      <c r="CI64" s="112"/>
      <c r="CJ64" s="112" t="str">
        <f>HYPERLINK("http://www.e-migrantinnen.de/index.php?de_wichtige-links","x")</f>
        <v>x</v>
      </c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5"/>
      <c r="DC64" s="112"/>
      <c r="DD64" s="112"/>
      <c r="DE64" s="112" t="str">
        <f>HYPERLINK("http://fi-lohmar-siegburg.de/data/documents/130-37_Inklusion_im_Anfangsunterricht_-_Poster_mit_Situationsbildern.pdf","x")</f>
        <v>x</v>
      </c>
      <c r="DF64" s="115" t="str">
        <f>HYPERLINK("http://s3-eu-west-1.amazonaws.com/lingolia/calendar/2016/lingolia_2016_de.pdf","x")</f>
        <v>x</v>
      </c>
      <c r="DG64" s="112" t="str">
        <f>HYPERLINK("http://www.bibliomedia.ch/de/angebote/img/Wimmelbild.jpg","x")</f>
        <v>x</v>
      </c>
      <c r="DH64" s="112" t="str">
        <f t="shared" si="313"/>
        <v>x</v>
      </c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2"/>
      <c r="DU64" s="111"/>
      <c r="DV64" s="111"/>
      <c r="DW64" s="111"/>
      <c r="DX64" s="111"/>
      <c r="DY64" s="111"/>
      <c r="DZ64" s="111"/>
      <c r="EA64" s="112"/>
      <c r="EB64" s="112"/>
      <c r="EC64" s="111"/>
      <c r="ED64" s="111"/>
      <c r="EE64" s="111"/>
      <c r="EF64" s="111"/>
      <c r="EG64" s="111"/>
      <c r="EH64" s="111"/>
      <c r="EI64" s="112"/>
      <c r="EJ64" s="112"/>
      <c r="EK64" s="111"/>
      <c r="EL64" s="112" t="str">
        <f>HYPERLINK("http://www.kvs-sachsen.de/fileadmin/img/Mitglieder/Asylbewerber/Allg-Informationen/Anlage_1_Burmese_LEK.PDF","x")</f>
        <v>x</v>
      </c>
      <c r="EM64" s="112"/>
      <c r="EN64" s="111"/>
      <c r="EO64" s="117"/>
      <c r="EP64" s="117"/>
      <c r="EQ64" s="112" t="str">
        <f>HYPERLINK("http://www.kvs-sachsen.de/fileadmin/img/Mitglieder/Asylbewerber/Allg-Informationen/Anlagen_2-1_2-2_Burmese_LEK.PDF","x")</f>
        <v>x</v>
      </c>
      <c r="ER64" s="111"/>
      <c r="ES64" s="111"/>
      <c r="ET64" s="111"/>
      <c r="EU64" s="111"/>
      <c r="EV64" s="112" t="str">
        <f t="shared" si="314"/>
        <v>x</v>
      </c>
      <c r="EW64" s="111"/>
      <c r="EX64" s="111"/>
      <c r="EY64" s="111"/>
      <c r="EZ64" s="111"/>
      <c r="FA64" s="111"/>
      <c r="FB64" s="111"/>
      <c r="FC64" s="112" t="str">
        <f>HYPERLINK("http://mige.ix-tech.de/index.php?id=241","x")</f>
        <v>x</v>
      </c>
      <c r="FD64" s="112"/>
      <c r="FE64" s="111"/>
      <c r="FF64" s="111"/>
      <c r="FG64" s="111"/>
      <c r="FH64" s="111"/>
      <c r="FI64" s="112"/>
      <c r="FJ64" s="112"/>
      <c r="FK64" s="111"/>
      <c r="FL64" s="111"/>
      <c r="FM64" s="112"/>
      <c r="FN64" s="112"/>
      <c r="FO64" s="112"/>
      <c r="FP64" s="111"/>
      <c r="FQ64" s="112"/>
      <c r="FR64" s="112"/>
      <c r="FS64" s="112"/>
      <c r="FT64" s="112"/>
      <c r="FU64" s="112"/>
      <c r="FV64" s="112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2"/>
      <c r="GH64" s="111"/>
      <c r="GI64" s="111"/>
      <c r="GJ64" s="111"/>
      <c r="GK64" s="111"/>
      <c r="GL64" s="112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2" t="str">
        <f t="shared" si="315"/>
        <v>x</v>
      </c>
      <c r="HC64" s="111"/>
      <c r="HD64" s="111"/>
      <c r="HE64" s="111"/>
      <c r="HF64" s="111"/>
      <c r="HG64" s="111"/>
      <c r="HH64" s="111"/>
      <c r="HI64" s="111"/>
      <c r="HJ64" s="112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2" t="str">
        <f>HYPERLINK("http://www.selfhelpfortrauma.org/","x")</f>
        <v>x</v>
      </c>
      <c r="HY64" s="112" t="str">
        <f>HYPERLINK("http://peacefulheart.se/wp-content/uploads/2014/12/Resolving-Yesterday-20141201-Self-Tapping.pdf","x")</f>
        <v>x</v>
      </c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2"/>
      <c r="IK64" s="111"/>
      <c r="IL64" s="111"/>
      <c r="IM64" s="111"/>
      <c r="IN64" s="111"/>
      <c r="IO64" s="111"/>
      <c r="IP64" s="112"/>
      <c r="IQ64" s="112"/>
      <c r="IR64" s="111"/>
      <c r="IS64" s="111"/>
      <c r="IT64" s="111"/>
      <c r="IU64" s="112"/>
      <c r="IV64" s="112"/>
      <c r="IW64" s="112"/>
      <c r="IX64" s="112"/>
      <c r="IY64" s="111"/>
      <c r="IZ64" s="111"/>
      <c r="JA64" s="111"/>
      <c r="JB64" s="112"/>
      <c r="JC64" s="111"/>
      <c r="JD64" s="112"/>
      <c r="JE64" s="112"/>
      <c r="JF64" s="112"/>
      <c r="JG64" s="112"/>
      <c r="JH64" s="111"/>
      <c r="JI64" s="112"/>
      <c r="JJ64" s="112"/>
      <c r="JK64" s="112"/>
      <c r="JL64" s="112"/>
      <c r="JM64" s="112"/>
      <c r="JN64" s="112"/>
      <c r="JO64" s="112"/>
      <c r="JP64" s="112"/>
      <c r="JQ64" s="112"/>
      <c r="JR64" s="112"/>
      <c r="JS64" s="112"/>
      <c r="JT64" s="111"/>
      <c r="JU64" s="111"/>
      <c r="JV64" s="112"/>
      <c r="JW64" s="112"/>
      <c r="JX64" s="111"/>
      <c r="JY64" s="111"/>
      <c r="JZ64" s="111"/>
      <c r="KA64" s="111"/>
      <c r="KB64" s="111"/>
      <c r="KC64" s="111"/>
      <c r="KD64" s="111"/>
      <c r="KE64" s="112"/>
      <c r="KF64" s="111"/>
      <c r="KG64" s="111"/>
      <c r="KH64" s="111"/>
      <c r="KI64" s="111"/>
      <c r="KJ64" s="111"/>
      <c r="KK64" s="111"/>
      <c r="KL64" s="111"/>
      <c r="KM64" s="111"/>
      <c r="KN64" s="111"/>
      <c r="KO64" s="111"/>
      <c r="KP64" s="111"/>
      <c r="KQ64" s="111"/>
      <c r="KR64" s="111"/>
      <c r="KS64" s="111"/>
      <c r="KT64" s="111"/>
      <c r="KU64" s="111"/>
      <c r="KV64" s="111"/>
      <c r="KW64" s="111"/>
      <c r="KX64" s="111"/>
      <c r="KY64" s="111"/>
      <c r="KZ64" s="111"/>
      <c r="LA64" s="111"/>
      <c r="LB64" s="111"/>
      <c r="LC64" s="111"/>
      <c r="LD64" s="111"/>
      <c r="LE64" s="111"/>
      <c r="LF64" s="111"/>
      <c r="LG64" s="111"/>
      <c r="LH64" s="111"/>
      <c r="LI64" s="111"/>
      <c r="LJ64" s="111"/>
      <c r="LK64" s="111"/>
      <c r="LL64" s="111"/>
      <c r="LM64" s="111"/>
      <c r="LN64" s="111"/>
      <c r="LO64" s="111"/>
      <c r="LP64" s="111"/>
      <c r="LQ64" s="111"/>
      <c r="LR64" s="111"/>
      <c r="LS64" s="111"/>
      <c r="LT64" s="111"/>
      <c r="LU64" s="111"/>
      <c r="LV64" s="111"/>
      <c r="LW64" s="111"/>
      <c r="LX64" s="111"/>
      <c r="LY64" s="111"/>
      <c r="LZ64" s="111"/>
      <c r="MA64" s="111"/>
      <c r="MB64" s="111"/>
      <c r="MC64" s="111"/>
      <c r="MD64" s="111"/>
      <c r="ME64" s="111"/>
      <c r="MF64" s="111"/>
      <c r="MG64" s="111"/>
      <c r="MH64" s="111"/>
    </row>
    <row r="65" spans="1:346" x14ac:dyDescent="0.25">
      <c r="A65" s="101" t="s">
        <v>135</v>
      </c>
      <c r="B65" s="102"/>
      <c r="C65" s="102"/>
      <c r="D65" s="102"/>
      <c r="E65" s="102"/>
      <c r="F65" s="102"/>
      <c r="G65" s="102"/>
      <c r="H65" s="102"/>
      <c r="I65" s="102"/>
      <c r="J65" s="103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6"/>
      <c r="AV65" s="106"/>
      <c r="AW65" s="106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9"/>
      <c r="EP65" s="109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5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4"/>
      <c r="JJ65" s="104"/>
      <c r="JK65" s="104"/>
      <c r="JL65" s="104"/>
      <c r="JM65" s="104"/>
      <c r="JN65" s="104"/>
      <c r="JO65" s="104"/>
      <c r="JP65" s="104"/>
      <c r="JQ65" s="104"/>
      <c r="JR65" s="104"/>
      <c r="JS65" s="104"/>
      <c r="JT65" s="104"/>
      <c r="JU65" s="104"/>
      <c r="JV65" s="104"/>
      <c r="JW65" s="104"/>
      <c r="JX65" s="104"/>
      <c r="JY65" s="104"/>
      <c r="JZ65" s="104"/>
      <c r="KA65" s="104"/>
      <c r="KB65" s="104"/>
      <c r="KC65" s="104"/>
      <c r="KD65" s="104"/>
      <c r="KE65" s="104"/>
      <c r="KF65" s="104"/>
      <c r="KG65" s="104"/>
      <c r="KH65" s="104"/>
      <c r="KI65" s="104"/>
      <c r="KJ65" s="104"/>
      <c r="KK65" s="104"/>
      <c r="KL65" s="104"/>
      <c r="KM65" s="104"/>
      <c r="KN65" s="104"/>
      <c r="KO65" s="104"/>
      <c r="KP65" s="104"/>
      <c r="KQ65" s="104"/>
      <c r="KR65" s="104"/>
      <c r="KS65" s="104"/>
      <c r="KT65" s="104"/>
      <c r="KU65" s="104"/>
      <c r="KV65" s="104"/>
      <c r="KW65" s="104"/>
      <c r="KX65" s="104"/>
      <c r="KY65" s="104"/>
      <c r="KZ65" s="104"/>
      <c r="LA65" s="104"/>
      <c r="LB65" s="104"/>
      <c r="LC65" s="104"/>
      <c r="LD65" s="104"/>
      <c r="LE65" s="104"/>
      <c r="LF65" s="104"/>
      <c r="LG65" s="104"/>
      <c r="LH65" s="104"/>
      <c r="LI65" s="104"/>
      <c r="LJ65" s="104"/>
      <c r="LK65" s="104"/>
      <c r="LL65" s="104"/>
      <c r="LM65" s="104"/>
      <c r="LN65" s="104"/>
      <c r="LO65" s="104"/>
      <c r="LP65" s="104"/>
      <c r="LQ65" s="104"/>
      <c r="LR65" s="104"/>
      <c r="LS65" s="104"/>
      <c r="LT65" s="104"/>
      <c r="LU65" s="104"/>
      <c r="LV65" s="104"/>
      <c r="LW65" s="104"/>
      <c r="LX65" s="104"/>
      <c r="LY65" s="104"/>
      <c r="LZ65" s="104"/>
      <c r="MA65" s="104"/>
      <c r="MB65" s="104"/>
      <c r="MC65" s="104"/>
      <c r="MD65" s="104"/>
      <c r="ME65" s="104"/>
      <c r="MF65" s="104"/>
      <c r="MG65" s="104"/>
      <c r="MH65" s="104"/>
    </row>
    <row r="66" spans="1:346" x14ac:dyDescent="0.25">
      <c r="A66" s="110" t="s">
        <v>135</v>
      </c>
      <c r="B66" s="101" t="s">
        <v>136</v>
      </c>
      <c r="C66" s="102"/>
      <c r="D66" s="102"/>
      <c r="E66" s="102"/>
      <c r="F66" s="102"/>
      <c r="G66" s="102"/>
      <c r="H66" s="102"/>
      <c r="I66" s="102"/>
      <c r="J66" s="103"/>
      <c r="K66" s="111"/>
      <c r="L66" s="111"/>
      <c r="M66" s="112" t="str">
        <f t="shared" ref="M66" si="316">HYPERLINK("http://www.ag-fluechtlingshilfe-wetterau.de/uploads/infos/170.pdf","x")</f>
        <v>x</v>
      </c>
      <c r="N66" s="112"/>
      <c r="O66" s="112"/>
      <c r="P66" s="112"/>
      <c r="Q66" s="112"/>
      <c r="R66" s="112"/>
      <c r="S66" s="112"/>
      <c r="T66" s="112"/>
      <c r="U66" s="112"/>
      <c r="V66" s="111"/>
      <c r="W66" s="112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2"/>
      <c r="AO66" s="112"/>
      <c r="AP66" s="112"/>
      <c r="AQ66" s="112"/>
      <c r="AR66" s="112"/>
      <c r="AS66" s="112"/>
      <c r="AT66" s="112"/>
      <c r="AU66" s="113"/>
      <c r="AV66" s="114" t="str">
        <f t="shared" ref="AV66" si="317">HYPERLINK("http://sab.landtag.sachsen.de/dokumente/landtagskurier/SAB_DeutschLernen_DinA5_WEB141115.pdf","x")</f>
        <v>x</v>
      </c>
      <c r="AW66" s="114" t="str">
        <f t="shared" ref="AW66" si="318">HYPERLINK("http://sab.landtag.sachsen.de/dokumente/landtagskurier/SAB_PL_Lernposter_WEB091115.pdf","x")</f>
        <v>x</v>
      </c>
      <c r="AX66" s="111"/>
      <c r="AY66" s="111"/>
      <c r="AZ66" s="112" t="str">
        <f t="shared" ref="AZ66" si="31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6" s="112" t="str">
        <f t="shared" ref="BA66" si="320">HYPERLINK("http://wie-kann-ich-helfen.info/WoerterbuchAnalphabet_innen_%28c%29_Dagmar_Schmeelcke.pdf","x")</f>
        <v>x</v>
      </c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2" t="str">
        <f t="shared" ref="BR66" si="321">HYPERLINK("http://www.goethe.de/lrn/prj/wnd/deu/lti/deindex.htm#13322010","x")</f>
        <v>x</v>
      </c>
      <c r="BS66" s="112"/>
      <c r="BT66" s="111"/>
      <c r="BU66" s="112" t="str">
        <f t="shared" ref="BU66" si="322">HYPERLINK("https://s3-eu-west-1.amazonaws.com/lingolia/download/lingolia_daf.pdf","x")</f>
        <v>x</v>
      </c>
      <c r="BV66" s="112"/>
      <c r="BW66" s="112"/>
      <c r="BX66" s="112"/>
      <c r="BY66" s="112"/>
      <c r="BZ66" s="112" t="str">
        <f t="shared" ref="BZ66" si="323">HYPERLINK("http://www.hueber.de/shared/uebungen/schritte-plus","x")</f>
        <v>x</v>
      </c>
      <c r="CA66" s="112" t="str">
        <f t="shared" ref="CA66" si="324">HYPERLINK("https://www.hueber.de/shared/uebungen/menschen-hier/ab/a1-1/menu.html","x")</f>
        <v>x</v>
      </c>
      <c r="CB66" s="112" t="str">
        <f t="shared" ref="CB66" si="325">HYPERLINK("http://www.goethe-verlag.com/DE/","x")</f>
        <v>x</v>
      </c>
      <c r="CC66" s="112"/>
      <c r="CD66" s="112"/>
      <c r="CE66" s="111"/>
      <c r="CF66" s="111"/>
      <c r="CG66" s="111"/>
      <c r="CH66" s="111"/>
      <c r="CI66" s="112" t="str">
        <f t="shared" ref="CI66" si="326">HYPERLINK("https://www.hilfetelefon.de/fileadmin/hilfetelefon_de/Materialien/weitere_werbemittel/Klappflyer_Vorder-_und_Rueckseite_opt2.pdf","x")</f>
        <v>x</v>
      </c>
      <c r="CJ66" s="112" t="str">
        <f t="shared" ref="CJ66" si="327">HYPERLINK("http://www.e-migrantinnen.de/index.php?de_wichtige-links","x")</f>
        <v>x</v>
      </c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5"/>
      <c r="DC66" s="112"/>
      <c r="DD66" s="112"/>
      <c r="DE66" s="112" t="str">
        <f t="shared" ref="DE66" si="328">HYPERLINK("http://fi-lohmar-siegburg.de/data/documents/130-37_Inklusion_im_Anfangsunterricht_-_Poster_mit_Situationsbildern.pdf","x")</f>
        <v>x</v>
      </c>
      <c r="DF66" s="115" t="str">
        <f t="shared" ref="DF66" si="329">HYPERLINK("http://s3-eu-west-1.amazonaws.com/lingolia/calendar/2016/lingolia_2016_de.pdf","x")</f>
        <v>x</v>
      </c>
      <c r="DG66" s="112" t="str">
        <f t="shared" ref="DG66" si="330">HYPERLINK("http://www.bibliomedia.ch/de/angebote/img/Wimmelbild.jpg","x")</f>
        <v>x</v>
      </c>
      <c r="DH66" s="112" t="str">
        <f t="shared" ref="DH66" si="331">HYPERLINK("http://www.bibliomedia.ch/de/angebote/dokumente/Wimmelbild_Fehler.jpg","x")</f>
        <v>x</v>
      </c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2"/>
      <c r="DU66" s="112" t="str">
        <f t="shared" ref="DU66:DU73" si="332">HYPERLINK("https://www.bmbf.de/pub/KAUSA_Elternratgeber_deutsch_chinesisch_bf.pdf","x")</f>
        <v>x</v>
      </c>
      <c r="DV66" s="111"/>
      <c r="DW66" s="111"/>
      <c r="DX66" s="111"/>
      <c r="DY66" s="111"/>
      <c r="DZ66" s="111"/>
      <c r="EA66" s="112"/>
      <c r="EB66" s="111"/>
      <c r="EC66" s="111"/>
      <c r="ED66" s="111"/>
      <c r="EE66" s="111"/>
      <c r="EF66" s="111"/>
      <c r="EG66" s="111"/>
      <c r="EH66" s="111"/>
      <c r="EI66" s="112"/>
      <c r="EJ66" s="112"/>
      <c r="EK66" s="111"/>
      <c r="EL66" s="112" t="str">
        <f t="shared" ref="EL66:EL73" si="333">HYPERLINK("http://www.kvs-sachsen.de/fileadmin/img/Mitglieder/Asylbewerber/Allg-Informationen/Anlage_1_Chinesisch_LEK.pdf","x")</f>
        <v>x</v>
      </c>
      <c r="EM66" s="111"/>
      <c r="EN66" s="111"/>
      <c r="EO66" s="117" t="str">
        <f t="shared" ref="EO66" si="334">HYPERLINK("http://www.medi-bild.de/pdf/anamnese/Welche_Sprache.pdf","x")</f>
        <v>x</v>
      </c>
      <c r="EP66" s="117" t="str">
        <f t="shared" ref="EP66:EP73" si="335">HYPERLINK("http://www.medknowledge.de/migration/tipdoc/anamnesebogen/tipdoc_Anamnese_chin.pdf","x")</f>
        <v>x</v>
      </c>
      <c r="EQ66" s="112" t="str">
        <f t="shared" ref="EQ66:EQ73" si="336">HYPERLINK("http://www.kvs-sachsen.de/fileadmin/img/Mitglieder/Asylbewerber/Allg-Informationen/Anlagen_2-1_2-2_Chinesisch_LEK.pdf","x")</f>
        <v>x</v>
      </c>
      <c r="ER66" s="112"/>
      <c r="ES66" s="112"/>
      <c r="ET66" s="111"/>
      <c r="EU66" s="111"/>
      <c r="EV66" s="112" t="str">
        <f t="shared" ref="EV66:EV73" si="337">HYPERLINK("http://www.lak-rlp.de/fileadmin/redakteure/pdf/download/Piktogramme_Dosieretiketten_AoG.pdf","x")</f>
        <v>x</v>
      </c>
      <c r="EW66" s="111"/>
      <c r="EX66" s="111"/>
      <c r="EY66" s="111"/>
      <c r="EZ66" s="111"/>
      <c r="FA66" s="111"/>
      <c r="FB66" s="111"/>
      <c r="FC66" s="112" t="str">
        <f t="shared" ref="FC66" si="338">HYPERLINK("http://mige.ix-tech.de/index.php?id=241","x")</f>
        <v>x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2" t="str">
        <f t="shared" si="48"/>
        <v>x</v>
      </c>
      <c r="HC66" s="111"/>
      <c r="HD66" s="111"/>
      <c r="HE66" s="111"/>
      <c r="HF66" s="111"/>
      <c r="HG66" s="111"/>
      <c r="HH66" s="111"/>
      <c r="HI66" s="111"/>
      <c r="HJ66" s="112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2" t="str">
        <f t="shared" ref="HX66" si="339">HYPERLINK("http://www.selfhelpfortrauma.org/","x")</f>
        <v>x</v>
      </c>
      <c r="HY66" s="112" t="str">
        <f t="shared" ref="HY66" si="340">HYPERLINK("http://peacefulheart.se/wp-content/uploads/2014/12/Resolving-Yesterday-20141201-Self-Tapping.pdf","x")</f>
        <v>x</v>
      </c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2"/>
      <c r="IK66" s="111"/>
      <c r="IL66" s="111"/>
      <c r="IM66" s="111"/>
      <c r="IN66" s="111"/>
      <c r="IO66" s="111"/>
      <c r="IP66" s="112"/>
      <c r="IQ66" s="112"/>
      <c r="IR66" s="111"/>
      <c r="IS66" s="111"/>
      <c r="IT66" s="111"/>
      <c r="IU66" s="112" t="str">
        <f t="shared" ref="IU66:IU73" si="341">HYPERLINK("http://www.asyl.net/fileadmin/user_upload/infoblatt_anhoerung/Chin_final.pdf","x")</f>
        <v>x</v>
      </c>
      <c r="IV66" s="112"/>
      <c r="IW66" s="112"/>
      <c r="IX66" s="112" t="str">
        <f t="shared" ref="IX66:IX73" si="342">HYPERLINK("http://www.bamf.de/SharedDocs/Anlagen/DE/Publikationen/Broschueren/broschuere-eat-a4-zh-chinesisch.pdf?__blob=publicationFile","x")</f>
        <v>x</v>
      </c>
      <c r="IY66" s="111"/>
      <c r="IZ66" s="111"/>
      <c r="JA66" s="111"/>
      <c r="JB66" s="112"/>
      <c r="JC66" s="111"/>
      <c r="JD66" s="112"/>
      <c r="JE66" s="112"/>
      <c r="JF66" s="111"/>
      <c r="JG66" s="111"/>
      <c r="JH66" s="111"/>
      <c r="JI66" s="112"/>
      <c r="JJ66" s="112"/>
      <c r="JK66" s="112"/>
      <c r="JL66" s="112"/>
      <c r="JM66" s="112"/>
      <c r="JN66" s="112"/>
      <c r="JO66" s="112"/>
      <c r="JP66" s="112"/>
      <c r="JQ66" s="112" t="str">
        <f t="shared" ref="JQ66:JQ73" si="343">HYPERLINK("http://www.ibla-germany.de/merkblaetter.php","x")</f>
        <v>x</v>
      </c>
      <c r="JR66" s="112"/>
      <c r="JS66" s="111"/>
      <c r="JT66" s="111"/>
      <c r="JU66" s="111"/>
      <c r="JV66" s="112"/>
      <c r="JW66" s="112"/>
      <c r="JX66" s="111"/>
      <c r="JY66" s="111"/>
      <c r="JZ66" s="111"/>
      <c r="KA66" s="111"/>
      <c r="KB66" s="111"/>
      <c r="KC66" s="111"/>
      <c r="KD66" s="111"/>
      <c r="KE66" s="111"/>
      <c r="KF66" s="111"/>
      <c r="KG66" s="111"/>
      <c r="KH66" s="111"/>
      <c r="KI66" s="111"/>
      <c r="KJ66" s="111"/>
      <c r="KK66" s="111"/>
      <c r="KL66" s="111"/>
      <c r="KM66" s="111"/>
      <c r="KN66" s="111"/>
      <c r="KO66" s="111"/>
      <c r="KP66" s="111"/>
      <c r="KQ66" s="111"/>
      <c r="KR66" s="111"/>
      <c r="KS66" s="111"/>
      <c r="KT66" s="111"/>
      <c r="KU66" s="111"/>
      <c r="KV66" s="111"/>
      <c r="KW66" s="111"/>
      <c r="KX66" s="111"/>
      <c r="KY66" s="111"/>
      <c r="KZ66" s="111"/>
      <c r="LA66" s="111"/>
      <c r="LB66" s="111"/>
      <c r="LC66" s="111"/>
      <c r="LD66" s="111"/>
      <c r="LE66" s="111"/>
      <c r="LF66" s="111"/>
      <c r="LG66" s="111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1"/>
      <c r="LU66" s="111"/>
      <c r="LV66" s="111"/>
      <c r="LW66" s="111"/>
      <c r="LX66" s="111"/>
      <c r="LY66" s="111"/>
      <c r="LZ66" s="111"/>
      <c r="MA66" s="111"/>
      <c r="MB66" s="111"/>
      <c r="MC66" s="111"/>
      <c r="MD66" s="111"/>
      <c r="ME66" s="111"/>
      <c r="MF66" s="111"/>
      <c r="MG66" s="111"/>
      <c r="MH66" s="111"/>
    </row>
    <row r="67" spans="1:346" x14ac:dyDescent="0.25">
      <c r="A67" s="110" t="s">
        <v>135</v>
      </c>
      <c r="B67" s="101" t="s">
        <v>139</v>
      </c>
      <c r="C67" s="102"/>
      <c r="D67" s="102"/>
      <c r="E67" s="102"/>
      <c r="F67" s="102"/>
      <c r="G67" s="102"/>
      <c r="H67" s="102"/>
      <c r="I67" s="102"/>
      <c r="J67" s="103"/>
      <c r="K67" s="111"/>
      <c r="L67" s="111"/>
      <c r="M67" s="112" t="str">
        <f t="shared" ref="M67:M73" si="344">HYPERLINK("http://www.ag-fluechtlingshilfe-wetterau.de/uploads/infos/170.pdf","x")</f>
        <v>x</v>
      </c>
      <c r="N67" s="112"/>
      <c r="O67" s="112"/>
      <c r="P67" s="112"/>
      <c r="Q67" s="112"/>
      <c r="R67" s="112"/>
      <c r="S67" s="112"/>
      <c r="T67" s="112"/>
      <c r="U67" s="112"/>
      <c r="V67" s="111"/>
      <c r="W67" s="112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2"/>
      <c r="AO67" s="112"/>
      <c r="AP67" s="112"/>
      <c r="AQ67" s="112"/>
      <c r="AR67" s="112"/>
      <c r="AS67" s="112"/>
      <c r="AT67" s="112"/>
      <c r="AU67" s="113"/>
      <c r="AV67" s="114" t="str">
        <f t="shared" ref="AV67:AV73" si="345">HYPERLINK("http://sab.landtag.sachsen.de/dokumente/landtagskurier/SAB_DeutschLernen_DinA5_WEB141115.pdf","x")</f>
        <v>x</v>
      </c>
      <c r="AW67" s="114" t="str">
        <f t="shared" ref="AW67:AW73" si="346">HYPERLINK("http://sab.landtag.sachsen.de/dokumente/landtagskurier/SAB_PL_Lernposter_WEB091115.pdf","x")</f>
        <v>x</v>
      </c>
      <c r="AX67" s="111"/>
      <c r="AY67" s="111"/>
      <c r="AZ67" s="112" t="str">
        <f t="shared" ref="AZ67:AZ73" si="34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7" s="112" t="str">
        <f t="shared" ref="BA67:BA73" si="348">HYPERLINK("http://wie-kann-ich-helfen.info/WoerterbuchAnalphabet_innen_%28c%29_Dagmar_Schmeelcke.pdf","x")</f>
        <v>x</v>
      </c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2" t="str">
        <f t="shared" ref="BR67:BR73" si="349">HYPERLINK("http://www.goethe.de/lrn/prj/wnd/deu/lti/deindex.htm#13322010","x")</f>
        <v>x</v>
      </c>
      <c r="BS67" s="112"/>
      <c r="BT67" s="111"/>
      <c r="BU67" s="112" t="str">
        <f t="shared" ref="BU67:BU73" si="350">HYPERLINK("https://s3-eu-west-1.amazonaws.com/lingolia/download/lingolia_daf.pdf","x")</f>
        <v>x</v>
      </c>
      <c r="BV67" s="112"/>
      <c r="BW67" s="112"/>
      <c r="BX67" s="112"/>
      <c r="BY67" s="112"/>
      <c r="BZ67" s="112" t="str">
        <f t="shared" ref="BZ67:BZ73" si="351">HYPERLINK("http://www.hueber.de/shared/uebungen/schritte-plus","x")</f>
        <v>x</v>
      </c>
      <c r="CA67" s="112" t="str">
        <f t="shared" ref="CA67:CA73" si="352">HYPERLINK("https://www.hueber.de/shared/uebungen/menschen-hier/ab/a1-1/menu.html","x")</f>
        <v>x</v>
      </c>
      <c r="CB67" s="112" t="str">
        <f t="shared" ref="CB67:CB73" si="353">HYPERLINK("http://www.goethe-verlag.com/DE/","x")</f>
        <v>x</v>
      </c>
      <c r="CC67" s="112"/>
      <c r="CD67" s="112"/>
      <c r="CE67" s="111"/>
      <c r="CF67" s="111"/>
      <c r="CG67" s="111"/>
      <c r="CH67" s="111"/>
      <c r="CI67" s="112" t="str">
        <f t="shared" ref="CI67:CI73" si="354">HYPERLINK("https://www.hilfetelefon.de/fileadmin/hilfetelefon_de/Materialien/weitere_werbemittel/Klappflyer_Vorder-_und_Rueckseite_opt2.pdf","x")</f>
        <v>x</v>
      </c>
      <c r="CJ67" s="112" t="str">
        <f t="shared" ref="CJ67:CJ73" si="355">HYPERLINK("http://www.e-migrantinnen.de/index.php?de_wichtige-links","x")</f>
        <v>x</v>
      </c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5"/>
      <c r="DC67" s="112"/>
      <c r="DD67" s="112"/>
      <c r="DE67" s="112" t="str">
        <f t="shared" ref="DE67:DE73" si="356">HYPERLINK("http://fi-lohmar-siegburg.de/data/documents/130-37_Inklusion_im_Anfangsunterricht_-_Poster_mit_Situationsbildern.pdf","x")</f>
        <v>x</v>
      </c>
      <c r="DF67" s="115" t="str">
        <f t="shared" ref="DF67:DF73" si="357">HYPERLINK("http://s3-eu-west-1.amazonaws.com/lingolia/calendar/2016/lingolia_2016_de.pdf","x")</f>
        <v>x</v>
      </c>
      <c r="DG67" s="112" t="str">
        <f t="shared" ref="DG67:DG73" si="358">HYPERLINK("http://www.bibliomedia.ch/de/angebote/img/Wimmelbild.jpg","x")</f>
        <v>x</v>
      </c>
      <c r="DH67" s="112" t="str">
        <f t="shared" ref="DH67:DH73" si="359">HYPERLINK("http://www.bibliomedia.ch/de/angebote/dokumente/Wimmelbild_Fehler.jpg","x")</f>
        <v>x</v>
      </c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2"/>
      <c r="DU67" s="112" t="str">
        <f t="shared" si="332"/>
        <v>x</v>
      </c>
      <c r="DV67" s="111"/>
      <c r="DW67" s="111"/>
      <c r="DX67" s="111"/>
      <c r="DY67" s="111"/>
      <c r="DZ67" s="111"/>
      <c r="EA67" s="112"/>
      <c r="EB67" s="111"/>
      <c r="EC67" s="111"/>
      <c r="ED67" s="111"/>
      <c r="EE67" s="111"/>
      <c r="EF67" s="111"/>
      <c r="EG67" s="111"/>
      <c r="EH67" s="111"/>
      <c r="EI67" s="112"/>
      <c r="EJ67" s="112"/>
      <c r="EK67" s="111"/>
      <c r="EL67" s="112" t="str">
        <f t="shared" si="333"/>
        <v>x</v>
      </c>
      <c r="EM67" s="111"/>
      <c r="EN67" s="111"/>
      <c r="EO67" s="117" t="str">
        <f t="shared" ref="EO67:EO73" si="360">HYPERLINK("http://www.medi-bild.de/pdf/anamnese/Welche_Sprache.pdf","x")</f>
        <v>x</v>
      </c>
      <c r="EP67" s="117" t="str">
        <f t="shared" si="335"/>
        <v>x</v>
      </c>
      <c r="EQ67" s="112" t="str">
        <f t="shared" si="336"/>
        <v>x</v>
      </c>
      <c r="ER67" s="112"/>
      <c r="ES67" s="112"/>
      <c r="ET67" s="111"/>
      <c r="EU67" s="111"/>
      <c r="EV67" s="112" t="str">
        <f t="shared" si="337"/>
        <v>x</v>
      </c>
      <c r="EW67" s="111"/>
      <c r="EX67" s="111"/>
      <c r="EY67" s="111"/>
      <c r="EZ67" s="111"/>
      <c r="FA67" s="111"/>
      <c r="FB67" s="111"/>
      <c r="FC67" s="112" t="str">
        <f t="shared" ref="FC67:FC73" si="361">HYPERLINK("http://mige.ix-tech.de/index.php?id=241","x")</f>
        <v>x</v>
      </c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2" t="str">
        <f t="shared" ref="HB67:HB73" si="362">HYPERLINK("https://www.zahnaerzte-wl.de/images/_PDF-suche/KZV_ZÄK/piktogrammheft.pdf","x")</f>
        <v>x</v>
      </c>
      <c r="HC67" s="111"/>
      <c r="HD67" s="111"/>
      <c r="HE67" s="111"/>
      <c r="HF67" s="111"/>
      <c r="HG67" s="111"/>
      <c r="HH67" s="111"/>
      <c r="HI67" s="111"/>
      <c r="HJ67" s="112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2" t="str">
        <f t="shared" ref="HX67:HX73" si="363">HYPERLINK("http://www.selfhelpfortrauma.org/","x")</f>
        <v>x</v>
      </c>
      <c r="HY67" s="112" t="str">
        <f t="shared" ref="HY67:HY73" si="364">HYPERLINK("http://peacefulheart.se/wp-content/uploads/2014/12/Resolving-Yesterday-20141201-Self-Tapping.pdf","x")</f>
        <v>x</v>
      </c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2"/>
      <c r="IK67" s="111"/>
      <c r="IL67" s="111"/>
      <c r="IM67" s="111"/>
      <c r="IN67" s="111"/>
      <c r="IO67" s="111"/>
      <c r="IP67" s="112"/>
      <c r="IQ67" s="112"/>
      <c r="IR67" s="111"/>
      <c r="IS67" s="111"/>
      <c r="IT67" s="111"/>
      <c r="IU67" s="112" t="str">
        <f t="shared" si="341"/>
        <v>x</v>
      </c>
      <c r="IV67" s="112"/>
      <c r="IW67" s="112"/>
      <c r="IX67" s="112" t="str">
        <f t="shared" si="342"/>
        <v>x</v>
      </c>
      <c r="IY67" s="111"/>
      <c r="IZ67" s="111"/>
      <c r="JA67" s="111"/>
      <c r="JB67" s="112"/>
      <c r="JC67" s="111"/>
      <c r="JD67" s="112"/>
      <c r="JE67" s="112"/>
      <c r="JF67" s="111"/>
      <c r="JG67" s="111"/>
      <c r="JH67" s="111"/>
      <c r="JI67" s="112"/>
      <c r="JJ67" s="112"/>
      <c r="JK67" s="112"/>
      <c r="JL67" s="112"/>
      <c r="JM67" s="112"/>
      <c r="JN67" s="112"/>
      <c r="JO67" s="112"/>
      <c r="JP67" s="112"/>
      <c r="JQ67" s="112" t="str">
        <f t="shared" si="343"/>
        <v>x</v>
      </c>
      <c r="JR67" s="112"/>
      <c r="JS67" s="111"/>
      <c r="JT67" s="111"/>
      <c r="JU67" s="111"/>
      <c r="JV67" s="112"/>
      <c r="JW67" s="112"/>
      <c r="JX67" s="111"/>
      <c r="JY67" s="111"/>
      <c r="JZ67" s="111"/>
      <c r="KA67" s="111"/>
      <c r="KB67" s="111"/>
      <c r="KC67" s="111"/>
      <c r="KD67" s="111"/>
      <c r="KE67" s="111"/>
      <c r="KF67" s="111"/>
      <c r="KG67" s="111"/>
      <c r="KH67" s="111"/>
      <c r="KI67" s="111"/>
      <c r="KJ67" s="111"/>
      <c r="KK67" s="111"/>
      <c r="KL67" s="111"/>
      <c r="KM67" s="111"/>
      <c r="KN67" s="111"/>
      <c r="KO67" s="111"/>
      <c r="KP67" s="111"/>
      <c r="KQ67" s="111"/>
      <c r="KR67" s="111"/>
      <c r="KS67" s="111"/>
      <c r="KT67" s="111"/>
      <c r="KU67" s="111"/>
      <c r="KV67" s="111"/>
      <c r="KW67" s="111"/>
      <c r="KX67" s="111"/>
      <c r="KY67" s="111"/>
      <c r="KZ67" s="111"/>
      <c r="LA67" s="111"/>
      <c r="LB67" s="111"/>
      <c r="LC67" s="111"/>
      <c r="LD67" s="111"/>
      <c r="LE67" s="111"/>
      <c r="LF67" s="111"/>
      <c r="LG67" s="111"/>
      <c r="LH67" s="111"/>
      <c r="LI67" s="111"/>
      <c r="LJ67" s="111"/>
      <c r="LK67" s="111"/>
      <c r="LL67" s="111"/>
      <c r="LM67" s="111"/>
      <c r="LN67" s="111"/>
      <c r="LO67" s="111"/>
      <c r="LP67" s="111"/>
      <c r="LQ67" s="111"/>
      <c r="LR67" s="111"/>
      <c r="LS67" s="111"/>
      <c r="LT67" s="111"/>
      <c r="LU67" s="111"/>
      <c r="LV67" s="111"/>
      <c r="LW67" s="111"/>
      <c r="LX67" s="111"/>
      <c r="LY67" s="111"/>
      <c r="LZ67" s="111"/>
      <c r="MA67" s="111"/>
      <c r="MB67" s="111"/>
      <c r="MC67" s="111"/>
      <c r="MD67" s="111"/>
      <c r="ME67" s="111"/>
      <c r="MF67" s="111"/>
      <c r="MG67" s="111"/>
      <c r="MH67" s="111"/>
    </row>
    <row r="68" spans="1:346" x14ac:dyDescent="0.25">
      <c r="A68" s="110" t="s">
        <v>135</v>
      </c>
      <c r="B68" s="101" t="s">
        <v>140</v>
      </c>
      <c r="C68" s="102"/>
      <c r="D68" s="102"/>
      <c r="E68" s="102"/>
      <c r="F68" s="102"/>
      <c r="G68" s="102"/>
      <c r="H68" s="102"/>
      <c r="I68" s="102"/>
      <c r="J68" s="103"/>
      <c r="K68" s="111"/>
      <c r="L68" s="111"/>
      <c r="M68" s="112" t="str">
        <f t="shared" si="344"/>
        <v>x</v>
      </c>
      <c r="N68" s="112"/>
      <c r="O68" s="112"/>
      <c r="P68" s="112"/>
      <c r="Q68" s="112"/>
      <c r="R68" s="112"/>
      <c r="S68" s="112"/>
      <c r="T68" s="112"/>
      <c r="U68" s="112"/>
      <c r="V68" s="111"/>
      <c r="W68" s="112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2"/>
      <c r="AO68" s="112"/>
      <c r="AP68" s="112"/>
      <c r="AQ68" s="112"/>
      <c r="AR68" s="112"/>
      <c r="AS68" s="112"/>
      <c r="AT68" s="112"/>
      <c r="AU68" s="113"/>
      <c r="AV68" s="114" t="str">
        <f t="shared" si="345"/>
        <v>x</v>
      </c>
      <c r="AW68" s="114" t="str">
        <f t="shared" si="346"/>
        <v>x</v>
      </c>
      <c r="AX68" s="111"/>
      <c r="AY68" s="111"/>
      <c r="AZ68" s="112" t="str">
        <f t="shared" si="347"/>
        <v>x</v>
      </c>
      <c r="BA68" s="112" t="str">
        <f t="shared" si="348"/>
        <v>x</v>
      </c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2" t="str">
        <f t="shared" si="349"/>
        <v>x</v>
      </c>
      <c r="BS68" s="112"/>
      <c r="BT68" s="111"/>
      <c r="BU68" s="112" t="str">
        <f t="shared" si="350"/>
        <v>x</v>
      </c>
      <c r="BV68" s="112"/>
      <c r="BW68" s="112"/>
      <c r="BX68" s="112"/>
      <c r="BY68" s="112"/>
      <c r="BZ68" s="112" t="str">
        <f t="shared" si="351"/>
        <v>x</v>
      </c>
      <c r="CA68" s="112" t="str">
        <f t="shared" si="352"/>
        <v>x</v>
      </c>
      <c r="CB68" s="112" t="str">
        <f t="shared" si="353"/>
        <v>x</v>
      </c>
      <c r="CC68" s="112"/>
      <c r="CD68" s="112"/>
      <c r="CE68" s="111"/>
      <c r="CF68" s="111"/>
      <c r="CG68" s="111"/>
      <c r="CH68" s="111"/>
      <c r="CI68" s="112" t="str">
        <f t="shared" si="354"/>
        <v>x</v>
      </c>
      <c r="CJ68" s="112" t="str">
        <f t="shared" si="355"/>
        <v>x</v>
      </c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5"/>
      <c r="DC68" s="112"/>
      <c r="DD68" s="112"/>
      <c r="DE68" s="112" t="str">
        <f t="shared" si="356"/>
        <v>x</v>
      </c>
      <c r="DF68" s="115" t="str">
        <f t="shared" si="357"/>
        <v>x</v>
      </c>
      <c r="DG68" s="112" t="str">
        <f t="shared" si="358"/>
        <v>x</v>
      </c>
      <c r="DH68" s="112" t="str">
        <f t="shared" si="359"/>
        <v>x</v>
      </c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2"/>
      <c r="DU68" s="112" t="str">
        <f t="shared" si="332"/>
        <v>x</v>
      </c>
      <c r="DV68" s="111"/>
      <c r="DW68" s="111"/>
      <c r="DX68" s="111"/>
      <c r="DY68" s="111"/>
      <c r="DZ68" s="111"/>
      <c r="EA68" s="112"/>
      <c r="EB68" s="111"/>
      <c r="EC68" s="111"/>
      <c r="ED68" s="111"/>
      <c r="EE68" s="111"/>
      <c r="EF68" s="111"/>
      <c r="EG68" s="111"/>
      <c r="EH68" s="111"/>
      <c r="EI68" s="112"/>
      <c r="EJ68" s="112"/>
      <c r="EK68" s="111"/>
      <c r="EL68" s="112" t="str">
        <f t="shared" si="333"/>
        <v>x</v>
      </c>
      <c r="EM68" s="111"/>
      <c r="EN68" s="111"/>
      <c r="EO68" s="117" t="str">
        <f t="shared" si="360"/>
        <v>x</v>
      </c>
      <c r="EP68" s="117" t="str">
        <f t="shared" si="335"/>
        <v>x</v>
      </c>
      <c r="EQ68" s="112" t="str">
        <f t="shared" si="336"/>
        <v>x</v>
      </c>
      <c r="ER68" s="112"/>
      <c r="ES68" s="112"/>
      <c r="ET68" s="111"/>
      <c r="EU68" s="111"/>
      <c r="EV68" s="112" t="str">
        <f t="shared" si="337"/>
        <v>x</v>
      </c>
      <c r="EW68" s="111"/>
      <c r="EX68" s="111"/>
      <c r="EY68" s="111"/>
      <c r="EZ68" s="111"/>
      <c r="FA68" s="111"/>
      <c r="FB68" s="111"/>
      <c r="FC68" s="112" t="str">
        <f t="shared" si="361"/>
        <v>x</v>
      </c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2" t="str">
        <f t="shared" si="362"/>
        <v>x</v>
      </c>
      <c r="HC68" s="111"/>
      <c r="HD68" s="111"/>
      <c r="HE68" s="111"/>
      <c r="HF68" s="111"/>
      <c r="HG68" s="111"/>
      <c r="HH68" s="111"/>
      <c r="HI68" s="111"/>
      <c r="HJ68" s="112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2" t="str">
        <f t="shared" si="363"/>
        <v>x</v>
      </c>
      <c r="HY68" s="112" t="str">
        <f t="shared" si="364"/>
        <v>x</v>
      </c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2"/>
      <c r="IK68" s="111"/>
      <c r="IL68" s="111"/>
      <c r="IM68" s="111"/>
      <c r="IN68" s="111"/>
      <c r="IO68" s="111"/>
      <c r="IP68" s="112"/>
      <c r="IQ68" s="112"/>
      <c r="IR68" s="111"/>
      <c r="IS68" s="111"/>
      <c r="IT68" s="111"/>
      <c r="IU68" s="112" t="str">
        <f t="shared" si="341"/>
        <v>x</v>
      </c>
      <c r="IV68" s="112"/>
      <c r="IW68" s="112"/>
      <c r="IX68" s="112" t="str">
        <f t="shared" si="342"/>
        <v>x</v>
      </c>
      <c r="IY68" s="111"/>
      <c r="IZ68" s="111"/>
      <c r="JA68" s="111"/>
      <c r="JB68" s="112"/>
      <c r="JC68" s="111"/>
      <c r="JD68" s="112"/>
      <c r="JE68" s="112"/>
      <c r="JF68" s="111"/>
      <c r="JG68" s="111"/>
      <c r="JH68" s="111"/>
      <c r="JI68" s="112"/>
      <c r="JJ68" s="112"/>
      <c r="JK68" s="112"/>
      <c r="JL68" s="112"/>
      <c r="JM68" s="112"/>
      <c r="JN68" s="112"/>
      <c r="JO68" s="112"/>
      <c r="JP68" s="112"/>
      <c r="JQ68" s="112" t="str">
        <f t="shared" si="343"/>
        <v>x</v>
      </c>
      <c r="JR68" s="112"/>
      <c r="JS68" s="111"/>
      <c r="JT68" s="111"/>
      <c r="JU68" s="111"/>
      <c r="JV68" s="112"/>
      <c r="JW68" s="112"/>
      <c r="JX68" s="111"/>
      <c r="JY68" s="111"/>
      <c r="JZ68" s="111"/>
      <c r="KA68" s="111"/>
      <c r="KB68" s="111"/>
      <c r="KC68" s="111"/>
      <c r="KD68" s="111"/>
      <c r="KE68" s="111"/>
      <c r="KF68" s="111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</row>
    <row r="69" spans="1:346" x14ac:dyDescent="0.25">
      <c r="A69" s="110" t="s">
        <v>135</v>
      </c>
      <c r="B69" s="101" t="s">
        <v>142</v>
      </c>
      <c r="C69" s="102"/>
      <c r="D69" s="102"/>
      <c r="E69" s="102"/>
      <c r="F69" s="102"/>
      <c r="G69" s="102"/>
      <c r="H69" s="102"/>
      <c r="I69" s="102"/>
      <c r="J69" s="103"/>
      <c r="K69" s="111"/>
      <c r="L69" s="111"/>
      <c r="M69" s="112" t="str">
        <f t="shared" si="344"/>
        <v>x</v>
      </c>
      <c r="N69" s="112"/>
      <c r="O69" s="112"/>
      <c r="P69" s="112"/>
      <c r="Q69" s="112"/>
      <c r="R69" s="112"/>
      <c r="S69" s="112"/>
      <c r="T69" s="112"/>
      <c r="U69" s="112"/>
      <c r="V69" s="111"/>
      <c r="W69" s="112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2"/>
      <c r="AO69" s="112"/>
      <c r="AP69" s="112"/>
      <c r="AQ69" s="112"/>
      <c r="AR69" s="112"/>
      <c r="AS69" s="112"/>
      <c r="AT69" s="112"/>
      <c r="AU69" s="113"/>
      <c r="AV69" s="114" t="str">
        <f t="shared" si="345"/>
        <v>x</v>
      </c>
      <c r="AW69" s="114" t="str">
        <f t="shared" si="346"/>
        <v>x</v>
      </c>
      <c r="AX69" s="111"/>
      <c r="AY69" s="111"/>
      <c r="AZ69" s="112" t="str">
        <f t="shared" si="347"/>
        <v>x</v>
      </c>
      <c r="BA69" s="112" t="str">
        <f t="shared" si="348"/>
        <v>x</v>
      </c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2" t="str">
        <f t="shared" si="349"/>
        <v>x</v>
      </c>
      <c r="BS69" s="112"/>
      <c r="BT69" s="111"/>
      <c r="BU69" s="112" t="str">
        <f t="shared" si="350"/>
        <v>x</v>
      </c>
      <c r="BV69" s="112"/>
      <c r="BW69" s="112"/>
      <c r="BX69" s="112"/>
      <c r="BY69" s="112"/>
      <c r="BZ69" s="112" t="str">
        <f t="shared" si="351"/>
        <v>x</v>
      </c>
      <c r="CA69" s="112" t="str">
        <f t="shared" si="352"/>
        <v>x</v>
      </c>
      <c r="CB69" s="112" t="str">
        <f t="shared" si="353"/>
        <v>x</v>
      </c>
      <c r="CC69" s="112"/>
      <c r="CD69" s="112"/>
      <c r="CE69" s="111"/>
      <c r="CF69" s="111"/>
      <c r="CG69" s="111"/>
      <c r="CH69" s="111"/>
      <c r="CI69" s="112" t="str">
        <f t="shared" si="354"/>
        <v>x</v>
      </c>
      <c r="CJ69" s="112" t="str">
        <f t="shared" si="355"/>
        <v>x</v>
      </c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5"/>
      <c r="DC69" s="112"/>
      <c r="DD69" s="112"/>
      <c r="DE69" s="112" t="str">
        <f t="shared" si="356"/>
        <v>x</v>
      </c>
      <c r="DF69" s="115" t="str">
        <f t="shared" si="357"/>
        <v>x</v>
      </c>
      <c r="DG69" s="112" t="str">
        <f t="shared" si="358"/>
        <v>x</v>
      </c>
      <c r="DH69" s="112" t="str">
        <f t="shared" si="359"/>
        <v>x</v>
      </c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2"/>
      <c r="DU69" s="112" t="str">
        <f t="shared" si="332"/>
        <v>x</v>
      </c>
      <c r="DV69" s="111"/>
      <c r="DW69" s="111"/>
      <c r="DX69" s="111"/>
      <c r="DY69" s="111"/>
      <c r="DZ69" s="111"/>
      <c r="EA69" s="112"/>
      <c r="EB69" s="111"/>
      <c r="EC69" s="111"/>
      <c r="ED69" s="111"/>
      <c r="EE69" s="111"/>
      <c r="EF69" s="111"/>
      <c r="EG69" s="111"/>
      <c r="EH69" s="111"/>
      <c r="EI69" s="112"/>
      <c r="EJ69" s="112"/>
      <c r="EK69" s="111"/>
      <c r="EL69" s="112" t="str">
        <f t="shared" si="333"/>
        <v>x</v>
      </c>
      <c r="EM69" s="111"/>
      <c r="EN69" s="111"/>
      <c r="EO69" s="117" t="str">
        <f t="shared" si="360"/>
        <v>x</v>
      </c>
      <c r="EP69" s="117" t="str">
        <f t="shared" si="335"/>
        <v>x</v>
      </c>
      <c r="EQ69" s="112" t="str">
        <f t="shared" si="336"/>
        <v>x</v>
      </c>
      <c r="ER69" s="112"/>
      <c r="ES69" s="112"/>
      <c r="ET69" s="111"/>
      <c r="EU69" s="111"/>
      <c r="EV69" s="112" t="str">
        <f t="shared" si="337"/>
        <v>x</v>
      </c>
      <c r="EW69" s="111"/>
      <c r="EX69" s="111"/>
      <c r="EY69" s="111"/>
      <c r="EZ69" s="111"/>
      <c r="FA69" s="111"/>
      <c r="FB69" s="111"/>
      <c r="FC69" s="112" t="str">
        <f t="shared" si="361"/>
        <v>x</v>
      </c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2" t="str">
        <f t="shared" si="362"/>
        <v>x</v>
      </c>
      <c r="HC69" s="111"/>
      <c r="HD69" s="111"/>
      <c r="HE69" s="111"/>
      <c r="HF69" s="111"/>
      <c r="HG69" s="111"/>
      <c r="HH69" s="111"/>
      <c r="HI69" s="111"/>
      <c r="HJ69" s="112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2" t="str">
        <f t="shared" si="363"/>
        <v>x</v>
      </c>
      <c r="HY69" s="112" t="str">
        <f t="shared" si="364"/>
        <v>x</v>
      </c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2"/>
      <c r="IK69" s="111"/>
      <c r="IL69" s="111"/>
      <c r="IM69" s="111"/>
      <c r="IN69" s="111"/>
      <c r="IO69" s="111"/>
      <c r="IP69" s="112"/>
      <c r="IQ69" s="112"/>
      <c r="IR69" s="111"/>
      <c r="IS69" s="111"/>
      <c r="IT69" s="111"/>
      <c r="IU69" s="112" t="str">
        <f t="shared" si="341"/>
        <v>x</v>
      </c>
      <c r="IV69" s="112"/>
      <c r="IW69" s="112"/>
      <c r="IX69" s="112" t="str">
        <f t="shared" si="342"/>
        <v>x</v>
      </c>
      <c r="IY69" s="111"/>
      <c r="IZ69" s="111"/>
      <c r="JA69" s="111"/>
      <c r="JB69" s="112"/>
      <c r="JC69" s="111"/>
      <c r="JD69" s="112"/>
      <c r="JE69" s="112"/>
      <c r="JF69" s="111"/>
      <c r="JG69" s="111"/>
      <c r="JH69" s="111"/>
      <c r="JI69" s="112"/>
      <c r="JJ69" s="112"/>
      <c r="JK69" s="112"/>
      <c r="JL69" s="112"/>
      <c r="JM69" s="112"/>
      <c r="JN69" s="112"/>
      <c r="JO69" s="112"/>
      <c r="JP69" s="112"/>
      <c r="JQ69" s="112" t="str">
        <f t="shared" si="343"/>
        <v>x</v>
      </c>
      <c r="JR69" s="112"/>
      <c r="JS69" s="111"/>
      <c r="JT69" s="111"/>
      <c r="JU69" s="111"/>
      <c r="JV69" s="112"/>
      <c r="JW69" s="112"/>
      <c r="JX69" s="111"/>
      <c r="JY69" s="111"/>
      <c r="JZ69" s="111"/>
      <c r="KA69" s="111"/>
      <c r="KB69" s="111"/>
      <c r="KC69" s="111"/>
      <c r="KD69" s="111"/>
      <c r="KE69" s="111"/>
      <c r="KF69" s="111"/>
      <c r="KG69" s="111"/>
      <c r="KH69" s="111"/>
      <c r="KI69" s="111"/>
      <c r="KJ69" s="111"/>
      <c r="KK69" s="111"/>
      <c r="KL69" s="111"/>
      <c r="KM69" s="111"/>
      <c r="KN69" s="111"/>
      <c r="KO69" s="111"/>
      <c r="KP69" s="111"/>
      <c r="KQ69" s="111"/>
      <c r="KR69" s="111"/>
      <c r="KS69" s="111"/>
      <c r="KT69" s="111"/>
      <c r="KU69" s="111"/>
      <c r="KV69" s="111"/>
      <c r="KW69" s="111"/>
      <c r="KX69" s="111"/>
      <c r="KY69" s="111"/>
      <c r="KZ69" s="111"/>
      <c r="LA69" s="111"/>
      <c r="LB69" s="111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1"/>
      <c r="ME69" s="111"/>
      <c r="MF69" s="111"/>
      <c r="MG69" s="111"/>
      <c r="MH69" s="111"/>
    </row>
    <row r="70" spans="1:346" x14ac:dyDescent="0.25">
      <c r="A70" s="110" t="s">
        <v>135</v>
      </c>
      <c r="B70" s="101" t="s">
        <v>138</v>
      </c>
      <c r="C70" s="102"/>
      <c r="D70" s="102"/>
      <c r="E70" s="102"/>
      <c r="F70" s="102"/>
      <c r="G70" s="102"/>
      <c r="H70" s="102"/>
      <c r="I70" s="102"/>
      <c r="J70" s="103"/>
      <c r="K70" s="111"/>
      <c r="L70" s="111"/>
      <c r="M70" s="112" t="str">
        <f t="shared" si="344"/>
        <v>x</v>
      </c>
      <c r="N70" s="112"/>
      <c r="O70" s="112"/>
      <c r="P70" s="112"/>
      <c r="Q70" s="112"/>
      <c r="R70" s="112"/>
      <c r="S70" s="112"/>
      <c r="T70" s="112"/>
      <c r="U70" s="112"/>
      <c r="V70" s="111"/>
      <c r="W70" s="112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2"/>
      <c r="AO70" s="112"/>
      <c r="AP70" s="112"/>
      <c r="AQ70" s="112"/>
      <c r="AR70" s="112"/>
      <c r="AS70" s="112"/>
      <c r="AT70" s="112"/>
      <c r="AU70" s="113"/>
      <c r="AV70" s="114" t="str">
        <f t="shared" si="345"/>
        <v>x</v>
      </c>
      <c r="AW70" s="114" t="str">
        <f t="shared" si="346"/>
        <v>x</v>
      </c>
      <c r="AX70" s="111"/>
      <c r="AY70" s="111"/>
      <c r="AZ70" s="112" t="str">
        <f t="shared" si="347"/>
        <v>x</v>
      </c>
      <c r="BA70" s="112" t="str">
        <f t="shared" si="348"/>
        <v>x</v>
      </c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2" t="str">
        <f t="shared" si="349"/>
        <v>x</v>
      </c>
      <c r="BS70" s="112"/>
      <c r="BT70" s="111"/>
      <c r="BU70" s="112" t="str">
        <f t="shared" si="350"/>
        <v>x</v>
      </c>
      <c r="BV70" s="112"/>
      <c r="BW70" s="112"/>
      <c r="BX70" s="112"/>
      <c r="BY70" s="112"/>
      <c r="BZ70" s="112" t="str">
        <f t="shared" si="351"/>
        <v>x</v>
      </c>
      <c r="CA70" s="112" t="str">
        <f t="shared" si="352"/>
        <v>x</v>
      </c>
      <c r="CB70" s="112" t="str">
        <f t="shared" si="353"/>
        <v>x</v>
      </c>
      <c r="CC70" s="112"/>
      <c r="CD70" s="112"/>
      <c r="CE70" s="111"/>
      <c r="CF70" s="111"/>
      <c r="CG70" s="111"/>
      <c r="CH70" s="111"/>
      <c r="CI70" s="112" t="str">
        <f t="shared" si="354"/>
        <v>x</v>
      </c>
      <c r="CJ70" s="112" t="str">
        <f t="shared" si="355"/>
        <v>x</v>
      </c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5"/>
      <c r="DC70" s="112"/>
      <c r="DD70" s="112"/>
      <c r="DE70" s="112" t="str">
        <f t="shared" si="356"/>
        <v>x</v>
      </c>
      <c r="DF70" s="115" t="str">
        <f t="shared" si="357"/>
        <v>x</v>
      </c>
      <c r="DG70" s="112" t="str">
        <f t="shared" si="358"/>
        <v>x</v>
      </c>
      <c r="DH70" s="112" t="str">
        <f t="shared" si="359"/>
        <v>x</v>
      </c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2"/>
      <c r="DU70" s="112" t="str">
        <f t="shared" si="332"/>
        <v>x</v>
      </c>
      <c r="DV70" s="111"/>
      <c r="DW70" s="111"/>
      <c r="DX70" s="111"/>
      <c r="DY70" s="111"/>
      <c r="DZ70" s="111"/>
      <c r="EA70" s="112"/>
      <c r="EB70" s="111"/>
      <c r="EC70" s="111"/>
      <c r="ED70" s="111"/>
      <c r="EE70" s="111"/>
      <c r="EF70" s="111"/>
      <c r="EG70" s="111"/>
      <c r="EH70" s="111"/>
      <c r="EI70" s="112"/>
      <c r="EJ70" s="112"/>
      <c r="EK70" s="111"/>
      <c r="EL70" s="112" t="str">
        <f t="shared" si="333"/>
        <v>x</v>
      </c>
      <c r="EM70" s="111"/>
      <c r="EN70" s="111"/>
      <c r="EO70" s="117" t="str">
        <f t="shared" si="360"/>
        <v>x</v>
      </c>
      <c r="EP70" s="117" t="str">
        <f t="shared" si="335"/>
        <v>x</v>
      </c>
      <c r="EQ70" s="112" t="str">
        <f t="shared" si="336"/>
        <v>x</v>
      </c>
      <c r="ER70" s="112"/>
      <c r="ES70" s="112"/>
      <c r="ET70" s="111"/>
      <c r="EU70" s="111"/>
      <c r="EV70" s="112" t="str">
        <f t="shared" si="337"/>
        <v>x</v>
      </c>
      <c r="EW70" s="111"/>
      <c r="EX70" s="111"/>
      <c r="EY70" s="111"/>
      <c r="EZ70" s="111"/>
      <c r="FA70" s="111"/>
      <c r="FB70" s="111"/>
      <c r="FC70" s="112" t="str">
        <f t="shared" si="361"/>
        <v>x</v>
      </c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2" t="str">
        <f t="shared" si="362"/>
        <v>x</v>
      </c>
      <c r="HC70" s="111"/>
      <c r="HD70" s="111"/>
      <c r="HE70" s="111"/>
      <c r="HF70" s="111"/>
      <c r="HG70" s="111"/>
      <c r="HH70" s="111"/>
      <c r="HI70" s="111"/>
      <c r="HJ70" s="112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2" t="str">
        <f t="shared" si="363"/>
        <v>x</v>
      </c>
      <c r="HY70" s="112" t="str">
        <f t="shared" si="364"/>
        <v>x</v>
      </c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2"/>
      <c r="IK70" s="111"/>
      <c r="IL70" s="111"/>
      <c r="IM70" s="111"/>
      <c r="IN70" s="111"/>
      <c r="IO70" s="111"/>
      <c r="IP70" s="112"/>
      <c r="IQ70" s="112"/>
      <c r="IR70" s="111"/>
      <c r="IS70" s="111"/>
      <c r="IT70" s="111"/>
      <c r="IU70" s="112" t="str">
        <f t="shared" si="341"/>
        <v>x</v>
      </c>
      <c r="IV70" s="112"/>
      <c r="IW70" s="112"/>
      <c r="IX70" s="112" t="str">
        <f t="shared" si="342"/>
        <v>x</v>
      </c>
      <c r="IY70" s="111"/>
      <c r="IZ70" s="111"/>
      <c r="JA70" s="111"/>
      <c r="JB70" s="112"/>
      <c r="JC70" s="111"/>
      <c r="JD70" s="112"/>
      <c r="JE70" s="112"/>
      <c r="JF70" s="111"/>
      <c r="JG70" s="111"/>
      <c r="JH70" s="111"/>
      <c r="JI70" s="112"/>
      <c r="JJ70" s="112"/>
      <c r="JK70" s="112"/>
      <c r="JL70" s="112"/>
      <c r="JM70" s="112"/>
      <c r="JN70" s="112"/>
      <c r="JO70" s="112"/>
      <c r="JP70" s="112"/>
      <c r="JQ70" s="112" t="str">
        <f t="shared" si="343"/>
        <v>x</v>
      </c>
      <c r="JR70" s="112"/>
      <c r="JS70" s="111"/>
      <c r="JT70" s="111"/>
      <c r="JU70" s="111"/>
      <c r="JV70" s="112"/>
      <c r="JW70" s="112"/>
      <c r="JX70" s="111"/>
      <c r="JY70" s="111"/>
      <c r="JZ70" s="111"/>
      <c r="KA70" s="111"/>
      <c r="KB70" s="111"/>
      <c r="KC70" s="111"/>
      <c r="KD70" s="111"/>
      <c r="KE70" s="111"/>
      <c r="KF70" s="111"/>
      <c r="KG70" s="111"/>
      <c r="KH70" s="111"/>
      <c r="KI70" s="111"/>
      <c r="KJ70" s="111"/>
      <c r="KK70" s="111"/>
      <c r="KL70" s="111"/>
      <c r="KM70" s="111"/>
      <c r="KN70" s="111"/>
      <c r="KO70" s="111"/>
      <c r="KP70" s="111"/>
      <c r="KQ70" s="111"/>
      <c r="KR70" s="111"/>
      <c r="KS70" s="111"/>
      <c r="KT70" s="111"/>
      <c r="KU70" s="111"/>
      <c r="KV70" s="111"/>
      <c r="KW70" s="111"/>
      <c r="KX70" s="111"/>
      <c r="KY70" s="111"/>
      <c r="KZ70" s="111"/>
      <c r="LA70" s="111"/>
      <c r="LB70" s="111"/>
      <c r="LC70" s="111"/>
      <c r="LD70" s="111"/>
      <c r="LE70" s="111"/>
      <c r="LF70" s="111"/>
      <c r="LG70" s="111"/>
      <c r="LH70" s="111"/>
      <c r="LI70" s="111"/>
      <c r="LJ70" s="111"/>
      <c r="LK70" s="111"/>
      <c r="LL70" s="111"/>
      <c r="LM70" s="111"/>
      <c r="LN70" s="111"/>
      <c r="LO70" s="111"/>
      <c r="LP70" s="111"/>
      <c r="LQ70" s="111"/>
      <c r="LR70" s="111"/>
      <c r="LS70" s="111"/>
      <c r="LT70" s="111"/>
      <c r="LU70" s="111"/>
      <c r="LV70" s="111"/>
      <c r="LW70" s="111"/>
      <c r="LX70" s="111"/>
      <c r="LY70" s="111"/>
      <c r="LZ70" s="111"/>
      <c r="MA70" s="111"/>
      <c r="MB70" s="111"/>
      <c r="MC70" s="111"/>
      <c r="MD70" s="111"/>
      <c r="ME70" s="111"/>
      <c r="MF70" s="111"/>
      <c r="MG70" s="111"/>
      <c r="MH70" s="111"/>
    </row>
    <row r="71" spans="1:346" x14ac:dyDescent="0.25">
      <c r="A71" s="110" t="s">
        <v>135</v>
      </c>
      <c r="B71" s="101" t="s">
        <v>137</v>
      </c>
      <c r="C71" s="102"/>
      <c r="D71" s="102"/>
      <c r="E71" s="102"/>
      <c r="F71" s="102"/>
      <c r="G71" s="102"/>
      <c r="H71" s="102"/>
      <c r="I71" s="102"/>
      <c r="J71" s="103"/>
      <c r="K71" s="111"/>
      <c r="L71" s="111"/>
      <c r="M71" s="112" t="str">
        <f t="shared" si="344"/>
        <v>x</v>
      </c>
      <c r="N71" s="112"/>
      <c r="O71" s="112"/>
      <c r="P71" s="112"/>
      <c r="Q71" s="112"/>
      <c r="R71" s="112"/>
      <c r="S71" s="112"/>
      <c r="T71" s="112"/>
      <c r="U71" s="112"/>
      <c r="V71" s="111"/>
      <c r="W71" s="112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2"/>
      <c r="AO71" s="112"/>
      <c r="AP71" s="112"/>
      <c r="AQ71" s="112"/>
      <c r="AR71" s="112"/>
      <c r="AS71" s="112"/>
      <c r="AT71" s="112"/>
      <c r="AU71" s="113"/>
      <c r="AV71" s="114" t="str">
        <f t="shared" si="345"/>
        <v>x</v>
      </c>
      <c r="AW71" s="114" t="str">
        <f t="shared" si="346"/>
        <v>x</v>
      </c>
      <c r="AX71" s="111"/>
      <c r="AY71" s="111"/>
      <c r="AZ71" s="112" t="str">
        <f t="shared" si="347"/>
        <v>x</v>
      </c>
      <c r="BA71" s="112" t="str">
        <f t="shared" si="348"/>
        <v>x</v>
      </c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2" t="str">
        <f t="shared" si="349"/>
        <v>x</v>
      </c>
      <c r="BS71" s="112"/>
      <c r="BT71" s="111"/>
      <c r="BU71" s="112" t="str">
        <f t="shared" si="350"/>
        <v>x</v>
      </c>
      <c r="BV71" s="112"/>
      <c r="BW71" s="112"/>
      <c r="BX71" s="112"/>
      <c r="BY71" s="112"/>
      <c r="BZ71" s="112" t="str">
        <f t="shared" si="351"/>
        <v>x</v>
      </c>
      <c r="CA71" s="112" t="str">
        <f t="shared" si="352"/>
        <v>x</v>
      </c>
      <c r="CB71" s="112" t="str">
        <f t="shared" si="353"/>
        <v>x</v>
      </c>
      <c r="CC71" s="112"/>
      <c r="CD71" s="112"/>
      <c r="CE71" s="111"/>
      <c r="CF71" s="111"/>
      <c r="CG71" s="111"/>
      <c r="CH71" s="111"/>
      <c r="CI71" s="112" t="str">
        <f t="shared" si="354"/>
        <v>x</v>
      </c>
      <c r="CJ71" s="112" t="str">
        <f t="shared" si="355"/>
        <v>x</v>
      </c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5"/>
      <c r="DC71" s="112"/>
      <c r="DD71" s="112"/>
      <c r="DE71" s="112" t="str">
        <f t="shared" si="356"/>
        <v>x</v>
      </c>
      <c r="DF71" s="115" t="str">
        <f t="shared" si="357"/>
        <v>x</v>
      </c>
      <c r="DG71" s="112" t="str">
        <f t="shared" si="358"/>
        <v>x</v>
      </c>
      <c r="DH71" s="112" t="str">
        <f t="shared" si="359"/>
        <v>x</v>
      </c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2"/>
      <c r="DU71" s="112" t="str">
        <f t="shared" si="332"/>
        <v>x</v>
      </c>
      <c r="DV71" s="111"/>
      <c r="DW71" s="111"/>
      <c r="DX71" s="111"/>
      <c r="DY71" s="111"/>
      <c r="DZ71" s="111"/>
      <c r="EA71" s="112"/>
      <c r="EB71" s="111"/>
      <c r="EC71" s="111"/>
      <c r="ED71" s="111"/>
      <c r="EE71" s="111"/>
      <c r="EF71" s="111"/>
      <c r="EG71" s="111"/>
      <c r="EH71" s="111"/>
      <c r="EI71" s="112"/>
      <c r="EJ71" s="112"/>
      <c r="EK71" s="111"/>
      <c r="EL71" s="112" t="str">
        <f t="shared" si="333"/>
        <v>x</v>
      </c>
      <c r="EM71" s="111"/>
      <c r="EN71" s="111"/>
      <c r="EO71" s="117" t="str">
        <f t="shared" si="360"/>
        <v>x</v>
      </c>
      <c r="EP71" s="117" t="str">
        <f t="shared" si="335"/>
        <v>x</v>
      </c>
      <c r="EQ71" s="112" t="str">
        <f t="shared" si="336"/>
        <v>x</v>
      </c>
      <c r="ER71" s="112"/>
      <c r="ES71" s="112"/>
      <c r="ET71" s="111"/>
      <c r="EU71" s="111"/>
      <c r="EV71" s="112" t="str">
        <f t="shared" si="337"/>
        <v>x</v>
      </c>
      <c r="EW71" s="111"/>
      <c r="EX71" s="111"/>
      <c r="EY71" s="111"/>
      <c r="EZ71" s="111"/>
      <c r="FA71" s="111"/>
      <c r="FB71" s="111"/>
      <c r="FC71" s="112" t="str">
        <f t="shared" si="361"/>
        <v>x</v>
      </c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2" t="str">
        <f t="shared" si="362"/>
        <v>x</v>
      </c>
      <c r="HC71" s="111"/>
      <c r="HD71" s="111"/>
      <c r="HE71" s="111"/>
      <c r="HF71" s="111"/>
      <c r="HG71" s="111"/>
      <c r="HH71" s="111"/>
      <c r="HI71" s="111"/>
      <c r="HJ71" s="112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2" t="str">
        <f t="shared" si="363"/>
        <v>x</v>
      </c>
      <c r="HY71" s="112" t="str">
        <f t="shared" si="364"/>
        <v>x</v>
      </c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2"/>
      <c r="IK71" s="111"/>
      <c r="IL71" s="111"/>
      <c r="IM71" s="111"/>
      <c r="IN71" s="111"/>
      <c r="IO71" s="111"/>
      <c r="IP71" s="112"/>
      <c r="IQ71" s="112"/>
      <c r="IR71" s="111"/>
      <c r="IS71" s="111"/>
      <c r="IT71" s="111"/>
      <c r="IU71" s="112" t="str">
        <f t="shared" si="341"/>
        <v>x</v>
      </c>
      <c r="IV71" s="112"/>
      <c r="IW71" s="112"/>
      <c r="IX71" s="112" t="str">
        <f t="shared" si="342"/>
        <v>x</v>
      </c>
      <c r="IY71" s="111"/>
      <c r="IZ71" s="111"/>
      <c r="JA71" s="111"/>
      <c r="JB71" s="112"/>
      <c r="JC71" s="111"/>
      <c r="JD71" s="112"/>
      <c r="JE71" s="112"/>
      <c r="JF71" s="111"/>
      <c r="JG71" s="111"/>
      <c r="JH71" s="111"/>
      <c r="JI71" s="112"/>
      <c r="JJ71" s="112"/>
      <c r="JK71" s="112"/>
      <c r="JL71" s="112"/>
      <c r="JM71" s="112"/>
      <c r="JN71" s="112"/>
      <c r="JO71" s="112"/>
      <c r="JP71" s="112"/>
      <c r="JQ71" s="112" t="str">
        <f t="shared" si="343"/>
        <v>x</v>
      </c>
      <c r="JR71" s="112"/>
      <c r="JS71" s="111"/>
      <c r="JT71" s="111"/>
      <c r="JU71" s="111"/>
      <c r="JV71" s="112"/>
      <c r="JW71" s="112"/>
      <c r="JX71" s="111"/>
      <c r="JY71" s="111"/>
      <c r="JZ71" s="111"/>
      <c r="KA71" s="111"/>
      <c r="KB71" s="111"/>
      <c r="KC71" s="111"/>
      <c r="KD71" s="111"/>
      <c r="KE71" s="111"/>
      <c r="KF71" s="111"/>
      <c r="KG71" s="111"/>
      <c r="KH71" s="111"/>
      <c r="KI71" s="111"/>
      <c r="KJ71" s="111"/>
      <c r="KK71" s="111"/>
      <c r="KL71" s="111"/>
      <c r="KM71" s="111"/>
      <c r="KN71" s="111"/>
      <c r="KO71" s="111"/>
      <c r="KP71" s="111"/>
      <c r="KQ71" s="111"/>
      <c r="KR71" s="111"/>
      <c r="KS71" s="111"/>
      <c r="KT71" s="111"/>
      <c r="KU71" s="111"/>
      <c r="KV71" s="111"/>
      <c r="KW71" s="111"/>
      <c r="KX71" s="111"/>
      <c r="KY71" s="111"/>
      <c r="KZ71" s="111"/>
      <c r="LA71" s="111"/>
      <c r="LB71" s="111"/>
      <c r="LC71" s="111"/>
      <c r="LD71" s="111"/>
      <c r="LE71" s="111"/>
      <c r="LF71" s="111"/>
      <c r="LG71" s="111"/>
      <c r="LH71" s="111"/>
      <c r="LI71" s="111"/>
      <c r="LJ71" s="111"/>
      <c r="LK71" s="111"/>
      <c r="LL71" s="111"/>
      <c r="LM71" s="111"/>
      <c r="LN71" s="111"/>
      <c r="LO71" s="111"/>
      <c r="LP71" s="111"/>
      <c r="LQ71" s="111"/>
      <c r="LR71" s="111"/>
      <c r="LS71" s="111"/>
      <c r="LT71" s="111"/>
      <c r="LU71" s="111"/>
      <c r="LV71" s="111"/>
      <c r="LW71" s="111"/>
      <c r="LX71" s="111"/>
      <c r="LY71" s="111"/>
      <c r="LZ71" s="111"/>
      <c r="MA71" s="111"/>
      <c r="MB71" s="111"/>
      <c r="MC71" s="111"/>
      <c r="MD71" s="111"/>
      <c r="ME71" s="111"/>
      <c r="MF71" s="111"/>
      <c r="MG71" s="111"/>
      <c r="MH71" s="111"/>
    </row>
    <row r="72" spans="1:346" x14ac:dyDescent="0.25">
      <c r="A72" s="110" t="s">
        <v>135</v>
      </c>
      <c r="B72" s="101" t="s">
        <v>141</v>
      </c>
      <c r="C72" s="102"/>
      <c r="D72" s="102"/>
      <c r="E72" s="102"/>
      <c r="F72" s="102"/>
      <c r="G72" s="102"/>
      <c r="H72" s="102"/>
      <c r="I72" s="102"/>
      <c r="J72" s="103"/>
      <c r="K72" s="111"/>
      <c r="L72" s="111"/>
      <c r="M72" s="112" t="str">
        <f t="shared" si="344"/>
        <v>x</v>
      </c>
      <c r="N72" s="112"/>
      <c r="O72" s="112"/>
      <c r="P72" s="112"/>
      <c r="Q72" s="112"/>
      <c r="R72" s="112"/>
      <c r="S72" s="112"/>
      <c r="T72" s="112"/>
      <c r="U72" s="112"/>
      <c r="V72" s="111"/>
      <c r="W72" s="112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2"/>
      <c r="AO72" s="112"/>
      <c r="AP72" s="112"/>
      <c r="AQ72" s="112"/>
      <c r="AR72" s="112"/>
      <c r="AS72" s="112"/>
      <c r="AT72" s="112"/>
      <c r="AU72" s="113"/>
      <c r="AV72" s="114" t="str">
        <f t="shared" si="345"/>
        <v>x</v>
      </c>
      <c r="AW72" s="114" t="str">
        <f t="shared" si="346"/>
        <v>x</v>
      </c>
      <c r="AX72" s="111"/>
      <c r="AY72" s="111"/>
      <c r="AZ72" s="112" t="str">
        <f t="shared" si="347"/>
        <v>x</v>
      </c>
      <c r="BA72" s="112" t="str">
        <f t="shared" si="348"/>
        <v>x</v>
      </c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2" t="str">
        <f t="shared" si="349"/>
        <v>x</v>
      </c>
      <c r="BS72" s="112"/>
      <c r="BT72" s="111"/>
      <c r="BU72" s="112" t="str">
        <f t="shared" si="350"/>
        <v>x</v>
      </c>
      <c r="BV72" s="112"/>
      <c r="BW72" s="112"/>
      <c r="BX72" s="112"/>
      <c r="BY72" s="112"/>
      <c r="BZ72" s="112" t="str">
        <f t="shared" si="351"/>
        <v>x</v>
      </c>
      <c r="CA72" s="112" t="str">
        <f t="shared" si="352"/>
        <v>x</v>
      </c>
      <c r="CB72" s="112" t="str">
        <f t="shared" si="353"/>
        <v>x</v>
      </c>
      <c r="CC72" s="112"/>
      <c r="CD72" s="112"/>
      <c r="CE72" s="111"/>
      <c r="CF72" s="111"/>
      <c r="CG72" s="111"/>
      <c r="CH72" s="111"/>
      <c r="CI72" s="112" t="str">
        <f t="shared" si="354"/>
        <v>x</v>
      </c>
      <c r="CJ72" s="112" t="str">
        <f t="shared" si="355"/>
        <v>x</v>
      </c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5"/>
      <c r="DC72" s="112"/>
      <c r="DD72" s="112"/>
      <c r="DE72" s="112" t="str">
        <f t="shared" si="356"/>
        <v>x</v>
      </c>
      <c r="DF72" s="115" t="str">
        <f t="shared" si="357"/>
        <v>x</v>
      </c>
      <c r="DG72" s="112" t="str">
        <f t="shared" si="358"/>
        <v>x</v>
      </c>
      <c r="DH72" s="112" t="str">
        <f t="shared" si="359"/>
        <v>x</v>
      </c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2"/>
      <c r="DU72" s="112" t="str">
        <f t="shared" si="332"/>
        <v>x</v>
      </c>
      <c r="DV72" s="111"/>
      <c r="DW72" s="111"/>
      <c r="DX72" s="111"/>
      <c r="DY72" s="111"/>
      <c r="DZ72" s="111"/>
      <c r="EA72" s="112"/>
      <c r="EB72" s="111"/>
      <c r="EC72" s="111"/>
      <c r="ED72" s="111"/>
      <c r="EE72" s="111"/>
      <c r="EF72" s="111"/>
      <c r="EG72" s="111"/>
      <c r="EH72" s="111"/>
      <c r="EI72" s="112"/>
      <c r="EJ72" s="112"/>
      <c r="EK72" s="111"/>
      <c r="EL72" s="112" t="str">
        <f t="shared" si="333"/>
        <v>x</v>
      </c>
      <c r="EM72" s="111"/>
      <c r="EN72" s="111"/>
      <c r="EO72" s="117" t="str">
        <f t="shared" si="360"/>
        <v>x</v>
      </c>
      <c r="EP72" s="117" t="str">
        <f t="shared" si="335"/>
        <v>x</v>
      </c>
      <c r="EQ72" s="112" t="str">
        <f t="shared" si="336"/>
        <v>x</v>
      </c>
      <c r="ER72" s="112"/>
      <c r="ES72" s="112"/>
      <c r="ET72" s="111"/>
      <c r="EU72" s="111"/>
      <c r="EV72" s="112" t="str">
        <f t="shared" si="337"/>
        <v>x</v>
      </c>
      <c r="EW72" s="111"/>
      <c r="EX72" s="111"/>
      <c r="EY72" s="111"/>
      <c r="EZ72" s="111"/>
      <c r="FA72" s="111"/>
      <c r="FB72" s="111"/>
      <c r="FC72" s="112" t="str">
        <f t="shared" si="361"/>
        <v>x</v>
      </c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2" t="str">
        <f t="shared" si="362"/>
        <v>x</v>
      </c>
      <c r="HC72" s="111"/>
      <c r="HD72" s="111"/>
      <c r="HE72" s="111"/>
      <c r="HF72" s="111"/>
      <c r="HG72" s="111"/>
      <c r="HH72" s="111"/>
      <c r="HI72" s="111"/>
      <c r="HJ72" s="112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2" t="str">
        <f t="shared" si="363"/>
        <v>x</v>
      </c>
      <c r="HY72" s="112" t="str">
        <f t="shared" si="364"/>
        <v>x</v>
      </c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2"/>
      <c r="IK72" s="111"/>
      <c r="IL72" s="111"/>
      <c r="IM72" s="111"/>
      <c r="IN72" s="111"/>
      <c r="IO72" s="111"/>
      <c r="IP72" s="112"/>
      <c r="IQ72" s="112"/>
      <c r="IR72" s="111"/>
      <c r="IS72" s="111"/>
      <c r="IT72" s="111"/>
      <c r="IU72" s="112" t="str">
        <f t="shared" si="341"/>
        <v>x</v>
      </c>
      <c r="IV72" s="112"/>
      <c r="IW72" s="112"/>
      <c r="IX72" s="112" t="str">
        <f t="shared" si="342"/>
        <v>x</v>
      </c>
      <c r="IY72" s="111"/>
      <c r="IZ72" s="111"/>
      <c r="JA72" s="111"/>
      <c r="JB72" s="112"/>
      <c r="JC72" s="111"/>
      <c r="JD72" s="112"/>
      <c r="JE72" s="112"/>
      <c r="JF72" s="111"/>
      <c r="JG72" s="111"/>
      <c r="JH72" s="111"/>
      <c r="JI72" s="112"/>
      <c r="JJ72" s="112"/>
      <c r="JK72" s="112"/>
      <c r="JL72" s="112"/>
      <c r="JM72" s="112"/>
      <c r="JN72" s="112"/>
      <c r="JO72" s="112"/>
      <c r="JP72" s="112"/>
      <c r="JQ72" s="112" t="str">
        <f t="shared" si="343"/>
        <v>x</v>
      </c>
      <c r="JR72" s="112"/>
      <c r="JS72" s="111"/>
      <c r="JT72" s="111"/>
      <c r="JU72" s="111"/>
      <c r="JV72" s="112"/>
      <c r="JW72" s="112"/>
      <c r="JX72" s="111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</row>
    <row r="73" spans="1:346" x14ac:dyDescent="0.25">
      <c r="A73" s="110" t="s">
        <v>135</v>
      </c>
      <c r="B73" s="101" t="s">
        <v>91</v>
      </c>
      <c r="C73" s="102"/>
      <c r="D73" s="102"/>
      <c r="E73" s="102"/>
      <c r="F73" s="102"/>
      <c r="G73" s="102"/>
      <c r="H73" s="102"/>
      <c r="I73" s="102"/>
      <c r="J73" s="103"/>
      <c r="K73" s="111"/>
      <c r="L73" s="111"/>
      <c r="M73" s="112" t="str">
        <f t="shared" si="344"/>
        <v>x</v>
      </c>
      <c r="N73" s="112"/>
      <c r="O73" s="112"/>
      <c r="P73" s="112"/>
      <c r="Q73" s="112"/>
      <c r="R73" s="112"/>
      <c r="S73" s="112"/>
      <c r="T73" s="112"/>
      <c r="U73" s="112"/>
      <c r="V73" s="111"/>
      <c r="W73" s="112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2"/>
      <c r="AO73" s="112"/>
      <c r="AP73" s="112"/>
      <c r="AQ73" s="112"/>
      <c r="AR73" s="112"/>
      <c r="AS73" s="112"/>
      <c r="AT73" s="112"/>
      <c r="AU73" s="113"/>
      <c r="AV73" s="114" t="str">
        <f t="shared" si="345"/>
        <v>x</v>
      </c>
      <c r="AW73" s="114" t="str">
        <f t="shared" si="346"/>
        <v>x</v>
      </c>
      <c r="AX73" s="111"/>
      <c r="AY73" s="111"/>
      <c r="AZ73" s="112" t="str">
        <f t="shared" si="347"/>
        <v>x</v>
      </c>
      <c r="BA73" s="112" t="str">
        <f t="shared" si="348"/>
        <v>x</v>
      </c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2" t="str">
        <f t="shared" si="349"/>
        <v>x</v>
      </c>
      <c r="BS73" s="112"/>
      <c r="BT73" s="111"/>
      <c r="BU73" s="112" t="str">
        <f t="shared" si="350"/>
        <v>x</v>
      </c>
      <c r="BV73" s="112"/>
      <c r="BW73" s="112"/>
      <c r="BX73" s="112"/>
      <c r="BY73" s="112"/>
      <c r="BZ73" s="112" t="str">
        <f t="shared" si="351"/>
        <v>x</v>
      </c>
      <c r="CA73" s="112" t="str">
        <f t="shared" si="352"/>
        <v>x</v>
      </c>
      <c r="CB73" s="112" t="str">
        <f t="shared" si="353"/>
        <v>x</v>
      </c>
      <c r="CC73" s="112"/>
      <c r="CD73" s="112"/>
      <c r="CE73" s="111"/>
      <c r="CF73" s="111"/>
      <c r="CG73" s="111"/>
      <c r="CH73" s="111"/>
      <c r="CI73" s="112" t="str">
        <f t="shared" si="354"/>
        <v>x</v>
      </c>
      <c r="CJ73" s="112" t="str">
        <f t="shared" si="355"/>
        <v>x</v>
      </c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5"/>
      <c r="DC73" s="112"/>
      <c r="DD73" s="112"/>
      <c r="DE73" s="112" t="str">
        <f t="shared" si="356"/>
        <v>x</v>
      </c>
      <c r="DF73" s="115" t="str">
        <f t="shared" si="357"/>
        <v>x</v>
      </c>
      <c r="DG73" s="112" t="str">
        <f t="shared" si="358"/>
        <v>x</v>
      </c>
      <c r="DH73" s="112" t="str">
        <f t="shared" si="359"/>
        <v>x</v>
      </c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2"/>
      <c r="DU73" s="112" t="str">
        <f t="shared" si="332"/>
        <v>x</v>
      </c>
      <c r="DV73" s="111"/>
      <c r="DW73" s="111"/>
      <c r="DX73" s="111"/>
      <c r="DY73" s="111"/>
      <c r="DZ73" s="111"/>
      <c r="EA73" s="112"/>
      <c r="EB73" s="111"/>
      <c r="EC73" s="111"/>
      <c r="ED73" s="111"/>
      <c r="EE73" s="111"/>
      <c r="EF73" s="111"/>
      <c r="EG73" s="111"/>
      <c r="EH73" s="111"/>
      <c r="EI73" s="112"/>
      <c r="EJ73" s="112"/>
      <c r="EK73" s="111"/>
      <c r="EL73" s="112" t="str">
        <f t="shared" si="333"/>
        <v>x</v>
      </c>
      <c r="EM73" s="111"/>
      <c r="EN73" s="111"/>
      <c r="EO73" s="117" t="str">
        <f t="shared" si="360"/>
        <v>x</v>
      </c>
      <c r="EP73" s="117" t="str">
        <f t="shared" si="335"/>
        <v>x</v>
      </c>
      <c r="EQ73" s="112" t="str">
        <f t="shared" si="336"/>
        <v>x</v>
      </c>
      <c r="ER73" s="112"/>
      <c r="ES73" s="112"/>
      <c r="ET73" s="111"/>
      <c r="EU73" s="111"/>
      <c r="EV73" s="112" t="str">
        <f t="shared" si="337"/>
        <v>x</v>
      </c>
      <c r="EW73" s="111"/>
      <c r="EX73" s="111"/>
      <c r="EY73" s="111"/>
      <c r="EZ73" s="111"/>
      <c r="FA73" s="111"/>
      <c r="FB73" s="111"/>
      <c r="FC73" s="112" t="str">
        <f t="shared" si="361"/>
        <v>x</v>
      </c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2" t="str">
        <f t="shared" si="362"/>
        <v>x</v>
      </c>
      <c r="HC73" s="111"/>
      <c r="HD73" s="111"/>
      <c r="HE73" s="111"/>
      <c r="HF73" s="111"/>
      <c r="HG73" s="111"/>
      <c r="HH73" s="111"/>
      <c r="HI73" s="111"/>
      <c r="HJ73" s="112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2" t="str">
        <f t="shared" si="363"/>
        <v>x</v>
      </c>
      <c r="HY73" s="112" t="str">
        <f t="shared" si="364"/>
        <v>x</v>
      </c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2"/>
      <c r="IK73" s="111"/>
      <c r="IL73" s="111"/>
      <c r="IM73" s="111"/>
      <c r="IN73" s="111"/>
      <c r="IO73" s="111"/>
      <c r="IP73" s="112"/>
      <c r="IQ73" s="112"/>
      <c r="IR73" s="111"/>
      <c r="IS73" s="111"/>
      <c r="IT73" s="111"/>
      <c r="IU73" s="112" t="str">
        <f t="shared" si="341"/>
        <v>x</v>
      </c>
      <c r="IV73" s="112"/>
      <c r="IW73" s="112"/>
      <c r="IX73" s="112" t="str">
        <f t="shared" si="342"/>
        <v>x</v>
      </c>
      <c r="IY73" s="111"/>
      <c r="IZ73" s="111"/>
      <c r="JA73" s="111"/>
      <c r="JB73" s="112"/>
      <c r="JC73" s="111"/>
      <c r="JD73" s="112"/>
      <c r="JE73" s="112"/>
      <c r="JF73" s="111"/>
      <c r="JG73" s="111"/>
      <c r="JH73" s="111"/>
      <c r="JI73" s="112"/>
      <c r="JJ73" s="112"/>
      <c r="JK73" s="112"/>
      <c r="JL73" s="112"/>
      <c r="JM73" s="112"/>
      <c r="JN73" s="112"/>
      <c r="JO73" s="112"/>
      <c r="JP73" s="112"/>
      <c r="JQ73" s="112" t="str">
        <f t="shared" si="343"/>
        <v>x</v>
      </c>
      <c r="JR73" s="112"/>
      <c r="JS73" s="111"/>
      <c r="JT73" s="111"/>
      <c r="JU73" s="111"/>
      <c r="JV73" s="112"/>
      <c r="JW73" s="112"/>
      <c r="JX73" s="111"/>
      <c r="JY73" s="111"/>
      <c r="JZ73" s="111"/>
      <c r="KA73" s="111"/>
      <c r="KB73" s="111"/>
      <c r="KC73" s="111"/>
      <c r="KD73" s="111"/>
      <c r="KE73" s="111"/>
      <c r="KF73" s="111"/>
      <c r="KG73" s="111"/>
      <c r="KH73" s="111"/>
      <c r="KI73" s="111"/>
      <c r="KJ73" s="111"/>
      <c r="KK73" s="111"/>
      <c r="KL73" s="111"/>
      <c r="KM73" s="111"/>
      <c r="KN73" s="111"/>
      <c r="KO73" s="111"/>
      <c r="KP73" s="111"/>
      <c r="KQ73" s="111"/>
      <c r="KR73" s="111"/>
      <c r="KS73" s="111"/>
      <c r="KT73" s="111"/>
      <c r="KU73" s="111"/>
      <c r="KV73" s="111"/>
      <c r="KW73" s="111"/>
      <c r="KX73" s="111"/>
      <c r="KY73" s="111"/>
      <c r="KZ73" s="111"/>
      <c r="LA73" s="111"/>
      <c r="LB73" s="111"/>
      <c r="LC73" s="111"/>
      <c r="LD73" s="111"/>
      <c r="LE73" s="111"/>
      <c r="LF73" s="111"/>
      <c r="LG73" s="111"/>
      <c r="LH73" s="111"/>
      <c r="LI73" s="111"/>
      <c r="LJ73" s="111"/>
      <c r="LK73" s="111"/>
      <c r="LL73" s="111"/>
      <c r="LM73" s="111"/>
      <c r="LN73" s="111"/>
      <c r="LO73" s="111"/>
      <c r="LP73" s="111"/>
      <c r="LQ73" s="111"/>
      <c r="LR73" s="111"/>
      <c r="LS73" s="111"/>
      <c r="LT73" s="111"/>
      <c r="LU73" s="111"/>
      <c r="LV73" s="111"/>
      <c r="LW73" s="111"/>
      <c r="LX73" s="111"/>
      <c r="LY73" s="111"/>
      <c r="LZ73" s="111"/>
      <c r="MA73" s="111"/>
      <c r="MB73" s="111"/>
      <c r="MC73" s="111"/>
      <c r="MD73" s="111"/>
      <c r="ME73" s="111"/>
      <c r="MF73" s="111"/>
      <c r="MG73" s="111"/>
      <c r="MH73" s="111"/>
    </row>
    <row r="74" spans="1:346" x14ac:dyDescent="0.25">
      <c r="A74" s="101" t="s">
        <v>2</v>
      </c>
      <c r="B74" s="102"/>
      <c r="C74" s="102"/>
      <c r="D74" s="102"/>
      <c r="E74" s="102"/>
      <c r="F74" s="102"/>
      <c r="G74" s="102"/>
      <c r="H74" s="102"/>
      <c r="I74" s="102"/>
      <c r="J74" s="103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6"/>
      <c r="AV74" s="106"/>
      <c r="AW74" s="106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9"/>
      <c r="EP74" s="109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5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4"/>
      <c r="JJ74" s="104"/>
      <c r="JK74" s="104"/>
      <c r="JL74" s="104"/>
      <c r="JM74" s="104"/>
      <c r="JN74" s="104"/>
      <c r="JO74" s="104"/>
      <c r="JP74" s="104"/>
      <c r="JQ74" s="104"/>
      <c r="JR74" s="104"/>
      <c r="JS74" s="104"/>
      <c r="JT74" s="104"/>
      <c r="JU74" s="104"/>
      <c r="JV74" s="104"/>
      <c r="JW74" s="104"/>
      <c r="JX74" s="104"/>
      <c r="JY74" s="104"/>
      <c r="JZ74" s="104"/>
      <c r="KA74" s="104"/>
      <c r="KB74" s="104"/>
      <c r="KC74" s="104"/>
      <c r="KD74" s="104"/>
      <c r="KE74" s="104"/>
      <c r="KF74" s="104"/>
      <c r="KG74" s="104"/>
      <c r="KH74" s="104"/>
      <c r="KI74" s="104"/>
      <c r="KJ74" s="104"/>
      <c r="KK74" s="104"/>
      <c r="KL74" s="104"/>
      <c r="KM74" s="104"/>
      <c r="KN74" s="104"/>
      <c r="KO74" s="104"/>
      <c r="KP74" s="104"/>
      <c r="KQ74" s="104"/>
      <c r="KR74" s="104"/>
      <c r="KS74" s="104"/>
      <c r="KT74" s="104"/>
      <c r="KU74" s="104"/>
      <c r="KV74" s="104"/>
      <c r="KW74" s="104"/>
      <c r="KX74" s="104"/>
      <c r="KY74" s="104"/>
      <c r="KZ74" s="104"/>
      <c r="LA74" s="104"/>
      <c r="LB74" s="104"/>
      <c r="LC74" s="104"/>
      <c r="LD74" s="104"/>
      <c r="LE74" s="104"/>
      <c r="LF74" s="104"/>
      <c r="LG74" s="104"/>
      <c r="LH74" s="104"/>
      <c r="LI74" s="104"/>
      <c r="LJ74" s="104"/>
      <c r="LK74" s="104"/>
      <c r="LL74" s="104"/>
      <c r="LM74" s="104"/>
      <c r="LN74" s="104"/>
      <c r="LO74" s="104"/>
      <c r="LP74" s="104"/>
      <c r="LQ74" s="104"/>
      <c r="LR74" s="104"/>
      <c r="LS74" s="104"/>
      <c r="LT74" s="104"/>
      <c r="LU74" s="104"/>
      <c r="LV74" s="104"/>
      <c r="LW74" s="104"/>
      <c r="LX74" s="104"/>
      <c r="LY74" s="104"/>
      <c r="LZ74" s="104"/>
      <c r="MA74" s="104"/>
      <c r="MB74" s="104"/>
      <c r="MC74" s="104"/>
      <c r="MD74" s="104"/>
      <c r="ME74" s="104"/>
      <c r="MF74" s="104"/>
      <c r="MG74" s="104"/>
      <c r="MH74" s="104"/>
    </row>
    <row r="75" spans="1:346" x14ac:dyDescent="0.25">
      <c r="A75" s="110" t="s">
        <v>2</v>
      </c>
      <c r="B75" s="101" t="s">
        <v>26</v>
      </c>
      <c r="C75" s="102"/>
      <c r="D75" s="102"/>
      <c r="E75" s="102"/>
      <c r="F75" s="102"/>
      <c r="G75" s="102"/>
      <c r="H75" s="102"/>
      <c r="I75" s="102"/>
      <c r="J75" s="103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3"/>
      <c r="AV75" s="114" t="str">
        <f t="shared" ref="AV75:AV76" si="365">HYPERLINK("http://sab.landtag.sachsen.de/dokumente/landtagskurier/SAB_DeutschLernen_DinA5_WEB141115.pdf","x")</f>
        <v>x</v>
      </c>
      <c r="AW75" s="114" t="str">
        <f t="shared" ref="AW75:AW76" si="366">HYPERLINK("http://sab.landtag.sachsen.de/dokumente/landtagskurier/SAB_PL_Lernposter_WEB091115.pdf","x")</f>
        <v>x</v>
      </c>
      <c r="AX75" s="111"/>
      <c r="AY75" s="111"/>
      <c r="AZ75" s="112" t="str">
        <f t="shared" ref="AZ75:AZ76" si="36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75" s="112" t="str">
        <f t="shared" ref="BA75:BA76" si="368">HYPERLINK("http://wie-kann-ich-helfen.info/WoerterbuchAnalphabet_innen_%28c%29_Dagmar_Schmeelcke.pdf","x")</f>
        <v>x</v>
      </c>
      <c r="BB75" s="111"/>
      <c r="BC75" s="111"/>
      <c r="BD75" s="111"/>
      <c r="BE75" s="111"/>
      <c r="BF75" s="111"/>
      <c r="BG75" s="112" t="str">
        <f t="shared" ref="BG75:BG76" si="369">HYPERLINK("http://www.refugeephrasebook.de/pdf/germany150920.pdf","x")</f>
        <v>x</v>
      </c>
      <c r="BH75" s="112" t="str">
        <f>HYPERLINK("https://www.advanced-online.eu/downloads/RefugeePhrasebookCards_German-Dari.pdf","x")</f>
        <v>x</v>
      </c>
      <c r="BI75" s="111"/>
      <c r="BJ75" s="111"/>
      <c r="BK75" s="112" t="str">
        <f>HYPERLINK("http://www.bundessprachenamt.de/deutsch/wir_ueber_uns/nachrichten/2015/20151103/Verständigungshilfe_Dari_07_12_2015.pdf","x")</f>
        <v>x</v>
      </c>
      <c r="BL75" s="112" t="str">
        <f t="shared" ref="BL75:BL76" si="370">HYPERLINK("http://www.frnrw.de/images/Aus_den_Initiativen/Ehrenamtler/2015/Dictionary_x10_print-2.pdf","x")</f>
        <v>x</v>
      </c>
      <c r="BM75" s="111"/>
      <c r="BN75" s="112" t="str">
        <f>HYPERLINK("http://mylanguages.org/dari_phrases.php","x")</f>
        <v>x</v>
      </c>
      <c r="BO75" s="112" t="str">
        <f>HYPERLINK("https://www.friedensdorf.de/documents/Woerterbuch_Dari.pdf","x")</f>
        <v>x</v>
      </c>
      <c r="BP75" s="111"/>
      <c r="BQ75" s="111"/>
      <c r="BR75" s="112" t="str">
        <f t="shared" ref="BR75:BR76" si="371">HYPERLINK("http://www.goethe.de/lrn/prj/wnd/deu/lti/deindex.htm#13322010","x")</f>
        <v>x</v>
      </c>
      <c r="BS75" s="112"/>
      <c r="BT75" s="111"/>
      <c r="BU75" s="112" t="str">
        <f t="shared" ref="BU75:BU76" si="372">HYPERLINK("https://s3-eu-west-1.amazonaws.com/lingolia/download/lingolia_daf.pdf","x")</f>
        <v>x</v>
      </c>
      <c r="BV75" s="112"/>
      <c r="BW75" s="112"/>
      <c r="BX75" s="112"/>
      <c r="BY75" s="112"/>
      <c r="BZ75" s="112" t="str">
        <f t="shared" ref="BZ75:BZ76" si="373">HYPERLINK("http://www.hueber.de/shared/uebungen/schritte-plus","x")</f>
        <v>x</v>
      </c>
      <c r="CA75" s="112" t="str">
        <f t="shared" ref="CA75:CA76" si="374">HYPERLINK("https://www.hueber.de/shared/uebungen/menschen-hier/ab/a1-1/menu.html","x")</f>
        <v>x</v>
      </c>
      <c r="CB75" s="112" t="str">
        <f t="shared" ref="CB75:CB76" si="375">HYPERLINK("http://www.goethe-verlag.com/DE/","x")</f>
        <v>x</v>
      </c>
      <c r="CC75" s="112"/>
      <c r="CD75" s="112"/>
      <c r="CE75" s="111"/>
      <c r="CF75" s="111"/>
      <c r="CG75" s="111"/>
      <c r="CH75" s="111"/>
      <c r="CI75" s="111"/>
      <c r="CJ75" s="112" t="str">
        <f t="shared" ref="CJ75:CJ76" si="376">HYPERLINK("http://www.e-migrantinnen.de/index.php?de_wichtige-links","x")</f>
        <v>x</v>
      </c>
      <c r="CK75" s="112"/>
      <c r="CL75" s="112"/>
      <c r="CM75" s="112"/>
      <c r="CN75" s="112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2"/>
      <c r="CZ75" s="112"/>
      <c r="DA75" s="112"/>
      <c r="DB75" s="115"/>
      <c r="DC75" s="112"/>
      <c r="DD75" s="112"/>
      <c r="DE75" s="112" t="str">
        <f t="shared" ref="DE75:DE76" si="377">HYPERLINK("http://fi-lohmar-siegburg.de/data/documents/130-37_Inklusion_im_Anfangsunterricht_-_Poster_mit_Situationsbildern.pdf","x")</f>
        <v>x</v>
      </c>
      <c r="DF75" s="115" t="str">
        <f t="shared" ref="DF75:DF76" si="378">HYPERLINK("http://s3-eu-west-1.amazonaws.com/lingolia/calendar/2016/lingolia_2016_de.pdf","x")</f>
        <v>x</v>
      </c>
      <c r="DG75" s="112" t="str">
        <f t="shared" ref="DG75:DG76" si="379">HYPERLINK("http://www.bibliomedia.ch/de/angebote/img/Wimmelbild.jpg","x")</f>
        <v>x</v>
      </c>
      <c r="DH75" s="112" t="str">
        <f t="shared" ref="DH75:DH76" si="380">HYPERLINK("http://www.bibliomedia.ch/de/angebote/dokumente/Wimmelbild_Fehler.jpg","x")</f>
        <v>x</v>
      </c>
      <c r="DI75" s="111"/>
      <c r="DJ75" s="111"/>
      <c r="DK75" s="111"/>
      <c r="DL75" s="111"/>
      <c r="DM75" s="111"/>
      <c r="DN75" s="112" t="str">
        <f t="shared" ref="DN75:DN76" si="381">HYPERLINK("http://www.wdrmaus.de/sachgeschichten/maus-international/","x")</f>
        <v>x</v>
      </c>
      <c r="DO75" s="111"/>
      <c r="DP75" s="111"/>
      <c r="DQ75" s="111"/>
      <c r="DR75" s="111"/>
      <c r="DS75" s="111"/>
      <c r="DT75" s="111"/>
      <c r="DU75" s="112" t="str">
        <f>HYPERLINK("https://www.bmbf.de/pub/KAUSA_Elternratgeber_deutsch_persisch_bf.pdf","x")</f>
        <v>x</v>
      </c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2" t="str">
        <f>HYPERLINK("http://www.kvs-sachsen.de/fileadmin/img/Mitglieder/Asylbewerber/Allg-Informationen/Anlage_1_Dari_LEK.pdf","x")</f>
        <v>x</v>
      </c>
      <c r="EM75" s="112" t="str">
        <f>HYPERLINK("http://www.medizin-hilft-fluechtlingen.de/images/Dokumente/gSch/gSch_dar.pdf","x")</f>
        <v>x</v>
      </c>
      <c r="EN75" s="112"/>
      <c r="EO75" s="118"/>
      <c r="EP75" s="118"/>
      <c r="EQ75" s="112" t="str">
        <f>HYPERLINK("http://www.kvs-sachsen.de/fileadmin/img/Mitglieder/Asylbewerber/Allg-Informationen/151124_Anlage2__1_Erwachsene-DAR.pdf","x")</f>
        <v>x</v>
      </c>
      <c r="ER75" s="112" t="str">
        <f>HYPERLINK("http://www.kvs-sachsen.de/fileadmin/img/Mitglieder/Asylbewerber/Allg-Informationen/151124_Anlage2_2_Kinder-DAR.pdf","x")</f>
        <v>x</v>
      </c>
      <c r="ES75" s="112"/>
      <c r="ET75" s="112" t="str">
        <f>HYPERLINK("http://www.medizin-hilft-fluechtlingen.de/images/Dokumente/ein/ein_far.pdf","x")</f>
        <v>x</v>
      </c>
      <c r="EU75" s="112"/>
      <c r="EV75" s="112" t="str">
        <f t="shared" ref="EV75:EV76" si="382">HYPERLINK("http://www.lak-rlp.de/fileadmin/redakteure/pdf/download/Piktogramme_Dosieretiketten_AoG.pdf","x")</f>
        <v>x</v>
      </c>
      <c r="EW75" s="111"/>
      <c r="EX75" s="111"/>
      <c r="EY75" s="111"/>
      <c r="EZ75" s="111"/>
      <c r="FA75" s="111"/>
      <c r="FB75" s="111"/>
      <c r="FC75" s="112" t="str">
        <f t="shared" ref="FC75:FC76" si="383">HYPERLINK("http://mige.ix-tech.de/index.php?id=241","x")</f>
        <v>x</v>
      </c>
      <c r="FD75" s="112" t="str">
        <f t="shared" ref="FD75:FD76" si="384">HYPERLINK("http://sghanstedt.elbnetz.com/ueber-uns/","x")</f>
        <v>x</v>
      </c>
      <c r="FE75" s="111"/>
      <c r="FF75" s="112" t="str">
        <f t="shared" ref="FF75:FF76" si="385">HYPERLINK("http://www.tipdoc.de/grafik/asyl/Gesundheitsheft_Asyl.pdf","x")</f>
        <v>x</v>
      </c>
      <c r="FG75" s="111"/>
      <c r="FH75" s="111"/>
      <c r="FI75" s="112"/>
      <c r="FJ75" s="112" t="str">
        <f>HYPERLINK("http://www.rki.de/DE/Content/Infekt/Impfen/Materialien/Downloads-Impfkalender/Impfkalender_Dari.pdf?__blob=publicationFile","x")</f>
        <v>x</v>
      </c>
      <c r="FK75" s="111"/>
      <c r="FL75" s="111"/>
      <c r="FM75" s="112"/>
      <c r="FN75" s="112"/>
      <c r="FO75" s="112" t="str">
        <f>HYPERLINK("http://www.rki.de/DE/Content/Infekt/Impfen/Materialien/Downloads-MMR/MMR-Impfinfo-dari.pdf?__blob=publicationFile","x")</f>
        <v>x</v>
      </c>
      <c r="FP75" s="111"/>
      <c r="FQ75" s="112" t="str">
        <f>HYPERLINK("http://www.rki.de/DE/Content/Infekt/Impfen/Materialien/Downloads_HepA/Aufklaerung_HAV-Impfung_dari.pdf?__blob=publicationFile","x")</f>
        <v>x</v>
      </c>
      <c r="FR75" s="112" t="str">
        <f>HYPERLINK("http://www.rki.de/DE/Content/Infekt/Impfen/Materialien/Downloads_Pneumokokken/Aufklaerung_Pneumo-Impfung_Dari.pdf?__blob=publicationFile","x")</f>
        <v>x</v>
      </c>
      <c r="FS75" s="112" t="str">
        <f>HYPERLINK("http://www.rki.de/DE/Content/Infekt/Impfen/Materialien/Downloads-DTaPIPVHibHepB/DTaPIPVHibHepB_dari.pdf?__blob=publicationFile","x")</f>
        <v>x</v>
      </c>
      <c r="FT75" s="112" t="str">
        <f>HYPERLINK("http://www.rki.de/DE/Content/Infekt/Impfen/Materialien/Downloads-Varizellen/Varizellen-Impfinfo-dari.pdf;jsessionid=65B697F4EE7EDA8A1ED9E2C4CD6C74EC.2_cid363?__blob=publicationFile","x")</f>
        <v>x</v>
      </c>
      <c r="FU75" s="112" t="str">
        <f>HYPERLINK("http://www.rki.de/DE/Content/Infekt/Impfen/Materialien/Downloads-Tdap-IPV/Tdap-IPV-dari.pdf?__blob=publicationFile","x")</f>
        <v>x</v>
      </c>
      <c r="FV75" s="112" t="str">
        <f>HYPERLINK("http://www.rki.de/DE/Content/Infekt/Impfen/Materialien/Downloads-Influenza_nasal/Influenza_nasal-dari.pdf?__blob=publicationFile","x")</f>
        <v>x</v>
      </c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2"/>
      <c r="GH75" s="111"/>
      <c r="GI75" s="111"/>
      <c r="GJ75" s="111"/>
      <c r="GK75" s="111"/>
      <c r="GL75" s="112" t="str">
        <f>HYPERLINK("http://www.rki.de/DE/Content/Infekt/Impfen/Materialien/Downloads-Influenza/Influenza-dari.pdf?__blob=publicationFile","x")</f>
        <v>x</v>
      </c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2" t="str">
        <f t="shared" si="48"/>
        <v>x</v>
      </c>
      <c r="HC75" s="111"/>
      <c r="HD75" s="111"/>
      <c r="HE75" s="111"/>
      <c r="HF75" s="111"/>
      <c r="HG75" s="111"/>
      <c r="HH75" s="111"/>
      <c r="HI75" s="111"/>
      <c r="HJ75" s="112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2" t="str">
        <f t="shared" ref="HX75:HX76" si="386">HYPERLINK("http://www.selfhelpfortrauma.org/","x")</f>
        <v>x</v>
      </c>
      <c r="HY75" s="112" t="str">
        <f t="shared" ref="HY75:HY76" si="387">HYPERLINK("http://peacefulheart.se/wp-content/uploads/2014/12/Resolving-Yesterday-20141201-Self-Tapping.pdf","x")</f>
        <v>x</v>
      </c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5" t="str">
        <f>HYPERLINK("http://www.bamf.de/SharedDocs/Anlagen/DE/Publikationen/Flyer/flyer-erstorientierung-asylsuchende_dari.pdf?__blob=publicationFile","x")</f>
        <v>x</v>
      </c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  <c r="IY75" s="111"/>
      <c r="IZ75" s="111"/>
      <c r="JA75" s="111"/>
      <c r="JB75" s="111"/>
      <c r="JC75" s="111"/>
      <c r="JD75" s="111"/>
      <c r="JE75" s="111"/>
      <c r="JF75" s="111"/>
      <c r="JG75" s="111"/>
      <c r="JH75" s="111"/>
      <c r="JI75" s="111"/>
      <c r="JJ75" s="111"/>
      <c r="JK75" s="111"/>
      <c r="JL75" s="111"/>
      <c r="JM75" s="111"/>
      <c r="JN75" s="111"/>
      <c r="JO75" s="111"/>
      <c r="JP75" s="111"/>
      <c r="JQ75" s="111"/>
      <c r="JR75" s="111"/>
      <c r="JS75" s="112" t="str">
        <f>HYPERLINK("http://www.b-umf.de/images/willkommen/willkommensbroschuredari-web.pdf","x")</f>
        <v>x</v>
      </c>
      <c r="JT75" s="111"/>
      <c r="JU75" s="111"/>
      <c r="JV75" s="111"/>
      <c r="JW75" s="111"/>
      <c r="JX75" s="112"/>
      <c r="JY75" s="112"/>
      <c r="JZ75" s="112"/>
      <c r="KA75" s="112" t="str">
        <f>HYPERLINK("http://www.refugeeguide.de/dl/RefugeeGuide_fd_1019.pdf","x")</f>
        <v>x</v>
      </c>
      <c r="KB75" s="111"/>
      <c r="KC75" s="111"/>
      <c r="KD75" s="111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1"/>
      <c r="LC75" s="111"/>
      <c r="LD75" s="111"/>
      <c r="LE75" s="111"/>
      <c r="LF75" s="111"/>
      <c r="LG75" s="111"/>
      <c r="LH75" s="111"/>
      <c r="LI75" s="111"/>
      <c r="LJ75" s="111"/>
      <c r="LK75" s="111"/>
      <c r="LL75" s="111"/>
      <c r="LM75" s="111"/>
      <c r="LN75" s="111"/>
      <c r="LO75" s="111"/>
      <c r="LP75" s="111"/>
      <c r="LQ75" s="111"/>
      <c r="LR75" s="111"/>
      <c r="LS75" s="111"/>
      <c r="LT75" s="111"/>
      <c r="LU75" s="111"/>
      <c r="LV75" s="111"/>
      <c r="LW75" s="111"/>
      <c r="LX75" s="111"/>
      <c r="LY75" s="111"/>
      <c r="LZ75" s="111"/>
      <c r="MA75" s="111"/>
      <c r="MB75" s="111"/>
      <c r="MC75" s="111"/>
      <c r="MD75" s="111"/>
      <c r="ME75" s="111"/>
      <c r="MF75" s="111"/>
      <c r="MG75" s="111"/>
      <c r="MH75" s="111"/>
    </row>
    <row r="76" spans="1:346" x14ac:dyDescent="0.25">
      <c r="A76" s="110" t="s">
        <v>2</v>
      </c>
      <c r="B76" s="101" t="s">
        <v>73</v>
      </c>
      <c r="C76" s="102"/>
      <c r="D76" s="102"/>
      <c r="E76" s="102"/>
      <c r="F76" s="102"/>
      <c r="G76" s="102"/>
      <c r="H76" s="102"/>
      <c r="I76" s="102"/>
      <c r="J76" s="103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3"/>
      <c r="AV76" s="114" t="str">
        <f t="shared" si="365"/>
        <v>x</v>
      </c>
      <c r="AW76" s="114" t="str">
        <f t="shared" si="366"/>
        <v>x</v>
      </c>
      <c r="AX76" s="111"/>
      <c r="AY76" s="111"/>
      <c r="AZ76" s="112" t="str">
        <f t="shared" si="367"/>
        <v>x</v>
      </c>
      <c r="BA76" s="112" t="str">
        <f t="shared" si="368"/>
        <v>x</v>
      </c>
      <c r="BB76" s="111"/>
      <c r="BC76" s="111"/>
      <c r="BD76" s="111"/>
      <c r="BE76" s="111"/>
      <c r="BF76" s="111"/>
      <c r="BG76" s="112" t="str">
        <f t="shared" si="369"/>
        <v>x</v>
      </c>
      <c r="BH76" s="112" t="str">
        <f>HYPERLINK("https://www.advanced-online.eu/downloads/RefugeePhrasebookCards_German-Dari.pdf","x")</f>
        <v>x</v>
      </c>
      <c r="BI76" s="111"/>
      <c r="BJ76" s="111"/>
      <c r="BK76" s="112" t="str">
        <f>HYPERLINK("http://www.bundessprachenamt.de/deutsch/wir_ueber_uns/nachrichten/2015/20151103/Verständigungshilfe_Dari_07_12_2015.pdf","x")</f>
        <v>x</v>
      </c>
      <c r="BL76" s="112" t="str">
        <f t="shared" si="370"/>
        <v>x</v>
      </c>
      <c r="BM76" s="111"/>
      <c r="BN76" s="112" t="str">
        <f>HYPERLINK("http://mylanguages.org/dari_phrases.php","x")</f>
        <v>x</v>
      </c>
      <c r="BO76" s="112" t="str">
        <f t="shared" ref="BO76:BO78" si="388">HYPERLINK("https://www.friedensdorf.de/documents/Woerterbuch_Dari.pdf","x")</f>
        <v>x</v>
      </c>
      <c r="BP76" s="111"/>
      <c r="BQ76" s="111"/>
      <c r="BR76" s="112" t="str">
        <f t="shared" si="371"/>
        <v>x</v>
      </c>
      <c r="BS76" s="112"/>
      <c r="BT76" s="111"/>
      <c r="BU76" s="112" t="str">
        <f t="shared" si="372"/>
        <v>x</v>
      </c>
      <c r="BV76" s="112"/>
      <c r="BW76" s="112"/>
      <c r="BX76" s="112"/>
      <c r="BY76" s="112"/>
      <c r="BZ76" s="112" t="str">
        <f t="shared" si="373"/>
        <v>x</v>
      </c>
      <c r="CA76" s="112" t="str">
        <f t="shared" si="374"/>
        <v>x</v>
      </c>
      <c r="CB76" s="112" t="str">
        <f t="shared" si="375"/>
        <v>x</v>
      </c>
      <c r="CC76" s="112"/>
      <c r="CD76" s="112"/>
      <c r="CE76" s="111"/>
      <c r="CF76" s="111"/>
      <c r="CG76" s="111"/>
      <c r="CH76" s="111"/>
      <c r="CI76" s="111"/>
      <c r="CJ76" s="112" t="str">
        <f t="shared" si="376"/>
        <v>x</v>
      </c>
      <c r="CK76" s="112"/>
      <c r="CL76" s="112"/>
      <c r="CM76" s="112"/>
      <c r="CN76" s="112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2"/>
      <c r="CZ76" s="112"/>
      <c r="DA76" s="112"/>
      <c r="DB76" s="115"/>
      <c r="DC76" s="112"/>
      <c r="DD76" s="112"/>
      <c r="DE76" s="112" t="str">
        <f t="shared" si="377"/>
        <v>x</v>
      </c>
      <c r="DF76" s="115" t="str">
        <f t="shared" si="378"/>
        <v>x</v>
      </c>
      <c r="DG76" s="112" t="str">
        <f t="shared" si="379"/>
        <v>x</v>
      </c>
      <c r="DH76" s="112" t="str">
        <f t="shared" si="380"/>
        <v>x</v>
      </c>
      <c r="DI76" s="111"/>
      <c r="DJ76" s="111"/>
      <c r="DK76" s="111"/>
      <c r="DL76" s="111"/>
      <c r="DM76" s="111"/>
      <c r="DN76" s="112" t="str">
        <f t="shared" si="381"/>
        <v>x</v>
      </c>
      <c r="DO76" s="111"/>
      <c r="DP76" s="111"/>
      <c r="DQ76" s="111"/>
      <c r="DR76" s="111"/>
      <c r="DS76" s="111"/>
      <c r="DT76" s="111"/>
      <c r="DU76" s="112" t="str">
        <f>HYPERLINK("https://www.bmbf.de/pub/KAUSA_Elternratgeber_deutsch_persisch_bf.pdf","x")</f>
        <v>x</v>
      </c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2" t="str">
        <f>HYPERLINK("http://www.kvs-sachsen.de/fileadmin/img/Mitglieder/Asylbewerber/Allg-Informationen/Anlage_1_Dari_LEK.pdf","x")</f>
        <v>x</v>
      </c>
      <c r="EM76" s="112" t="str">
        <f>HYPERLINK("http://www.medizin-hilft-fluechtlingen.de/images/Dokumente/gSch/gSch_dar.pdf","x")</f>
        <v>x</v>
      </c>
      <c r="EN76" s="112"/>
      <c r="EO76" s="118"/>
      <c r="EP76" s="118"/>
      <c r="EQ76" s="112" t="str">
        <f>HYPERLINK("http://www.kvs-sachsen.de/fileadmin/img/Mitglieder/Asylbewerber/Allg-Informationen/151124_Anlage2__1_Erwachsene-DAR.pdf","x")</f>
        <v>x</v>
      </c>
      <c r="ER76" s="112" t="str">
        <f>HYPERLINK("http://www.kvs-sachsen.de/fileadmin/img/Mitglieder/Asylbewerber/Allg-Informationen/151124_Anlage2_2_Kinder-DAR.pdf","x")</f>
        <v>x</v>
      </c>
      <c r="ES76" s="112"/>
      <c r="ET76" s="112" t="str">
        <f>HYPERLINK("http://www.medizin-hilft-fluechtlingen.de/images/Dokumente/ein/ein_far.pdf","x")</f>
        <v>x</v>
      </c>
      <c r="EU76" s="112"/>
      <c r="EV76" s="112" t="str">
        <f t="shared" si="382"/>
        <v>x</v>
      </c>
      <c r="EW76" s="111"/>
      <c r="EX76" s="111"/>
      <c r="EY76" s="111"/>
      <c r="EZ76" s="111"/>
      <c r="FA76" s="111"/>
      <c r="FB76" s="111"/>
      <c r="FC76" s="112" t="str">
        <f t="shared" si="383"/>
        <v>x</v>
      </c>
      <c r="FD76" s="112" t="str">
        <f t="shared" si="384"/>
        <v>x</v>
      </c>
      <c r="FE76" s="111"/>
      <c r="FF76" s="112" t="str">
        <f t="shared" si="385"/>
        <v>x</v>
      </c>
      <c r="FG76" s="111"/>
      <c r="FH76" s="111"/>
      <c r="FI76" s="112"/>
      <c r="FJ76" s="112" t="str">
        <f>HYPERLINK("http://www.rki.de/DE/Content/Infekt/Impfen/Materialien/Downloads-Impfkalender/Impfkalender_Dari.pdf?__blob=publicationFile","x")</f>
        <v>x</v>
      </c>
      <c r="FK76" s="111"/>
      <c r="FL76" s="111"/>
      <c r="FM76" s="112"/>
      <c r="FN76" s="112"/>
      <c r="FO76" s="112" t="str">
        <f>HYPERLINK("http://www.rki.de/DE/Content/Infekt/Impfen/Materialien/Downloads-MMR/MMR-Impfinfo-dari.pdf?__blob=publicationFile","x")</f>
        <v>x</v>
      </c>
      <c r="FP76" s="111"/>
      <c r="FQ76" s="112" t="str">
        <f>HYPERLINK("http://www.rki.de/DE/Content/Infekt/Impfen/Materialien/Downloads_HepA/Aufklaerung_HAV-Impfung_dari.pdf?__blob=publicationFile","x")</f>
        <v>x</v>
      </c>
      <c r="FR76" s="112" t="str">
        <f>HYPERLINK("http://www.rki.de/DE/Content/Infekt/Impfen/Materialien/Downloads_Pneumokokken/Aufklaerung_Pneumo-Impfung_Dari.pdf?__blob=publicationFile","x")</f>
        <v>x</v>
      </c>
      <c r="FS76" s="112" t="str">
        <f>HYPERLINK("http://www.rki.de/DE/Content/Infekt/Impfen/Materialien/Downloads-DTaPIPVHibHepB/DTaPIPVHibHepB_dari.pdf?__blob=publicationFile","x")</f>
        <v>x</v>
      </c>
      <c r="FT76" s="112" t="str">
        <f>HYPERLINK("http://www.rki.de/DE/Content/Infekt/Impfen/Materialien/Downloads-Varizellen/Varizellen-Impfinfo-dari.pdf;jsessionid=65B697F4EE7EDA8A1ED9E2C4CD6C74EC.2_cid363?__blob=publicationFile","x")</f>
        <v>x</v>
      </c>
      <c r="FU76" s="112" t="str">
        <f>HYPERLINK("http://www.rki.de/DE/Content/Infekt/Impfen/Materialien/Downloads-Tdap-IPV/Tdap-IPV-dari.pdf?__blob=publicationFile","x")</f>
        <v>x</v>
      </c>
      <c r="FV76" s="112" t="str">
        <f>HYPERLINK("http://www.rki.de/DE/Content/Infekt/Impfen/Materialien/Downloads-Influenza_nasal/Influenza_nasal-dari.pdf?__blob=publicationFile","x")</f>
        <v>x</v>
      </c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2"/>
      <c r="GH76" s="111"/>
      <c r="GI76" s="111"/>
      <c r="GJ76" s="111"/>
      <c r="GK76" s="111"/>
      <c r="GL76" s="112" t="str">
        <f>HYPERLINK("http://www.rki.de/DE/Content/Infekt/Impfen/Materialien/Downloads-Influenza/Influenza-dari.pdf?__blob=publicationFile","x")</f>
        <v>x</v>
      </c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2" t="str">
        <f t="shared" si="48"/>
        <v>x</v>
      </c>
      <c r="HC76" s="111"/>
      <c r="HD76" s="111"/>
      <c r="HE76" s="111"/>
      <c r="HF76" s="111"/>
      <c r="HG76" s="111"/>
      <c r="HH76" s="111"/>
      <c r="HI76" s="111"/>
      <c r="HJ76" s="112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2" t="str">
        <f t="shared" si="386"/>
        <v>x</v>
      </c>
      <c r="HY76" s="112" t="str">
        <f t="shared" si="387"/>
        <v>x</v>
      </c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5" t="str">
        <f>HYPERLINK("http://www.bamf.de/SharedDocs/Anlagen/DE/Publikationen/Flyer/flyer-erstorientierung-asylsuchende_dari.pdf?__blob=publicationFile","x")</f>
        <v>x</v>
      </c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2" t="str">
        <f>HYPERLINK("http://www.b-umf.de/images/willkommen/willkommensbroschuredari-web.pdf","x")</f>
        <v>x</v>
      </c>
      <c r="JT76" s="111"/>
      <c r="JU76" s="111"/>
      <c r="JV76" s="111"/>
      <c r="JW76" s="111"/>
      <c r="JX76" s="112"/>
      <c r="JY76" s="112"/>
      <c r="JZ76" s="112"/>
      <c r="KA76" s="112" t="str">
        <f>HYPERLINK("http://www.refugeeguide.de/dl/RefugeeGuide_fd_1019.pdf","x")</f>
        <v>x</v>
      </c>
      <c r="KB76" s="111"/>
      <c r="KC76" s="111"/>
      <c r="KD76" s="111"/>
      <c r="KE76" s="112"/>
      <c r="KF76" s="112"/>
      <c r="KG76" s="112"/>
      <c r="KH76" s="112"/>
      <c r="KI76" s="112"/>
      <c r="KJ76" s="112"/>
      <c r="KK76" s="112"/>
      <c r="KL76" s="112"/>
      <c r="KM76" s="112"/>
      <c r="KN76" s="112"/>
      <c r="KO76" s="112"/>
      <c r="KP76" s="112"/>
      <c r="KQ76" s="112"/>
      <c r="KR76" s="112"/>
      <c r="KS76" s="112"/>
      <c r="KT76" s="112"/>
      <c r="KU76" s="112"/>
      <c r="KV76" s="112"/>
      <c r="KW76" s="112"/>
      <c r="KX76" s="112"/>
      <c r="KY76" s="112"/>
      <c r="KZ76" s="112"/>
      <c r="LA76" s="112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</row>
    <row r="77" spans="1:346" x14ac:dyDescent="0.25">
      <c r="A77" s="101" t="s">
        <v>3</v>
      </c>
      <c r="B77" s="102"/>
      <c r="C77" s="102"/>
      <c r="D77" s="102"/>
      <c r="E77" s="102"/>
      <c r="F77" s="102"/>
      <c r="G77" s="102"/>
      <c r="H77" s="102"/>
      <c r="I77" s="102"/>
      <c r="J77" s="103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6"/>
      <c r="AV77" s="106"/>
      <c r="AW77" s="106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5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9"/>
      <c r="EP77" s="109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5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4"/>
      <c r="JJ77" s="104"/>
      <c r="JK77" s="104"/>
      <c r="JL77" s="104"/>
      <c r="JM77" s="104"/>
      <c r="JN77" s="104"/>
      <c r="JO77" s="104"/>
      <c r="JP77" s="104"/>
      <c r="JQ77" s="104"/>
      <c r="JR77" s="104"/>
      <c r="JS77" s="104"/>
      <c r="JT77" s="104"/>
      <c r="JU77" s="104"/>
      <c r="JV77" s="104"/>
      <c r="JW77" s="104"/>
      <c r="JX77" s="104"/>
      <c r="JY77" s="104"/>
      <c r="JZ77" s="104"/>
      <c r="KA77" s="104"/>
      <c r="KB77" s="104"/>
      <c r="KC77" s="104"/>
      <c r="KD77" s="104"/>
      <c r="KE77" s="104"/>
      <c r="KF77" s="104"/>
      <c r="KG77" s="104"/>
      <c r="KH77" s="104"/>
      <c r="KI77" s="104"/>
      <c r="KJ77" s="104"/>
      <c r="KK77" s="104"/>
      <c r="KL77" s="104"/>
      <c r="KM77" s="104"/>
      <c r="KN77" s="104"/>
      <c r="KO77" s="104"/>
      <c r="KP77" s="104"/>
      <c r="KQ77" s="104"/>
      <c r="KR77" s="104"/>
      <c r="KS77" s="104"/>
      <c r="KT77" s="104"/>
      <c r="KU77" s="104"/>
      <c r="KV77" s="104"/>
      <c r="KW77" s="104"/>
      <c r="KX77" s="104"/>
      <c r="KY77" s="104"/>
      <c r="KZ77" s="104"/>
      <c r="LA77" s="104"/>
      <c r="LB77" s="104"/>
      <c r="LC77" s="104"/>
      <c r="LD77" s="104"/>
      <c r="LE77" s="104"/>
      <c r="LF77" s="104"/>
      <c r="LG77" s="104"/>
      <c r="LH77" s="104"/>
      <c r="LI77" s="104"/>
      <c r="LJ77" s="104"/>
      <c r="LK77" s="104"/>
      <c r="LL77" s="104"/>
      <c r="LM77" s="104"/>
      <c r="LN77" s="104"/>
      <c r="LO77" s="104"/>
      <c r="LP77" s="104"/>
      <c r="LQ77" s="104"/>
      <c r="LR77" s="104"/>
      <c r="LS77" s="104"/>
      <c r="LT77" s="104"/>
      <c r="LU77" s="104"/>
      <c r="LV77" s="104"/>
      <c r="LW77" s="104"/>
      <c r="LX77" s="104"/>
      <c r="LY77" s="104"/>
      <c r="LZ77" s="104"/>
      <c r="MA77" s="104"/>
      <c r="MB77" s="104"/>
      <c r="MC77" s="104"/>
      <c r="MD77" s="104"/>
      <c r="ME77" s="104"/>
      <c r="MF77" s="104"/>
      <c r="MG77" s="104"/>
      <c r="MH77" s="104"/>
    </row>
    <row r="78" spans="1:346" x14ac:dyDescent="0.25">
      <c r="A78" s="110" t="s">
        <v>3</v>
      </c>
      <c r="B78" s="101" t="s">
        <v>93</v>
      </c>
      <c r="C78" s="102"/>
      <c r="D78" s="102"/>
      <c r="E78" s="102"/>
      <c r="F78" s="102"/>
      <c r="G78" s="102"/>
      <c r="H78" s="102"/>
      <c r="I78" s="102"/>
      <c r="J78" s="103"/>
      <c r="K78" s="112" t="str">
        <f>HYPERLINK("http://sghanstedt.elbnetz.com/ueber-uns/","x")</f>
        <v>x</v>
      </c>
      <c r="L78" s="112" t="str">
        <f>HYPERLINK("http://www.bamf.de/SharedDocs/Anlagen/DE/Downloads/Infothek/Sonstige/interkultureller-kalender-2016_pdf.pdf?__blob=publicationFile","x")</f>
        <v>x</v>
      </c>
      <c r="M78" s="112" t="str">
        <f>HYPERLINK("http://www.ag-fluechtlingshilfe-wetterau.de/uploads/infos/170.pdf","x")</f>
        <v>x</v>
      </c>
      <c r="N78" s="112" t="str">
        <f>HYPERLINK("http://www.ag-fluechtlingshilfe-wetterau.de/uploads/infos/220.pdf","x")</f>
        <v>x</v>
      </c>
      <c r="O78" s="112" t="str">
        <f>HYPERLINK("http://www.awb-ahrweiler.de/admin/data/ddownload/Abfall%20Sonderhinweise-deutsch_2014.pdf","x")</f>
        <v>x</v>
      </c>
      <c r="P78" s="112" t="str">
        <f>HYPERLINK("http://www.ag-fluechtlingshilfe-wetterau.de/uploads/infos/221.pdf","x")</f>
        <v>x</v>
      </c>
      <c r="Q78" s="112" t="str">
        <f>HYPERLINK("http://www.konto.org/download/merkblatt-basiskonto-asylbewerber-deutsch.pdf","x")</f>
        <v>x</v>
      </c>
      <c r="R78" s="112" t="str">
        <f>HYPERLINK("http://www.verbraucherzentrale.de/kontoeroeffnung-fuer-fluechtlinge","x")</f>
        <v>x</v>
      </c>
      <c r="S78" s="112" t="str">
        <f>HYPERLINK("https://antworten.sparkasse.de/wp-content/uploads/2015/10/Deutsch.pdf","x")</f>
        <v>x</v>
      </c>
      <c r="T78" s="112" t="str">
        <f>HYPERLINK("http://www.ag-fluechtlingshilfe-wetterau.de/uploads/infos/191.pdf","x")</f>
        <v>x</v>
      </c>
      <c r="U78" s="112" t="str">
        <f>HYPERLINK("http://www.vzhh.de/vzhh/412690/fluechtlinge-informationen-zu-geld-und-konto.aspx","x")</f>
        <v>x</v>
      </c>
      <c r="V78" s="112" t="str">
        <f>HYPERLINK("http://www.vzhh.de/vzhh/412689/fluechtlinge-informationen-zum-versicherungsschutz.aspx","x")</f>
        <v>x</v>
      </c>
      <c r="W78" s="112" t="str">
        <f>HYPERLINK("https://www.test.de/filestore/4939505_Finanztest_12_2015_Fl%c3%bcchtlinge_Merkblatt_deutsch.pdf?path=/protected/72/26/bc9fbfa2-95b8-4141-8966-a484f533cb32-protectedfile.pdf&amp;key=71100F8C185C493221F0B9451738E3C23D52E457","x")</f>
        <v>x</v>
      </c>
      <c r="X78" s="112" t="str">
        <f>HYPERLINK("https://www.test.de/filestore/4939509_Finanztest_12_2015_Fl%c3%bcchtlinge_Tarifkommentare_deutsch.pdf?path=/protected/41/61/6bddbfa3-3bba-4288-9163-366c3c01082a-protectedfile.pdf&amp;key=2C3CC2C934835E012870952C5600BB453BF2669E","x")</f>
        <v>x</v>
      </c>
      <c r="Y78" s="112" t="str">
        <f>HYPERLINK("https://www.test.de/Handytarife-fuer-Fluechtlinge-So-telefonieren-Sie-guenstig-in-die-Heimat-4935914-4938453/","x")</f>
        <v>x</v>
      </c>
      <c r="Z78" s="112" t="str">
        <f>HYPERLINK("http://www.vzhh.de/vzhh/412686/fluechtlinge-informationen-zu-telefon-und-internet.aspx","x")</f>
        <v>x</v>
      </c>
      <c r="AA78" s="112" t="str">
        <f>HYPERLINK("Verbraucherzentrale Info zum Urheberrecht (illegale Downloads)","x")</f>
        <v>x</v>
      </c>
      <c r="AB78" s="112" t="str">
        <f>HYPERLINK("http://www.vzhh.de/vzhh/409638/vzhh_refugees_telephone_internet.pdf","x")</f>
        <v>x</v>
      </c>
      <c r="AC78" s="112" t="str">
        <f>HYPERLINK("http://www.vzhh.de/vzhh/410647/vzhh_refugees_rundfunk.pdf","x")</f>
        <v>x</v>
      </c>
      <c r="AD78" s="112" t="str">
        <f>HYPERLINK("http://www.vzhh.de/vzhh/411476/vzhh_refugees_rundfunk_befreiung.pdf","x")</f>
        <v>x</v>
      </c>
      <c r="AE78" s="112"/>
      <c r="AF78" s="112" t="str">
        <f>HYPERLINK("http://asyl-in-moenchengladbach.de/wp-content/uploads/2015/11/100711-Flyer_DE.pdf","x")</f>
        <v>x</v>
      </c>
      <c r="AG78" s="111"/>
      <c r="AH78" s="112" t="str">
        <f>HYPERLINK("https://www.adac.de/sp/stiftung/_mmm/pdf/SGE_FOL_Verkehrssicherheit_Fl%C3%BCchtlinge_A3_01_16_Internet_250277.pdf","x")</f>
        <v>x</v>
      </c>
      <c r="AI78" s="112" t="str">
        <f>HYPERLINK("http://www.stadt-koeln.de/mediaasset/content/kvb_kinderleicht_und_spielend_einfach__deutsch_.pdf","x")</f>
        <v>x</v>
      </c>
      <c r="AJ78" s="112" t="str">
        <f>HYPERLINK("https://www.vrsinfo.de/fileadmin/Dateien/downloadcenter/Folder_MobilPassTicket_Refugees01012016.pdf","x")</f>
        <v>x</v>
      </c>
      <c r="AK78" s="112" t="str">
        <f>HYPERLINK("https://www.vrsinfo.de/fileadmin/Dateien/downloadcenter/Willkommen_im_VRS2016_Druck.pdf","x")</f>
        <v>x</v>
      </c>
      <c r="AL78" s="112" t="str">
        <f>HYPERLINK("http://www.kvb-koeln.de/german/fahrplan/fahrradverleih.html","x")</f>
        <v>x</v>
      </c>
      <c r="AM78" s="112" t="str">
        <f>HYPERLINK("https://www.deutschebahn.com/file/de/2191748/eYdgZpqGpp5sMJ2KMKtg2r8aE4Q/10123812/data/infos_fuer_fluechtlinge.pdf","x")</f>
        <v>x</v>
      </c>
      <c r="AN78" s="112" t="str">
        <f>HYPERLINK("http://www.stadt-koeln.de/","x")</f>
        <v>x</v>
      </c>
      <c r="AO78" s="112" t="str">
        <f>HYPERLINK("http://www.stadt-koeln.de/leben-in-koeln/soziales/koeln-hilft-fluechtlingen","x")</f>
        <v>x</v>
      </c>
      <c r="AP78" s="112" t="str">
        <f>HYPERLINK("http://wiku-koeln.de/","x")</f>
        <v>x</v>
      </c>
      <c r="AQ78" s="112" t="str">
        <f>HYPERLINK("http://www.stadt-koeln.de/mediaasset/content/satzungen/koelner_stadtordnung_20140414.pdf","x")</f>
        <v>x</v>
      </c>
      <c r="AR78" s="112" t="str">
        <f>HYPERLINK("http://www.stadt-koeln.de/mediaasset/content/pdf32/bußgeldrahmen_kölner_stadtordnung_stand_juni_2015.pdf","x")</f>
        <v>x</v>
      </c>
      <c r="AS78" s="112" t="str">
        <f>HYPERLINK("http://www.koelnerkarneval.de/fileadmin/content/images/news/Festkomitee_Flyer_DE_AR.pdf","x")</f>
        <v>x</v>
      </c>
      <c r="AT78" s="112" t="str">
        <f>HYPERLINK("http://www.stadt-koeln.de/mediaasset/content/festkomitee_flyer_2016_d_gb.pdf","x")</f>
        <v>x</v>
      </c>
      <c r="AU78" s="114" t="str">
        <f>HYPERLINK("http://www.studentenwerke.de/de/content/illustriertes-wohnheimw%C3%B6rterbuch-1","x")</f>
        <v>x</v>
      </c>
      <c r="AV78" s="114" t="str">
        <f>HYPERLINK("http://sab.landtag.sachsen.de/dokumente/landtagskurier/SAB_DeutschLernen_DinA5_WEB141115.pdf","x")</f>
        <v>x</v>
      </c>
      <c r="AW78" s="114" t="str">
        <f>HYPERLINK("http://sab.landtag.sachsen.de/dokumente/landtagskurier/SAB_PL_Lernposter_WEB091115.pdf","x")</f>
        <v>x</v>
      </c>
      <c r="AX78" s="112" t="str">
        <f>HYPERLINK("http://fi-lohmar-siegburg.de/data/documents/Findefix_arabisch-Bildwoerterbuch.pdf","x")</f>
        <v>x</v>
      </c>
      <c r="AY78" s="112" t="str">
        <f>HYPERLINK("https://www.hueber.de/media/36/Mini-Bildwoerterbuch_Deutsch.pdf","x")</f>
        <v>x</v>
      </c>
      <c r="AZ7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78" s="112" t="str">
        <f>HYPERLINK("http://wie-kann-ich-helfen.info/WoerterbuchAnalphabet_innen_%28c%29_Dagmar_Schmeelcke.pdf","x")</f>
        <v>x</v>
      </c>
      <c r="BB78" s="112" t="str">
        <f>HYPERLINK("http://www.tobiidynavox.com/wp-content/uploads/2015/09/Tobii-Dynavox-Kommunikationstafel-farsi-deutsch.pdf","x")</f>
        <v>x</v>
      </c>
      <c r="BC78" s="112" t="str">
        <f>HYPERLINK("http://www.rehavista.de/?at=Mat_Boardmaker&amp;d=1&amp;dtype=mat&amp;id=1014","x")</f>
        <v>x</v>
      </c>
      <c r="BD78" s="112"/>
      <c r="BE78" s="112"/>
      <c r="BF78" s="112" t="str">
        <f>HYPERLINK("http://www.tavir-ravensburg.de/Erste%20Saetze.pdf","x")</f>
        <v>x</v>
      </c>
      <c r="BG78" s="112" t="str">
        <f>HYPERLINK("http://www.refugeephrasebook.de/pdf/germany150920.pdf","x")</f>
        <v>x</v>
      </c>
      <c r="BH78" s="112"/>
      <c r="BI78" s="112" t="str">
        <f>HYPERLINK("http://www.klett-sprachen.de/download/8638/W100255_Refugees_Welcome_Wortschatz.pdf","x")</f>
        <v>x</v>
      </c>
      <c r="BJ78" s="111" t="s">
        <v>59</v>
      </c>
      <c r="BK78" s="112" t="str">
        <f>HYPERLINK("http://www.bundessprachenamt.de/deutsch/wir_ueber_uns/nachrichten/2015/20151103/Verständigungshilfe_Englisch_26_11_2015.pdf","x")</f>
        <v>x</v>
      </c>
      <c r="BL78" s="112" t="str">
        <f>HYPERLINK("http://www.frnrw.de/images/Aus_den_Initiativen/Ehrenamtler/2015/Dictionary_x10_print-2.pdf","x")</f>
        <v>x</v>
      </c>
      <c r="BM78" s="112" t="str">
        <f>HYPERLINK("http://www.medbox.org/toolboxes/kleines-worterbuch-little-dictionary-deutsch-englisch-arabisch/preview","x")</f>
        <v>x</v>
      </c>
      <c r="BN78" s="111"/>
      <c r="BO78" s="112" t="str">
        <f t="shared" si="388"/>
        <v>x</v>
      </c>
      <c r="BP78" s="112" t="str">
        <f>HYPERLINK("https://www.friedensdorf.de/documents/Woerterbuch_Arabisch.pdf","x")</f>
        <v>x</v>
      </c>
      <c r="BQ78" s="112" t="str">
        <f>HYPERLINK("http://www.friedensdorf.de/documents/Woerterbuch_Pashtu.pdf","x")</f>
        <v>x</v>
      </c>
      <c r="BR78" s="112" t="str">
        <f>HYPERLINK("http://www.goethe.de/lrn/prj/wnd/deu/lti/deindex.htm#13322010","x")</f>
        <v>x</v>
      </c>
      <c r="BS78" s="112" t="str">
        <f>HYPERLINK("http://de.langenscheidt.com/doc/arabisch-deutsch-sprachfuehrer.pdf","x")</f>
        <v>x</v>
      </c>
      <c r="BT78" s="112" t="str">
        <f>HYPERLINK("http://www.memhr.org/dic/ebook/tigr-germ.pdf","x")</f>
        <v>x</v>
      </c>
      <c r="BU78" s="112" t="str">
        <f>HYPERLINK("https://s3-eu-west-1.amazonaws.com/lingolia/download/lingolia_daf.pdf","x")</f>
        <v>x</v>
      </c>
      <c r="BV78" s="112" t="str">
        <f>HYPERLINK("http://www.welcomegrooves.de/wp-content/uploads/2015/11/welcomegrooves-deutsch.pdf","x")</f>
        <v>x</v>
      </c>
      <c r="BW78" s="112"/>
      <c r="BX78" s="112" t="str">
        <f>HYPERLINK("http://www.tigrigna-german.ch/","x")</f>
        <v>x</v>
      </c>
      <c r="BY78" s="112"/>
      <c r="BZ78" s="112" t="str">
        <f>HYPERLINK("http://www.hueber.de/shared/uebungen/schritte-plus","x")</f>
        <v>x</v>
      </c>
      <c r="CA78" s="112" t="str">
        <f>HYPERLINK("https://www.hueber.de/shared/uebungen/menschen-hier/ab/a1-1/menu.html","x")</f>
        <v>x</v>
      </c>
      <c r="CB78" s="112" t="str">
        <f>HYPERLINK("http://www.goethe-verlag.com/DE/","x")</f>
        <v>x</v>
      </c>
      <c r="CC78" s="112" t="str">
        <f>HYPERLINK("http://www.deutschalsfremdsprache.ch/","x")</f>
        <v>x</v>
      </c>
      <c r="CD78" s="112" t="str">
        <f>HYPERLINK("http://www.schubert-verlag.de/aufgaben/arbeitsblaetter_a1_z/a1_arbeitsblaetter_index_z.htm","x")</f>
        <v>x</v>
      </c>
      <c r="CE78" s="111" t="s">
        <v>59</v>
      </c>
      <c r="CF78" s="112" t="str">
        <f>HYPERLINK("http://www.braunschweig.de/leben/frauen/hilfe/Ohne-Gewalt-leben.pdf","x")</f>
        <v>x</v>
      </c>
      <c r="CG78" s="112" t="str">
        <f>HYPERLINK("http://mifkjf.rlp.de/fileadmin/mifkjf/Frauen/Gewalt_gegen_Frauen/Downloads/Broschueren_Flyer/Flyer_Rat_und_Hilfe_Endfassung.pdf","x")</f>
        <v>x</v>
      </c>
      <c r="CH78" s="112" t="str">
        <f>HYPERLINK("https://www.hilfetelefon.de/fileadmin/hilfetelefon_de/Materialien/Flyer/Infoflyer_Hilfetelefon_Gewalt_gegen_Frauen141105_b2.pdf","x")</f>
        <v>x</v>
      </c>
      <c r="CI78" s="112" t="str">
        <f>HYPERLINK("https://www.hilfetelefon.de/fileadmin/hilfetelefon_de/Materialien/weitere_werbemittel/Klappflyer_Vorder-_und_Rueckseite_opt2.pdf","x")</f>
        <v>x</v>
      </c>
      <c r="CJ78" s="112" t="str">
        <f>HYPERLINK("http://www.e-migrantinnen.de/index.php?de_wichtige-links","x")</f>
        <v>x</v>
      </c>
      <c r="CK78" s="112" t="str">
        <f>HYPERLINK("http://www.frauenberatungsstelle.de/pdf/Migrantinnen-beraten-Migrantinnen.pdf","x")</f>
        <v>x</v>
      </c>
      <c r="CL78" s="112" t="str">
        <f>HYPERLINK("http://www.frauenleben.org/spezielle_beratungsangebote/sexualisierte_gewalt.htm","x")</f>
        <v>x</v>
      </c>
      <c r="CM78" s="112" t="str">
        <f>HYPERLINK("https://www.frauen-gegen-gewalt.de/hilfsangebote.html","x")</f>
        <v>x</v>
      </c>
      <c r="CN78" s="112" t="str">
        <f>HYPERLINK("http://mifkjf.rlp.de/fileadmin/mifkjf/Frauen/Gewalt_gegen_Frauen/Downloads/Broschueren_Flyer/Info_KO-Tropfen.pdf","x")</f>
        <v>x</v>
      </c>
      <c r="CO78" s="112" t="str">
        <f>HYPERLINK("http://www.schwanger-und-viele-fragen.de/de/","x")</f>
        <v>x</v>
      </c>
      <c r="CP78" s="112" t="str">
        <f>HYPERLINK("http://www.bhlv.de/medien/hebammenverband-flyer-fluechtlinge-12-seiten-rz-web.pdf","x")</f>
        <v>x</v>
      </c>
      <c r="CQ78" s="112" t="str">
        <f>HYPERLINK("https://www.hebammenverband.de/index.php?eID=tx_nawsecuredl&amp;u=0&amp;g=0&amp;t=1462395526&amp;hash=57ac1ea9abaf848a51d4e83c2f9b257bb18fc709&amp;file=fileadmin/user_upload/pdf/Beruf_Hebamme/Was_tun_Hebammen/DHV_Flyer_Was_tun_Hebammen_deutsch_web.pdf","x")</f>
        <v>x</v>
      </c>
      <c r="CR78" s="112" t="str">
        <f>HYPERLINK("http://en.beststart.org/for_parents/are-you-looking-resources-languages-other-english-and-french","x")</f>
        <v>x</v>
      </c>
      <c r="CS78" s="112" t="str">
        <f>HYPERLINK("skurz(at)weleda.de","x")</f>
        <v>x</v>
      </c>
      <c r="CT78" s="112"/>
      <c r="CU78" s="112" t="str">
        <f>HYPERLINK("http://www.profamilia-sh.de/downloads/187/pille-danach.pdf","x")</f>
        <v>x</v>
      </c>
      <c r="CV78" s="112" t="str">
        <f>HYPERLINK("https://www.profamilia.de/fileadmin/publikationen/Reihe_Verhuetungsmethoden/Einleger_deutsch.pdf","x")</f>
        <v>x</v>
      </c>
      <c r="CW78" s="112" t="str">
        <f>HYPERLINK("http://www.profamilia.de/fileadmin/publikationen/Reihe_Koerper_und_Sexualtitaet/schwangerschaftsabbruch.pdf","x")</f>
        <v>x</v>
      </c>
      <c r="CX78" s="112" t="str">
        <f>HYPERLINK("http://www.caritas-schwarzwald-alb-donau.de/68854.html","x")</f>
        <v>x</v>
      </c>
      <c r="CY78" s="112" t="str">
        <f>HYPERLINK("http://www.dgfpi.de/tl_files/download/medien/2011-01-19_DGfPI-Wuessten-sie.pdf","x")</f>
        <v>x</v>
      </c>
      <c r="CZ78" s="112" t="str">
        <f>HYPERLINK("http://sichere-orte-schaffen.de/wp-content/uploads/Minibrosch_Fluechtlinge_multilang.pdf","x")</f>
        <v>x</v>
      </c>
      <c r="DA78" s="112" t="str">
        <f>HYPERLINK("http://www.neukoelln-jugend.de/redsys/index.php/component/content/article?id=157#uebersicht-methodenkoffer","x")</f>
        <v>x</v>
      </c>
      <c r="DB78" s="115" t="str">
        <f>HYPERLINK("http://www.kindersicherheit.de/pdf/2013_BAG_Tomi_and_Mila_Deutsch_English.pdf","x")</f>
        <v>x</v>
      </c>
      <c r="DC78" s="112" t="str">
        <f>HYPERLINK("http://www.kindersicherheit.de/pdf/2008Bilderbuch_Gefahrenhaus.pdf","x")</f>
        <v>x</v>
      </c>
      <c r="DD78" s="112" t="str">
        <f>HYPERLINK("http://www.kindersicherheit.de/pdf/2010BAG-Malbuch-Vorschulkinder.pdf","x")</f>
        <v>x</v>
      </c>
      <c r="DE78" s="112" t="str">
        <f>HYPERLINK("http://fi-lohmar-siegburg.de/data/documents/130-37_Inklusion_im_Anfangsunterricht_-_Poster_mit_Situationsbildern.pdf","x")</f>
        <v>x</v>
      </c>
      <c r="DF78" s="115" t="str">
        <f>HYPERLINK("http://s3-eu-west-1.amazonaws.com/lingolia/calendar/2016/lingolia_2016_de.pdf","x")</f>
        <v>x</v>
      </c>
      <c r="DG78" s="112" t="str">
        <f>HYPERLINK("http://www.bibliomedia.ch/de/angebote/img/Wimmelbild.jpg","x")</f>
        <v>x</v>
      </c>
      <c r="DH78" s="112" t="str">
        <f>HYPERLINK("http://www.bibliomedia.ch/de/angebote/dokumente/Wimmelbild_Fehler.jpg","x")</f>
        <v>x</v>
      </c>
      <c r="DI78" s="112"/>
      <c r="DJ78" s="112" t="str">
        <f>HYPERLINK("http://en.childrenslibrary.org/","x")</f>
        <v>x</v>
      </c>
      <c r="DK78" s="112" t="str">
        <f>HYPERLINK("http://www.carlsen.de/sites/default/files/Walter-ebook_deutsch_LOW.pdf","x")</f>
        <v>x</v>
      </c>
      <c r="DL78" s="112" t="str">
        <f>HYPERLINK("http://www.deutschalsfremdsprache.ch/index.php?actualid=5057&amp;which_set=103","x")</f>
        <v>x</v>
      </c>
      <c r="DM78" s="112" t="str">
        <f>HYPERLINK("http://www.planet-schule.de/rss/article/440.html","x")</f>
        <v>x</v>
      </c>
      <c r="DN78" s="112"/>
      <c r="DO78" s="112" t="str">
        <f>HYPERLINK("http://tipdoc.de/bus/grafik/kinder-tip/SCHULTIP_give_didacta.pdf","x")</f>
        <v>x</v>
      </c>
      <c r="DP78" s="112" t="str">
        <f>HYPERLINK("http://tipdoc.de/bus/grafik/kinder-tip/SCHULTIP_give_BulgRoSRB.pdf","x")</f>
        <v>x</v>
      </c>
      <c r="DQ78" s="112" t="str">
        <f>HYPERLINK("https://broschueren.nordrheinwestfalendirekt.de/broschuerenservice/msw/de-das-schulsystem-in-nordrhein-westfalen-einfach-und-schnell-erklaert/1900","x")</f>
        <v>x</v>
      </c>
      <c r="DR78" s="112" t="str">
        <f>HYPERLINK("http://bildung.koeln.de/materialbibliothek/download.php?idx=76ea4cbd909e899005811521537acbbf","x")</f>
        <v>x</v>
      </c>
      <c r="DS78" s="112" t="str">
        <f>HYPERLINK("http://bildung.koeln.de/materialbibliothek/download.php?idx=4b9afdbd401b16d00f9d320cab886303","x")</f>
        <v>x</v>
      </c>
      <c r="DT78" s="112" t="str">
        <f>HYPERLINK("http://www.asyl.net/fileadmin/user_upload/redaktion/Dokumente/Publikationen/RechtBildung_2104druck.pdf","x")</f>
        <v>x</v>
      </c>
      <c r="DU78" s="112"/>
      <c r="DV78" s="112" t="str">
        <f>HYPERLINK("http://www.studis-online.de/Studieren/art-1898-studium_fluechtlinge.php","x")</f>
        <v>x</v>
      </c>
      <c r="DW78" s="112" t="str">
        <f>HYPERLINK("http://www.wissenschaft.nrw.de/studium/informieren/informationen-fuer-fluechtlinge-die-in-nrw-studieren-moechten/","x")</f>
        <v>x</v>
      </c>
      <c r="DX78" s="112" t="str">
        <f>HYPERLINK("http://www.bamf.de/SharedDocs/Anlagen/DE/Publikationen/Flyer/AnerkennungBerufsabschluss/berufliche_anerkennung_akademische-heilberufe.pdf?__blob=publicationFile","x")</f>
        <v>x</v>
      </c>
      <c r="DY78" s="112" t="str">
        <f>HYPERLINK("http://www.bamf.de/SharedDocs/Anlagen/DE/Publikationen/Flyer/AnerkennungBerufsabschluss/anerkennung-berufsabschluss.pdf?__blob=publicationFile","x")</f>
        <v>x</v>
      </c>
      <c r="DZ78" s="112" t="str">
        <f>HYPERLINK("http://www.bamf.de/SharedDocs/Anlagen/DE/Publikationen/Flyer/AnerkennungBerufsabschluss/anerkennung-berufsabschluss_ausland.pdf?__blob=publicationFile","x")</f>
        <v>x</v>
      </c>
      <c r="EA78" s="112" t="str">
        <f>HYPERLINK("http://www.bamf.de/SharedDocs/Anlagen/DE/Publikationen/Broschueren/willkommen-in-deutschland-info-blaue-karte-eu.pdf?__blob=publicationFile","x")</f>
        <v>x</v>
      </c>
      <c r="EB78" s="112" t="str">
        <f>HYPERLINK("http://www.bamf.de/SharedDocs/Anlagen/DE/Publikationen/Flyer/Berufsbezsprachf-ESF-BAMF/berufsbezsprachf-esf-bamf.pdf?__blob=publicationFile","x")</f>
        <v>x</v>
      </c>
      <c r="EC78" s="112" t="str">
        <f>HYPERLINK("http://abc-projekt.de/beluga/","x")</f>
        <v>x</v>
      </c>
      <c r="ED78" s="112" t="str">
        <f>HYPERLINK("https://www.hwk-ufr.de/downloads/informationsflyer-fluechtlinge-in-berufsausbildung-78,4272.pdf","x")</f>
        <v>x</v>
      </c>
      <c r="EE78" s="112" t="str">
        <f>HYPERLINK("https://www.hwk-ufr.de/downloads/informationsbroschuere-potenziale-nutzen-gefluechtete-menschen-beschaeftigen-78,4271.pdf","x")</f>
        <v>x</v>
      </c>
      <c r="EF78" s="112" t="str">
        <f>HYPERLINK("https://www.hwk-ufr.de/downloads/infoblatt-praktika-und-betriebliche-taetigkeiten-fuer-asylbewerber-und-geduldete-personen-78,4425.pdf","x")</f>
        <v>x</v>
      </c>
      <c r="EG78" s="112" t="str">
        <f>HYPERLINK("http://www.charta-der-vielfalt.de/fileadmin/user_upload/beispieldateien/Bilddateien/Publikationen/Fl%C3%BCchtlinge_in_den_Arbeitsmarkt_-_Charta_der_Vielfalt_2015.pdf","x")</f>
        <v>x</v>
      </c>
      <c r="EH78" s="112" t="str">
        <f>HYPERLINK("http://sghanstedt.elbnetz.com/ueber-uns/","x")</f>
        <v>x</v>
      </c>
      <c r="EI78" s="112" t="str">
        <f>HYPERLINK("http://azf2.de/wp-content/uploads/2014/12/FlüRa_Rechtsreader_sechste-Auflage-WEB-2.pdf","x")</f>
        <v>x</v>
      </c>
      <c r="EJ78" s="112" t="str">
        <f>HYPERLINK("http://fluechtlingsrat-bw.de/files/Dateien/Dokumente/Materialbestellung/2014-12-flyer%20arbeitserlaubnis%20WEB.pdf","x")</f>
        <v>x</v>
      </c>
      <c r="EK78" s="112" t="str">
        <f>HYPERLINK("http://www.aponet.de/englisch/20151019-fuer-den-notfall-wichtige-rufnummern-im-ueberblick.html","x")</f>
        <v>x</v>
      </c>
      <c r="EL78" s="112" t="str">
        <f>HYPERLINK("http://www.kvs-sachsen.de/fileadmin/img/Mitglieder/Asylbewerber/Allg-Informationen/Anlage-1_Merkblatt.pdf","x")</f>
        <v>x</v>
      </c>
      <c r="EM78" s="112" t="str">
        <f>HYPERLINK("http://www.medizin-hilft-fluechtlingen.de/images/Dokumente/gSch/gSch_deu.pdf","x")</f>
        <v>x</v>
      </c>
      <c r="EN78" s="112" t="str">
        <f>HYPERLINK("http://www.aponet.de/arabisch/20151016-medizinische-leistungen-fuer-asylbewerber.html","x")</f>
        <v>x</v>
      </c>
      <c r="EO78" s="117"/>
      <c r="EP78" s="117" t="str">
        <f>HYPERLINK("http://www.armut-gesundheit.de/fileadmin/redakteur/dokumente/Anamnesebogen%20-%20deutschnew.pdf","x")</f>
        <v>x</v>
      </c>
      <c r="EQ78" s="112" t="str">
        <f>HYPERLINK("http://www.kvs-sachsen.de/fileadmin/img/Mitglieder/Asylbewerber/Allg-Informationen/Anlage-2-1_Anamnese-Erwachsene.pdf","x")</f>
        <v>x</v>
      </c>
      <c r="ER78" s="112" t="str">
        <f>HYPERLINK("http://www.kvs-sachsen.de/fileadmin/img/Mitglieder/Asylbewerber/Allg-Informationen/Anlage-2-2_Anamnese-Kinder.pdf","x")</f>
        <v>x</v>
      </c>
      <c r="ES78" s="112" t="str">
        <f>HYPERLINK("http://www.pharmazeutische-zeitung.de/fileadmin/pdf/Fragebogen_PZ_43_2015.pdf","x")</f>
        <v>x</v>
      </c>
      <c r="ET78" s="112" t="str">
        <f>HYPERLINK("http://www.medizin-hilft-fluechtlingen.de/images/Dokumente/ein/ein_deu.pdf","x")</f>
        <v>x</v>
      </c>
      <c r="EU78" s="112" t="str">
        <f>HYPERLINK("http://www.adler-apotheke-hh.de/fileadmin/user_upload/PDF-Dateien/Dosierzettel_mehrsprachig_AUF_0_.pdf","x")</f>
        <v>x</v>
      </c>
      <c r="EV78" s="112" t="str">
        <f>HYPERLINK("http://www.lak-rlp.de/fileadmin/redakteure/pdf/download/Piktogramme_Dosieretiketten_AoG.pdf","x")</f>
        <v>x</v>
      </c>
      <c r="EW78" s="112" t="str">
        <f>HYPERLINK("http://www.rki.de/DE/Content/Infekt/IfSG/Belehrungsbogen/belehrungsbogen_eltern_deutsch.pdf?__blob=publicationFile","x")</f>
        <v>x</v>
      </c>
      <c r="EX78" s="112" t="str">
        <f>HYPERLINK("http://www.bzga.de/infomaterialien/?sid=236","x")</f>
        <v>x</v>
      </c>
      <c r="EY78" s="112" t="str">
        <f>HYPERLINK("https://www.mh-hannover.de/fileadmin/mhh/bilder/aktuelles_presse/pressestelle/bilder/Pilzvergift_deutsch.pdf","x")</f>
        <v>x</v>
      </c>
      <c r="EZ78" s="112" t="str">
        <f>HYPERLINK("http://www.vzhh.de/vzhh/412685/fluechtlinge-informationen-zur-gesundheitsversorgung.aspx","x")</f>
        <v>x</v>
      </c>
      <c r="FA78" s="112" t="str">
        <f>HYPERLINK("http://static.apotheken-umschau.de/media/gp/article_506373/bildwoerterbuch.pdf","x")</f>
        <v>x</v>
      </c>
      <c r="FB78" s="112" t="str">
        <f>HYPERLINK("https://www.studentenwerke.de/sites/default/files/gesundheitswoerterbuch.pdf","x")</f>
        <v>x</v>
      </c>
      <c r="FC78" s="112" t="str">
        <f>HYPERLINK("http://mige.ix-tech.de/index.php?id=241","x")</f>
        <v>x</v>
      </c>
      <c r="FD78" s="112" t="str">
        <f>HYPERLINK("http://sghanstedt.elbnetz.com/ueber-uns/","x")</f>
        <v>x</v>
      </c>
      <c r="FE78" s="112" t="str">
        <f>HYPERLINK("http://www.fuhlenhagen.com/pdf_dateien/uebertzungshilfe_aerzte_mehrsprachig.pdf","x")</f>
        <v>x</v>
      </c>
      <c r="FF78" s="112" t="str">
        <f>HYPERLINK("http://www.tipdoc.de/grafik/asyl/Gesundheitsheft_Asyl.pdf","x")</f>
        <v>x</v>
      </c>
      <c r="FG78" s="112" t="str">
        <f>HYPERLINK("http://www.stadt-koeln.de/mediaasset/content/pdf53/gesundheitswegweiser_migranten.pdf","x")</f>
        <v>x</v>
      </c>
      <c r="FH78" s="112" t="str">
        <f>HYPERLINK("http://www.hamburg.de/contentblob/116906/data/fremdsprachige-gesundheitsinfos.pdf","x")</f>
        <v>x</v>
      </c>
      <c r="FI78" s="112" t="str">
        <f>HYPERLINK("http://www.bundesgesundheitsministerium.de/fileadmin/dateien/Publikationen/Gesundheit/Broschueren/Ratgeber_Asylsuchende/Ratgeber_Asylsuchende_dt.pdf","x")</f>
        <v>x</v>
      </c>
      <c r="FJ78" s="112" t="str">
        <f>HYPERLINK("http://www.rki.de/DE/Content/Infekt/Impfen/Materialien/Downloads-Impfkalender/Impfkalender_Deutsch.pdf?__blob=publicationFile","x")</f>
        <v>x</v>
      </c>
      <c r="FK78" s="112" t="str">
        <f>HYPERLINK("http://www.ethno-medizinisches-zentrum.de/images/PDF-Files/impfwegweiser_deutsch_2013_online.pdf","x")</f>
        <v>x</v>
      </c>
      <c r="FL78" s="112" t="str">
        <f>HYPERLINK("http://www.lak-rlp.de/fileadmin/redakteure/pdf/download/Impfpass_vorlaeufiger.pdf","x")</f>
        <v>x</v>
      </c>
      <c r="FM78" s="112" t="str">
        <f>HYPERLINK("http://www.rki.de/DE/Content/Infekt/Impfen/Materialien/Glossar-Downloads/glossar-de-englisch.pdf?__blob=publicationFile","x")</f>
        <v>x</v>
      </c>
      <c r="FN78" s="112" t="str">
        <f>HYPERLINK("http://www.euro.who.int/__data/assets/pdf_file/0013/162301/VPD-Signs,-symptoms-and-complications-GER.pdf","x")</f>
        <v>x</v>
      </c>
      <c r="FO78" s="112" t="str">
        <f>HYPERLINK("http://www.rki.de/DE/Content/Infekt/Impfen/Materialien/Downloads-MMR/muster-mmr_de.pdf?__blob=publicationFile","x")</f>
        <v>x</v>
      </c>
      <c r="FP78" s="112" t="str">
        <f>HYPERLINK("http://www.rki.de/DE/Content/InfAZ/P/Polio/Ausbruch_Syrien/Informationsblatt_Polio_Deutsch.pdf?__blob=publicationFile","x")</f>
        <v>x</v>
      </c>
      <c r="FQ78" s="112" t="str">
        <f>HYPERLINK("http://www.rki.de/DE/Content/Infekt/Impfen/Materialien/Downloads_HepA/Mustervorlage_HAV_de.pdf?__blob=publicationFile","x")</f>
        <v>x</v>
      </c>
      <c r="FR78" s="112" t="str">
        <f>HYPERLINK("http://www.rki.de/DE/Content/Infekt/Impfen/Materialien/Downloads_Pneumokokken/Mustervorlage_Pneumo_de.pdf?__blob=publicationFile","x")</f>
        <v>x</v>
      </c>
      <c r="FS78" s="112" t="str">
        <f>HYPERLINK("http://www.rki.de/DE/Content/Infekt/Impfen/Materialien/Downloads-DTaPIPVHibHepB/muster-DTaPIPVHibHepB_de.pdf?__blob=publicationFile","x")</f>
        <v>x</v>
      </c>
      <c r="FT78" s="112" t="str">
        <f>HYPERLINK("http://www.rki.de/DE/Content/Infekt/Impfen/Materialien/Downloads-Varizellen/muster-varizellen_de.pdf;jsessionid=65B697F4EE7EDA8A1ED9E2C4CD6C74EC.2_cid363?__blob=publicationFile","x")</f>
        <v>x</v>
      </c>
      <c r="FU78" s="112" t="str">
        <f>HYPERLINK("http://www.rki.de/DE/Content/Infekt/Impfen/Materialien/Downloads-Tdap-IPV/muster-Tdap-IPV_de.pdf?__blob=publicationFile","x")</f>
        <v>x</v>
      </c>
      <c r="FV78" s="112" t="str">
        <f>HYPERLINK("http://www.rki.de/DE/Content/Infekt/Impfen/Materialien/Downloads-Influenza_nasal/muster-influenza_nasal_de.pdf?__blob=publicationFile","x")</f>
        <v>x</v>
      </c>
      <c r="FW78" s="112" t="str">
        <f>HYPERLINK("http://www.medical-tribune.de/fileadmin/PDF/Arthrose.pdf","x")</f>
        <v>x</v>
      </c>
      <c r="FX78" s="112" t="str">
        <f>HYPERLINK("http://www.medical-tribune.de/fileadmin/PDF/Asthma.pdf","x")</f>
        <v>x</v>
      </c>
      <c r="FY78" s="112" t="str">
        <f>HYPERLINK("http://www.medical-tribune.de/fileadmin/PDF/Bluthochdruck_deutsch.pdf","x")</f>
        <v>x</v>
      </c>
      <c r="FZ78" s="112" t="str">
        <f>HYPERLINK("http://www.medical-tribune.de/fileadmin/PDF/Cholesterin.pdf","x")</f>
        <v>x</v>
      </c>
      <c r="GA78" s="112" t="str">
        <f>HYPERLINK("http://www.medical-tribune.de/fileadmin/PDF/COPD.pdf","x")</f>
        <v>x</v>
      </c>
      <c r="GB78" s="112" t="str">
        <f>HYPERLINK("http://www.medical-tribune.de/fileadmin/PDF/Demenz_PDF.pdf","x")</f>
        <v>x</v>
      </c>
      <c r="GC78" s="112" t="str">
        <f>HYPERLINK("http://www.ethno-medizinisches-zentrum.de/images/PDF-Files/lf_diabete_deutsch.pdf","x")</f>
        <v>x</v>
      </c>
      <c r="GD78" s="112" t="str">
        <f>HYPERLINK("http://www.medical-tribune.de/fileadmin/PDF/Divertikel_deutsch.pdf","x")</f>
        <v>x</v>
      </c>
      <c r="GE78" s="112" t="str">
        <f>HYPERLINK("http://www.medical-tribune.de/fileadmin/PDF/Durchblutungsstoerungen.pdf","x")</f>
        <v>x</v>
      </c>
      <c r="GF78" s="112" t="str">
        <f>HYPERLINK("http://www.medical-tribune.de/fileadmin/PDF/Gallensteine.pdf","x")</f>
        <v>x</v>
      </c>
      <c r="GG78" s="112" t="str">
        <f>HYPERLINK("http://www.medical-tribune.de/fileadmin/PDF/Gicht.pdf","x")</f>
        <v>x</v>
      </c>
      <c r="GH78" s="112" t="str">
        <f t="shared" ref="GH78" si="389">HYPERLINK("http://www.tipdoc.de/bus/pdf/hepatitis/Hep_B_Webseite.pdf","x")</f>
        <v>x</v>
      </c>
      <c r="GI78" s="112" t="str">
        <f>HYPERLINK("http://www.tipdoc.de/bus/pdf/hepatitis/Hep_C_Webseite.pdf","x")</f>
        <v>x</v>
      </c>
      <c r="GJ78" s="112" t="str">
        <f>HYPERLINK("http://www.tipdoc.de/bus/pdf/hiv/HIV%20ESP_Webseite.pdf","x")</f>
        <v>x</v>
      </c>
      <c r="GK78" s="112" t="str">
        <f>HYPERLINK("http://www.bzga.de/infomaterialien/?sid=-1&amp;ab=10","x")</f>
        <v>x</v>
      </c>
      <c r="GL78" s="112" t="str">
        <f>HYPERLINK("http://www.rki.de/DE/Content/Infekt/Impfen/Materialien/Downloads-Influenza/muster-influenza_de.pdf?__blob=publicationFile","x")</f>
        <v>x</v>
      </c>
      <c r="GM78" s="112" t="str">
        <f>HYPERLINK("http://www.medical-tribune.de/fileadmin/PDF/erkaeltung.pdf","x")</f>
        <v>x</v>
      </c>
      <c r="GN78" s="112" t="str">
        <f>HYPERLINK("http://www.aponet.de/englisch/20151111-so-unterscheiden-sich-grippe-und-erkaeltung.html","x")</f>
        <v>x</v>
      </c>
      <c r="GO78" s="111"/>
      <c r="GP78" s="112" t="str">
        <f>HYPERLINK("http://www.medical-tribune.de/fileadmin/Agenturbilder/KHKpdf.pdf","x")</f>
        <v>x</v>
      </c>
      <c r="GQ78" s="112" t="str">
        <f>HYPERLINK("http://www.tipdoc.com/bus/pdf/kraetze/tipdoc_Scabies_DEU.pdf","x")</f>
        <v>x</v>
      </c>
      <c r="GR78" s="112" t="str">
        <f>HYPERLINK("http://www.tipdoc.com/bus/pdf/MagenDarmHaende/MagenDarmHaende_DEU.pdf","x")</f>
        <v>x</v>
      </c>
      <c r="GS78" s="112" t="str">
        <f>HYPERLINK("http://www.medical-tribune.de/fileadmin/PDF/Migraene.pdf","x")</f>
        <v>x</v>
      </c>
      <c r="GT78" s="112" t="str">
        <f>HYPERLINK("http://www.medical-tribune.de/fileadmin/PDF/Rueckenschmerzen.pdf","x")</f>
        <v>x</v>
      </c>
      <c r="GU78" s="112" t="str">
        <f>HYPERLINK("http://www.medical-tribune.de/fileadmin/PDF/Schlafapnoe.pdf","x")</f>
        <v>x</v>
      </c>
      <c r="GV78" s="112" t="str">
        <f>HYPERLINK("http://www.medical-tribune.de/fileadmin/PDF/Schlafstoerungen.pdf","x")</f>
        <v>x</v>
      </c>
      <c r="GW78" s="112" t="str">
        <f>HYPERLINK("http://www.medical-tribune.de/fileadmin/PDF/Schwindel.pdf","x")</f>
        <v>x</v>
      </c>
      <c r="GX78" s="112" t="str">
        <f>HYPERLINK("http://www.medical-tribune.de/fileadmin/PDF/Sodbrennen.pdf","x")</f>
        <v>x</v>
      </c>
      <c r="GY78" s="112" t="str">
        <f>HYPERLINK("http://www.medical-tribune.de/fileadmin/PDF/SportverletzungenPDF.pdf","x")</f>
        <v>x</v>
      </c>
      <c r="GZ78" s="112" t="str">
        <f>HYPERLINK("http://www.medical-tribune.de/fileadmin/PDF/Thrombose.pdf","x")</f>
        <v>x</v>
      </c>
      <c r="HA78" s="112" t="str">
        <f>HYPERLINK("http://www.medical-tribune.de/fileadmin/PDF/Obstipation.pdf","x")</f>
        <v>x</v>
      </c>
      <c r="HB78" s="112" t="str">
        <f t="shared" si="48"/>
        <v>x</v>
      </c>
      <c r="HC78" s="112" t="str">
        <f>HYPERLINK("https://www.zahnaerzte-wl.de/images/_PDF-suche/KZV_ZÄK/ENDSTAND_Ankreuzbogen_Ich_verstehe.pdf","x")</f>
        <v>x</v>
      </c>
      <c r="HD78" s="112" t="str">
        <f>HYPERLINK("https://www.zahnaerzte-wl.de/images/_PDF-suche/KZV_ZÄK/Anschreiben_Patienten_Deutsch.pdf","x")</f>
        <v>x</v>
      </c>
      <c r="HE78" s="112" t="str">
        <f>HYPERLINK("https://www.zahnaerzte-wl.de/images/_PDF-suche/KZV_ZÄK/Fragebogen_Deutsch.pdf","x")</f>
        <v>x</v>
      </c>
      <c r="HF78" s="112" t="str">
        <f>HYPERLINK("https://www.zahnaerzte-wl.de/images/_PDF-suche/KZV_ZÄK/Patientenerhebungsbogen_Deutsch.pdf","x")</f>
        <v>x</v>
      </c>
      <c r="HG78" s="112" t="str">
        <f>HYPERLINK("https://www.familienratgeber.de/selbstbestimmt_leben/fluechtlinge_behinderung.php","x")</f>
        <v>x</v>
      </c>
      <c r="HH78" s="112" t="str">
        <f>HYPERLINK("http://www.bvkm.de/fileadmin/web_data/Behinderung_und_Migration_deutsch_2014.pdf","x")</f>
        <v>x</v>
      </c>
      <c r="HI78" s="112" t="str">
        <f>HYPERLINK("http://www.ibbc-berlin.de/media/bvkm_Bro_de-tuerk_Berlin_web%20Endversion.pdf","x")</f>
        <v>x</v>
      </c>
      <c r="HJ78" s="112" t="str">
        <f>HYPERLINK("http://www.psychenet.de/psychische-gesundheit/informationen/depression.html","x")</f>
        <v>x</v>
      </c>
      <c r="HK78" s="112" t="str">
        <f>HYPERLINK("http://www.ethno-medizinisches-zentrum.de/images/PDF-Files/lf_depression_d.pdf","x")</f>
        <v>x</v>
      </c>
      <c r="HL78" s="112" t="str">
        <f>HYPERLINK("http://www.psychenet.de/psychische-gesundheit/informationen/psychosen.html","x")</f>
        <v>x</v>
      </c>
      <c r="HM78" s="112" t="str">
        <f>HYPERLINK("http://www.psychenet.de/psychische-gesundheit/informationen/somatoforme-stoerungen.html","x")</f>
        <v>x</v>
      </c>
      <c r="HN78" s="112" t="str">
        <f>HYPERLINK("http://www.psychenet.de/psychische-gesundheit/informationen/magersucht.html","x")</f>
        <v>x</v>
      </c>
      <c r="HO78" s="112" t="str">
        <f>HYPERLINK("http://www.psychenet.de/psychische-gesundheit/informationen/bulimie.html","x")</f>
        <v>x</v>
      </c>
      <c r="HP78" s="112" t="str">
        <f>HYPERLINK("http://www.psychenet.de/psychische-gesundheit/informationen/bipolare-stoerungen.html","x")</f>
        <v>x</v>
      </c>
      <c r="HQ78" s="112" t="str">
        <f>HYPERLINK("http://www.psychenet.de/psychische-gesundheit/informationen/panik-und-agoraphobie.html","x")</f>
        <v>x</v>
      </c>
      <c r="HR78" s="112" t="str">
        <f>HYPERLINK("http://www.psychenet.de/psychische-gesundheit/informationen/soziale-phobie.html","x")</f>
        <v>x</v>
      </c>
      <c r="HS78" s="112" t="str">
        <f>HYPERLINK("http://www.psychenet.de/psychische-gesundheit/informationen/generalisierte-angststoerung.html","x")</f>
        <v>x</v>
      </c>
      <c r="HT78" s="112" t="str">
        <f>HYPERLINK("http://www.psychenet.de/psychische-gesundheit/informationen/burnout.html","x")</f>
        <v>x</v>
      </c>
      <c r="HU78" s="112" t="str">
        <f>HYPERLINK("http://www.psychenet.de/psychische-gesundheit/informationen/information-und-unterstuetzung.html","x")</f>
        <v>x</v>
      </c>
      <c r="HV78" s="112" t="str">
        <f>HYPERLINK("http://www.medical-tribune.de/fileadmin/PDF/MT_Patienteninfo_Restlesslegs.pdf","x")</f>
        <v>x</v>
      </c>
      <c r="HW78" s="112" t="str">
        <f>HYPERLINK("http://www.bkk-psychisch-gesund.de/fileadmin/user_upload/Dokumente/Versicherte/Broschueren/Wegweiser_Psychotherapie_deutsch.pdf","x")</f>
        <v>x</v>
      </c>
      <c r="HX78" s="112" t="str">
        <f>HYPERLINK("http://www.selfhelpfortrauma.org/","x")</f>
        <v>x</v>
      </c>
      <c r="HY78" s="112" t="str">
        <f>HYPERLINK("http://peacefulheart.se/wp-content/uploads/2014/12/Resolving-Yesterday-20141201-Self-Tapping.pdf","x")</f>
        <v>x</v>
      </c>
      <c r="HZ78" s="112"/>
      <c r="IA78" s="112" t="str">
        <f>HYPERLINK("http://www.frnrw.de/index.php/inhaltliche-themen/krankheit-traumatisierung/item/2059-traumatisierung-bei-flüchtlingen","x")</f>
        <v>x</v>
      </c>
      <c r="IB78" s="112" t="str">
        <f>HYPERLINK("http://www.susannestein.de/VIA-online/traumabilderbuch.html","x")</f>
        <v>x</v>
      </c>
      <c r="IC78" s="112" t="str">
        <f>HYPERLINK("http://www.susannestein.de/VIA-online/trauma-bilderbuch.pdf","x")</f>
        <v>x</v>
      </c>
      <c r="ID78" s="112" t="str">
        <f>HYPERLINK("http://www.psychenet.de/psychische-gesundheit/informationen/alkohol-im-jugendalter.html#c1033","x")</f>
        <v>x</v>
      </c>
      <c r="IE78" s="112" t="str">
        <f>HYPERLINK("http://www.stadt-koeln.de/mediaasset/content/pdf53/1-5.pdf","x")</f>
        <v>x</v>
      </c>
      <c r="IF78" s="112" t="str">
        <f>HYPERLINK("http://www.jameda.de/krankheiten-lexikon/suchterkrankungen/","x")</f>
        <v>x</v>
      </c>
      <c r="IG78" s="112" t="str">
        <f>HYPERLINK("http://www.ethno-medizinisches-zentrum.de/images/PDF-Files/lf__mediensucht_d_geschutzt.pdf","x")</f>
        <v>x</v>
      </c>
      <c r="IH78" s="112" t="str">
        <f>HYPERLINK("http://www.caritas.de/hilfeundberatung/onlineberatung/suchtberatung/haeufiggestelltefragensucht/haeufiggestelltefragen-sucht","x")</f>
        <v>x</v>
      </c>
      <c r="II78" s="112" t="str">
        <f>HYPERLINK("http://www.bzga.de/infomaterialien/suchtvorbeugung/","x")</f>
        <v>x</v>
      </c>
      <c r="IJ78" s="112" t="str">
        <f>HYPERLINK("http://www.bamf.de/SharedDocs/Anlagen/DE/Publikationen/Flyer/Lassen-Sie-Sich-Beraten/lassen-sie-sich-beraten.pdf?__blob=publicationFile","x")</f>
        <v>x</v>
      </c>
      <c r="IK78" s="115" t="str">
        <f>HYPERLINK("http://www.bamf.de/SharedDocs/Anlagen/DE/Publikationen/Flyer/flyer-erstorientierung-asylsuchende.pdf?__blob=publicationFile","x")</f>
        <v>x</v>
      </c>
      <c r="IL78" s="112" t="str">
        <f>HYPERLINK("http://www.frnrw.de/index.php/inhaltliche-themen/arbeitshilfen/item/3710-erstinfos-fuer-asylsuchende","x")</f>
        <v>x</v>
      </c>
      <c r="IM78" s="112" t="str">
        <f>HYPERLINK("https://www.bamf.de/SharedDocs/Anlagen/DE/Publikationen/Broschueren/willkommen-in-deutschland.pdf?__blob=publicationFile","x")</f>
        <v>x</v>
      </c>
      <c r="IN78" s="112" t="str">
        <f>HYPERLINK("https://land.nrw/sites/default/files/asset/document/mfa062915_broschure_ankommen_in_nrw_rz_web_0.pdf","x")</f>
        <v>x</v>
      </c>
      <c r="IO78" s="112" t="str">
        <f>HYPERLINK("http://www.frnrw.de/images/Netzheft.pdf","x")</f>
        <v>x</v>
      </c>
      <c r="IP78" s="112" t="str">
        <f>HYPERLINK("http://www.bamf.de/SharedDocs/Anlagen/DE/Publikationen/Flyer/Lernen-Sie-Deutsch/lernen-sie-deutsch.pdf?__blob=publicationFile","x")</f>
        <v>x</v>
      </c>
      <c r="IQ78" s="112" t="str">
        <f>HYPERLINK("http://www.asyl.net/fileadmin/user_upload/redaktion/Dokumente/Arbeitshilfen/150910_Wie_l%C3%A4uft_ein_Asylverfahren_ab_%C3%9Cberblickstext_Deutsch.pdf","x")</f>
        <v>x</v>
      </c>
      <c r="IR78" s="112" t="str">
        <f>HYPERLINK("http://www.bamf.de/SharedDocs/Anlagen/DE/Publikationen/Broschueren/das-deutsche-asylverfahren.pdf?__blob=publicationFile","x")</f>
        <v>x</v>
      </c>
      <c r="IS78" s="112" t="str">
        <f>HYPERLINK("http://www.bamf.de/SharedDocs/Anlagen/DE/Publikationen/Flyer/ablauf-asylverfahren.pdf;jsessionid=DBD4307960D761935FCC3E0325D459A1.1_cid294?__blob=publicationFile","x")</f>
        <v>x</v>
      </c>
      <c r="IT78" s="112" t="str">
        <f>HYPERLINK("http://efi-landsberg.de/asyl/wp-content/uploads/2014/04/Asyl-Information-4-Grundlagen-des-Asylverfahrens.pdf","x")</f>
        <v>x</v>
      </c>
      <c r="IU78" s="112" t="str">
        <f>HYPERLINK("http://www.asyl.net/fileadmin/user_upload/infoblatt_anhoerung/Infoblatt_Asyl_dt_2015fin.pdf","x")</f>
        <v>x</v>
      </c>
      <c r="IV78" s="112" t="str">
        <f>HYPERLINK("http://efi-landsberg.de/asyl/wp-content/uploads/2014/04/Merkblatt-Asylbewerber-Fluechtlinge.pdf","x")</f>
        <v>x</v>
      </c>
      <c r="IW78" s="112" t="str">
        <f>HYPERLINK("http://www.berlin.de/labo/willkommen-in-berlin/service/downloads/artikel.273193.php","x")</f>
        <v>x</v>
      </c>
      <c r="IX78" s="112" t="str">
        <f>HYPERLINK("http://www.bamf.de/SharedDocs/Anlagen/DE/Publikationen/Broschueren/broschuere-eat-a4.pdf?__blob=publicationFile","x")</f>
        <v>x</v>
      </c>
      <c r="IY78" s="112" t="str">
        <f>HYPERLINK("http://spandau-hilft-gerne.de/index.php/download.php","x")</f>
        <v>x</v>
      </c>
      <c r="IZ78" s="112"/>
      <c r="JA78" s="112" t="str">
        <f>HYPERLINK("http://fluechtlingsrat-bw.de/files/Dateien/Dokumente/Materialbestellung/2014-12-flyer-aufenthaltsgestattung%20WEB.pdf","x")</f>
        <v>x</v>
      </c>
      <c r="JB78" s="112" t="str">
        <f>HYPERLINK("http://www.bamf.de/SharedDocs/Anlagen/DE/Publikationen/Flyer/20140110_ura2-kinderprojekt_de.pdf?__blob=publicationFile","x")</f>
        <v>x</v>
      </c>
      <c r="JC78" s="112" t="str">
        <f>HYPERLINK("http://fluechtlingsrat-bw.de/files/Dateien/Dokumente/Materialbestellung/2014-12-flyer-duldung%20WEB.pdf","x")</f>
        <v>x</v>
      </c>
      <c r="JD78" s="112" t="str">
        <f>HYPERLINK("http://www.bmi.bund.de/SharedDocs/Downloads/DE/Themen/MigrationIntegration/wege-zur-einbuergerung.pdf;jsessionid=811BF77719B5A2A48F53AF49191FA761.2_cid295?__blob=publicationFile","x")</f>
        <v>x</v>
      </c>
      <c r="JE78" s="112" t="str">
        <f>HYPERLINK("http://oet.bamf.de/pls/oetut/f?p=512:2:0::NO:::","x")</f>
        <v>x</v>
      </c>
      <c r="JF78" s="112" t="str">
        <f>HYPERLINK("http://www.bamf.de/SharedDocs/Anlagen/DE/Publikationen/Flyer/Ehegattennachzug/ehegattennachzug.pdf?__blob=publicationFile","x")</f>
        <v>x</v>
      </c>
      <c r="JG78" s="112" t="str">
        <f>HYPERLINK("https://familyreunion-syria.diplo.de/webportal/index.html#start","x")</f>
        <v>x</v>
      </c>
      <c r="JH78" s="111"/>
      <c r="JI78" s="112" t="str">
        <f>HYPERLINK("http://www.gesetze-im-internet.de/asylblg/BJNR107410993.html","x")</f>
        <v>x</v>
      </c>
      <c r="JJ78" s="112" t="str">
        <f>HYPERLINK("https://www.arbeitsagentur.de/web/wcm/idc/groups/public/documents/webdatei/mdaw/mjgz/~edisp/l6019022dstbai784627.pdf?_ba.sid=L6019022DSTBAI784624","x")</f>
        <v>x</v>
      </c>
      <c r="JK78" s="112"/>
      <c r="JL78" s="112"/>
      <c r="JM78" s="112" t="str">
        <f>HYPERLINK("http://efi-landsberg.de/asyl/wp-content/uploads/2014/04/Flyer-Bildungspaket.pdf","x")</f>
        <v>x</v>
      </c>
      <c r="JN78" s="112" t="str">
        <f>HYPERLINK("http://efi-landsberg.de/asyl/wp-content/uploads/2014/04/Antrag-Leistungen-Bildung-u-Teilhabe.pdf","x")</f>
        <v>x</v>
      </c>
      <c r="JO78" s="112" t="str">
        <f>HYPERLINK("http://efi-landsberg.de/asyl/wp-content/uploads/2014/04/Antrag-Leistungen-Bildung-u-Teilhabe-Anlage-Lernförderbedarf.pdf","x")</f>
        <v>x</v>
      </c>
      <c r="JP78" s="112" t="str">
        <f>HYPERLINK("http://efi-landsberg.de/asyl/wp-content/uploads/2014/04/Antrag-auf-Beratungshilfe.pdf","x")</f>
        <v>x</v>
      </c>
      <c r="JQ78" s="112" t="str">
        <f>HYPERLINK("http://www.ibla-germany.de/merkblaetter.php","x")</f>
        <v>x</v>
      </c>
      <c r="JR78" s="112" t="str">
        <f>HYPERLINK("http://www.ag-fluechtlingshilfe-wetterau.de/uploads/infos/107.pdf","x")</f>
        <v>x</v>
      </c>
      <c r="JS78" s="112" t="str">
        <f>HYPERLINK("http://www.b-umf.de/images/willkommen/willkommendeutsch-web.pdf","x")</f>
        <v>x</v>
      </c>
      <c r="JT78" s="112" t="str">
        <f>HYPERLINK("http://www.bildungsserver.de/Junge-unbegleitete-Fluechtlinge-11429.html","x")</f>
        <v>x</v>
      </c>
      <c r="JU78" s="112" t="str">
        <f>HYPERLINK("http://bleibinbw.de/tl_files/dokumente/OEFFENTLICHE%20Dokumente/NEWS%20Materialien/2012-04-flyer-bleiberecht-jugendliche-WEB.pdf","x")</f>
        <v>x</v>
      </c>
      <c r="JV78" s="112" t="str">
        <f>HYPERLINK("http://www.fluechtlingsrat-thr.de/sites/fluechtlingsrat/files/pdf/umF/B-umF_Arbeitshilfe_Ablauf-Vorl.-Inobhutnahme.pdf","x")</f>
        <v>x</v>
      </c>
      <c r="JW78" s="112" t="str">
        <f>HYPERLINK("https://www.arbeitsagentur.de/web/wcm/idc/groups/public/documents/webdatei/mdaw/mjgz/~edisp/l6019022dstbai784635.pdf?_ba.sid=L6019022DSTBAI784632","x")</f>
        <v>x</v>
      </c>
      <c r="JX78" s="112"/>
      <c r="JY78" s="112"/>
      <c r="JZ78" s="112" t="str">
        <f>HYPERLINK("http://www.kas.de/wf/de/33.43117/","x")</f>
        <v>x</v>
      </c>
      <c r="KA78" s="112" t="str">
        <f>HYPERLINK("http://www.refugeeguide.de/dl/RefugeeGuide_de_925.pdf","x")</f>
        <v>x</v>
      </c>
      <c r="KB78" s="112" t="str">
        <f>HYPERLINK("https://www.btg-bestellservice.de/pdf/10060000.pdf","x")</f>
        <v>x</v>
      </c>
      <c r="KC78" s="112" t="str">
        <f>HYPERLINK("http://www.wedel.de/fileadmin/user_upload/media/pdf/Rathaus_und_Politik/20160118_PM_Broschuere.pdf","x")</f>
        <v>x</v>
      </c>
      <c r="KD78" s="112" t="str">
        <f>HYPERLINK("http://www.frauenrechte.de/online/images/downloads/allgemein/TDF_Flyer_Women_Men.pdf","x")</f>
        <v>x</v>
      </c>
      <c r="KE78" s="112" t="str">
        <f>HYPERLINK("http://sab.landtag.sachsen.de/dokumente/landtagskurier/Grundwerte-A5-international_web_08012016.pdf","x")</f>
        <v>x</v>
      </c>
      <c r="KF78" s="112" t="str">
        <f>HYPERLINK("https://de.wikipedia.org/wiki/Politisches_System_der_Bundesrepublik_Deutschland","x")</f>
        <v>x</v>
      </c>
      <c r="KG78" s="112" t="str">
        <f>HYPERLINK("http://www.bpb.de/shop/lernen/Spicker-Politik/192702/das-grundgesetz-gg","x")</f>
        <v>x</v>
      </c>
      <c r="KH78" s="112" t="str">
        <f>HYPERLINK("http://wiki.schoolix.org/Die_Bundestagswahl","x")</f>
        <v>x</v>
      </c>
      <c r="KI78" s="112" t="str">
        <f>HYPERLINK("http://lewebpedagogique.com/deutschlernen/files/2009/04/politik.jpg","x")</f>
        <v>x</v>
      </c>
      <c r="KJ78" s="112" t="str">
        <f>HYPERLINK("https://www.bpb.de/system/files/pdf/ACJD7O.pdf","x")</f>
        <v>x</v>
      </c>
      <c r="KK78" s="112" t="str">
        <f>HYPERLINK("http://www.bing.com/search?q=Themenbl%C3%A4tter+im+UNterricht+Nr.+78&amp;qs=n&amp;form=QBRE&amp;pq=themenbl%C3%A4tter+im+unterricht+nr.+78&amp;sc=0-28&amp;sp=-1&amp;sk=&amp;cvid=2452B36FE81A49D4B78DCF13E9A9CFF5","x")</f>
        <v>x</v>
      </c>
      <c r="KL78" s="112" t="str">
        <f>HYPERLINK("http://www.bpb.de/shop/lernen/thema-im-unterricht/36917/politik-fuer-einsteiger","x")</f>
        <v>x</v>
      </c>
      <c r="KM78" s="112" t="str">
        <f>HYPERLINK("http://www.bing.com/search?q=Politik+f%C3%BCr+Einsteiger+L%C3%96sungen&amp;qs=n&amp;form=QBRE&amp;pq=politik+f%C3%BCr+einsteiger+l%C3%B6sungen&amp;sc=1-31&amp;sp=-1&amp;sk=&amp;cvid=9756181396B54723AD0869534FE3E5BB","x")</f>
        <v>x</v>
      </c>
      <c r="KN78" s="112" t="str">
        <f>HYPERLINK("http://www.bpb.de/shop/lernen/Spicker-Politik/156835/bundestagswahl-2013-kurzgefasst","x")</f>
        <v>x</v>
      </c>
      <c r="KO78" s="112" t="str">
        <f>HYPERLINK("http://www.bpb.de/shop/lernen/Spicker-Politik/165940/wie-aus-stimmen-sitze-werden","x")</f>
        <v>x</v>
      </c>
      <c r="KP78" s="112" t="str">
        <f>HYPERLINK("http://www.bpb.de/shop/lernen/Spicker-Politik/209909/die-bundesregierung","x")</f>
        <v>x</v>
      </c>
      <c r="KQ78" s="112" t="str">
        <f>HYPERLINK("http://www.bpb.de/shop/lernen/Spicker-Politik/209906/der-bundespraesident","x")</f>
        <v>x</v>
      </c>
      <c r="KR78" s="112" t="str">
        <f>HYPERLINK("http://www.bpb.de/shop/lernen/Spicker-Politik/34384/der-deutsche-bundestag","x")</f>
        <v>x</v>
      </c>
      <c r="KS78" s="112" t="str">
        <f>HYPERLINK("http://www.bpb.de/shop/lernen/Spicker-Politik/193030/parlamentarische-besonderheiten","x")</f>
        <v>x</v>
      </c>
      <c r="KT78" s="112" t="str">
        <f>HYPERLINK("http://www.bpb.de/shop/lernen/Spicker-Politik/34374/gesetzgebung","x")</f>
        <v>x</v>
      </c>
      <c r="KU78" s="112" t="str">
        <f>HYPERLINK("http://www.bpb.de/shop/lernen/Spicker-Politik/156828/7-aktuelle-fragen-an-die-politik","x")</f>
        <v>x</v>
      </c>
      <c r="KV78" s="112" t="str">
        <f>HYPERLINK("http://www.bpb.de/shop/lernen/Spicker-Politik/217681/flucht-und-asyl-2015","x")</f>
        <v>x</v>
      </c>
      <c r="KW78" s="112" t="str">
        <f>HYPERLINK("http://www.bpb.de/shop/lernen/Spicker-Politik/34369/mauerbau-13-august-1961","x")</f>
        <v>x</v>
      </c>
      <c r="KX78" s="112" t="str">
        <f>HYPERLINK("http://www.bpb.de/shop/lernen/Spicker-Politik/156832/verstehen-wir-uns-richtig","x")</f>
        <v>x</v>
      </c>
      <c r="KY78" s="112" t="str">
        <f>HYPERLINK("http://www.bpb.de/shop/lernen/Spicker-Politik/34379/europaeische-union","x")</f>
        <v>x</v>
      </c>
      <c r="KZ78" s="112" t="str">
        <f>HYPERLINK("http://www.bpb.de/shop/lernen/Spicker-Politik/204727/7-vorurteile-gegen-die-europaeische-union-eu","x")</f>
        <v>x</v>
      </c>
      <c r="LA78" s="112" t="str">
        <f>HYPERLINK("http://www.cloeser.org/pub/Staatsrecht_+_Verfassungsprozessrecht/15a%20Legitimationskette%20Bundesebene.pdf","x")</f>
        <v>x</v>
      </c>
      <c r="LB78" s="112" t="str">
        <f>HYPERLINK("http://www.kvn.de/Praxis/binarywriterservlet?imgUid=4aa7053a-57a5-4051-e581-fee3b8ff6bcb&amp;uBasVariant=11111111-1111-1111-1111-111111111111","x")</f>
        <v>x</v>
      </c>
      <c r="LC78" s="112" t="str">
        <f>HYPERLINK("http://efi-landsberg.de/asyl/wp-content/uploads/2014/04/Basic-Info-Asyl.pdf","x")</f>
        <v>x</v>
      </c>
      <c r="LD78" s="112" t="str">
        <f>HYPERLINK("http://www.bamf.de/SharedDocs/Anlagen/DE/Publikationen/Flyer/informationszentrum-asyl-und-migration.pdf?__blob=publicationFile","x")</f>
        <v>x</v>
      </c>
      <c r="LE78" s="112" t="str">
        <f>HYPERLINK("http://www.asyl.net/fileadmin/user_upload/redaktion/Dokumente/Publikationen/Basisinformationen/Basisinf1.pdf","x")</f>
        <v>x</v>
      </c>
      <c r="LF78" s="112" t="str">
        <f>HYPERLINK("http://www.asyl.net/index.php?id=329","x")</f>
        <v>x</v>
      </c>
      <c r="LG78" s="112" t="str">
        <f>HYPERLINK("http://www.asyl.net/fileadmin/user_upload/redaktion/Dokumente/Publikationen/Basisinformationen/Basisinf_2_Dublin_fin.pdf","x")</f>
        <v>x</v>
      </c>
      <c r="LH78" s="112" t="str">
        <f>HYPERLINK("http://www.fluechtlingshilfe-bw.de/fileadmin/_flh/Praxistipps/Handbuch-Fluechtlingshilfe-3.Aufl-WEB-DB.pdf","x")</f>
        <v>x</v>
      </c>
      <c r="LI78" s="112" t="str">
        <f>HYPERLINK("http://www.ag-fluechtlingshilfe-wetterau.de/uploads/infos/145.pdf","x")</f>
        <v>x</v>
      </c>
      <c r="LJ78" s="112" t="str">
        <f>HYPERLINK("https://caritas.erzbistum-koeln.de/export/sites/caritas/koeln-cv/.content/.galleries/downloads/Ratgeber_Ehrenamt_Fluechtlinge.pdf","x")</f>
        <v>x</v>
      </c>
      <c r="LK78" s="112"/>
      <c r="LL78" s="112" t="str">
        <f>HYPERLINK("http://www.bagljae.de/downloads/118_handlungsempfehlungen-umf_2014.pdf","x")</f>
        <v>x</v>
      </c>
      <c r="LM78" s="112" t="str">
        <f>HYPERLINK("http://mifkjf.rlp.de/fileadmin/mifkjf/Frauen/Gewalt_gegen_Frauen/Downloads/Broschueren_Flyer/MaedchenKonflikts_PLP.pdf","x")</f>
        <v>x</v>
      </c>
      <c r="LN78" s="112" t="str">
        <f>HYPERLINK("http://www.medicamondiale.org/fileadmin/redaktion/5_Service/Mediathek/Dokumente/Deutsch/Flyer_Infoblaetter/Tipps_fuer_Fluechtlings-HelferInnen_medica-mondiale_Stand-10-2015.pdf","x")</f>
        <v>x</v>
      </c>
      <c r="LO78" s="112" t="str">
        <f>HYPERLINK("http://www.medicamondiale.org/fileadmin/redaktion/5_Service/Mediathek/Dokumente/Deutsch/Flyer_Infoblaetter/medica-mondiale_Trauma-sensibler-Ansatz_Stand_02-2015.pdf","x")</f>
        <v>x</v>
      </c>
      <c r="LP78" s="112" t="str">
        <f>HYPERLINK("http://www.bamf.de/SharedDocs/Anlagen/DE/Publikationen/Migrationsatlas/migrationsatlas-2013-08.pdf?__blob=publicationFile","x")</f>
        <v>x</v>
      </c>
      <c r="LQ78" s="112" t="str">
        <f>HYPERLINK("http://www.ag-fluechtlingshilfe-wetterau.de/uploads/infos/228.pdf","x")</f>
        <v>x</v>
      </c>
      <c r="LR78" s="112" t="str">
        <f>HYPERLINK("http://www.ag-fluechtlingshilfe-wetterau.de/uploads/infos/190.pdf","x")</f>
        <v>x</v>
      </c>
      <c r="LS78" s="112" t="str">
        <f>HYPERLINK("http://www.bamf.de/SharedDocs/Anlagen/DE/Publikationen/EMN/Nationale-Studien-WorkingPaper/emn-wp60-minderjaehrige-in-deutschland.pdf?__blob=publicationFile","x")</f>
        <v>x</v>
      </c>
      <c r="LT78" s="112" t="str">
        <f>HYPERLINK("http://www.tagesschau.de/inland/fluechtlinge-bargeld-101.html","x")</f>
        <v>x</v>
      </c>
      <c r="LU78" s="112" t="str">
        <f>HYPERLINK("http://www.zeit.de/gesellschaft/zeitgeschehen/2016-01/sexmob-koeln-kriminalitaet-strafrecht-fischer-im-recht","x")</f>
        <v>x</v>
      </c>
      <c r="LV78" s="112" t="str">
        <f>HYPERLINK("http://www.welt.de/regionales/hamburg/article151345413/Hamburg-testet-Hightech-Praxis-fuer-Fluechtlinge.html","x")</f>
        <v>x</v>
      </c>
      <c r="LW78" s="112" t="str">
        <f>HYPERLINK("http://www.ag-fluechtlingshilfe-wetterau.de/uploads/infos/245.pdf","x")</f>
        <v>x</v>
      </c>
      <c r="LX78" s="112" t="str">
        <f>HYPERLINK("http://bildkorrektur.tumblr.com/","x")</f>
        <v>x</v>
      </c>
      <c r="LY78" s="112" t="str">
        <f>HYPERLINK("http://www.bjf.info/projekte/cinemanya","x")</f>
        <v>x</v>
      </c>
      <c r="LZ78" s="112" t="str">
        <f>HYPERLINK("http://www.fluechtlinge-mtk.de/uploads/infos/51.pdf","x")</f>
        <v>x</v>
      </c>
      <c r="MA78" s="112" t="str">
        <f>HYPERLINK("http://www.ag-fluechtlingshilfe-wetterau.de/uploads/infos/51.pdf","x")</f>
        <v>x</v>
      </c>
      <c r="MB78" s="112" t="str">
        <f>HYPERLINK("http://www.rki.de/DE/Content/Infekt/IfSG/Belehrungsbogen/belehrungsbogen_schulen.pdf?__blob=publicationFile","x")</f>
        <v>x</v>
      </c>
      <c r="MC78" s="112" t="str">
        <f>HYPERLINK("http://www.rki.de/DE/Content/Infekt/IfSG/Belehrungsbogen/belehrungsbogen_lebensmittel_deutsch.pdf?__blob=publicationFile","x")</f>
        <v>x</v>
      </c>
      <c r="MD78" s="112" t="str">
        <f>HYPERLINK("http://www.rki.de/DE/Content/Gesundheitsmonitoring/Gesundheitsberichterstattung/GesundAZ/Content/A/Asylsuchende/Inhalt/Management_Ausbrueche.pdf?__blob=publicationFile","x")</f>
        <v>x</v>
      </c>
      <c r="ME78" s="112" t="str">
        <f>HYPERLINK("http://www.gdv.de/wp-content/uploads/2016/01/Information_Brandschutz_Fluechtlingsheim_-Sicherheit_mehrsprachig.pdf","x")</f>
        <v>x</v>
      </c>
      <c r="MF78" s="112" t="str">
        <f>HYPERLINK("http://www.gdv.de/wp-content/uploads/2016/01/Information_Verhalten-im-Brandfall_mehrsprachig.pdf","x")</f>
        <v>x</v>
      </c>
      <c r="MG78" s="112" t="str">
        <f>HYPERLINK("http://www.aha-region.de/fileadmin/Download/pdf/aha_Plakat_Muelltrennung_de.pdf","x")</f>
        <v>x</v>
      </c>
      <c r="MH78" s="112" t="str">
        <f>HYPERLINK("http://www.kindersicherheit.de/pdf/2012_poster_achtunggiftig_8sprachig.pdf","x")</f>
        <v>x</v>
      </c>
    </row>
    <row r="79" spans="1:346" x14ac:dyDescent="0.25">
      <c r="A79" s="101" t="s">
        <v>4</v>
      </c>
      <c r="B79" s="102"/>
      <c r="C79" s="102"/>
      <c r="D79" s="102"/>
      <c r="E79" s="102"/>
      <c r="F79" s="102"/>
      <c r="G79" s="102"/>
      <c r="H79" s="102"/>
      <c r="I79" s="102"/>
      <c r="J79" s="103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6"/>
      <c r="AV79" s="106"/>
      <c r="AW79" s="106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9"/>
      <c r="EP79" s="109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5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4"/>
      <c r="JK79" s="104"/>
      <c r="JL79" s="104"/>
      <c r="JM79" s="104"/>
      <c r="JN79" s="104"/>
      <c r="JO79" s="104"/>
      <c r="JP79" s="104"/>
      <c r="JQ79" s="104"/>
      <c r="JR79" s="104"/>
      <c r="JS79" s="104"/>
      <c r="JT79" s="104"/>
      <c r="JU79" s="104"/>
      <c r="JV79" s="104"/>
      <c r="JW79" s="104"/>
      <c r="JX79" s="104"/>
      <c r="JY79" s="104"/>
      <c r="JZ79" s="104"/>
      <c r="KA79" s="104"/>
      <c r="KB79" s="104"/>
      <c r="KC79" s="104"/>
      <c r="KD79" s="104"/>
      <c r="KE79" s="104"/>
      <c r="KF79" s="104"/>
      <c r="KG79" s="104"/>
      <c r="KH79" s="104"/>
      <c r="KI79" s="104"/>
      <c r="KJ79" s="104"/>
      <c r="KK79" s="104"/>
      <c r="KL79" s="104"/>
      <c r="KM79" s="104"/>
      <c r="KN79" s="104"/>
      <c r="KO79" s="104"/>
      <c r="KP79" s="104"/>
      <c r="KQ79" s="104"/>
      <c r="KR79" s="104"/>
      <c r="KS79" s="104"/>
      <c r="KT79" s="104"/>
      <c r="KU79" s="104"/>
      <c r="KV79" s="104"/>
      <c r="KW79" s="104"/>
      <c r="KX79" s="104"/>
      <c r="KY79" s="104"/>
      <c r="KZ79" s="104"/>
      <c r="LA79" s="104"/>
      <c r="LB79" s="104"/>
      <c r="LC79" s="104"/>
      <c r="LD79" s="104"/>
      <c r="LE79" s="104"/>
      <c r="LF79" s="104"/>
      <c r="LG79" s="104"/>
      <c r="LH79" s="104"/>
      <c r="LI79" s="104"/>
      <c r="LJ79" s="104"/>
      <c r="LK79" s="104"/>
      <c r="LL79" s="104"/>
      <c r="LM79" s="104"/>
      <c r="LN79" s="104"/>
      <c r="LO79" s="104"/>
      <c r="LP79" s="104"/>
      <c r="LQ79" s="104"/>
      <c r="LR79" s="104"/>
      <c r="LS79" s="104"/>
      <c r="LT79" s="104"/>
      <c r="LU79" s="104"/>
      <c r="LV79" s="104"/>
      <c r="LW79" s="104"/>
      <c r="LX79" s="104"/>
      <c r="LY79" s="104"/>
      <c r="LZ79" s="104"/>
      <c r="MA79" s="104"/>
      <c r="MB79" s="104"/>
      <c r="MC79" s="104"/>
      <c r="MD79" s="104"/>
      <c r="ME79" s="104"/>
      <c r="MF79" s="104"/>
      <c r="MG79" s="104"/>
      <c r="MH79" s="104"/>
    </row>
    <row r="80" spans="1:346" x14ac:dyDescent="0.25">
      <c r="A80" s="110" t="s">
        <v>4</v>
      </c>
      <c r="B80" s="101" t="s">
        <v>380</v>
      </c>
      <c r="C80" s="102"/>
      <c r="D80" s="102"/>
      <c r="E80" s="102"/>
      <c r="F80" s="102"/>
      <c r="G80" s="102"/>
      <c r="H80" s="102"/>
      <c r="I80" s="102"/>
      <c r="J80" s="103"/>
      <c r="K80" s="111"/>
      <c r="L80" s="111"/>
      <c r="M80" s="112" t="str">
        <f t="shared" ref="M80:M105" si="390">HYPERLINK("http://www.ag-fluechtlingshilfe-wetterau.de/uploads/infos/170.pdf","x")</f>
        <v>x</v>
      </c>
      <c r="N80" s="112" t="str">
        <f t="shared" ref="N80:N105" si="391">HYPERLINK("http://www.ag-fluechtlingshilfe-wetterau.de/uploads/infos/220.pdf","x")</f>
        <v>x</v>
      </c>
      <c r="O80" s="112" t="str">
        <f>HYPERLINK("http://www.awb-ahrweiler.de/admin/data/ddownload/Abfall%20Sonderhinweise-englisch_2014.pdf","x")</f>
        <v>x</v>
      </c>
      <c r="P80" s="112" t="str">
        <f t="shared" ref="P80:P105" si="392">HYPERLINK("http://www.ag-fluechtlingshilfe-wetterau.de/uploads/infos/221.pdf","x")</f>
        <v>x</v>
      </c>
      <c r="Q80" s="112" t="str">
        <f t="shared" ref="Q80:Q105" si="393">HYPERLINK("http://www.konto.org/download/merkblatt-basiskonto-asylbewerber-english.pdf","x")</f>
        <v>x</v>
      </c>
      <c r="R80" s="112"/>
      <c r="S80" s="112" t="str">
        <f t="shared" ref="S80:S105" si="394">HYPERLINK("https://antworten.sparkasse.de/wp-content/uploads/2015/10/English.pdf","x")</f>
        <v>x</v>
      </c>
      <c r="T80" s="112" t="str">
        <f t="shared" ref="T80:T105" si="395">HYPERLINK("http://www.ag-fluechtlingshilfe-wetterau.de/uploads/infos/191.pdf","x")</f>
        <v>x</v>
      </c>
      <c r="U80" s="112"/>
      <c r="V80" s="112"/>
      <c r="W80" s="112" t="str">
        <f t="shared" ref="W80:W105" si="396"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X80" s="112" t="str">
        <f t="shared" ref="X80:X105" si="397"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Y80" s="112"/>
      <c r="Z80" s="112"/>
      <c r="AA80" s="112"/>
      <c r="AB80" s="112" t="str">
        <f t="shared" ref="AB80:AB105" si="398">HYPERLINK("http://www.vzhh.de/vzhh/409638/vzhh_refugees_telephone_internet.pdf","x")</f>
        <v>x</v>
      </c>
      <c r="AC80" s="112" t="str">
        <f t="shared" ref="AC80:AC105" si="399">HYPERLINK("http://www.vzhh.de/vzhh/410647/vzhh_refugees_rundfunk.pdf","x")</f>
        <v>x</v>
      </c>
      <c r="AD80" s="112" t="str">
        <f t="shared" ref="AD80:AD105" si="400">HYPERLINK("http://www.vzhh.de/vzhh/411476/vzhh_refugees_rundfunk_befreiung.pdf","x")</f>
        <v>x</v>
      </c>
      <c r="AE80" s="112" t="str">
        <f>HYPERLINK("http://www.kub-berlin.org/formularprojekt/de/englisch-antraege-und-anlagen-uebersetzungshilfen/","x")</f>
        <v>x</v>
      </c>
      <c r="AF80" s="112" t="str">
        <f t="shared" ref="AF80:AF105" si="401">HYPERLINK("http://asyl-in-moenchengladbach.de/wp-content/uploads/2015/11/100711-Flyer_GB.pdf","x")</f>
        <v>x</v>
      </c>
      <c r="AG80" s="112" t="str">
        <f t="shared" ref="AG80:AG105" si="402">HYPERLINK("http://sghanstedt.elbnetz.com/ueber-uns/","x")</f>
        <v>x</v>
      </c>
      <c r="AH80" s="112" t="str">
        <f t="shared" ref="AH80:AH105" si="403">HYPERLINK("https://www.adac.de/sp/stiftung/_mmm/pdf/SGE_FOL_Verkehrssicherheit_Fl%C3%BCchtlinge_A3_01_16_Internet_250277.pdf","x")</f>
        <v>x</v>
      </c>
      <c r="AI80" s="112" t="str">
        <f t="shared" ref="AI80:AI105" si="404">HYPERLINK("http://www.stadt-koeln.de/mediaasset/content/kvb_kinderleicht_und_spielend_einfach__englisch_.pdf","x")</f>
        <v>x</v>
      </c>
      <c r="AJ80" s="112" t="str">
        <f t="shared" ref="AJ80:AJ105" si="405">HYPERLINK("https://www.vrsinfo.de/fileadmin/Dateien/downloadcenter/Folder_MobilPassTicket_Refugees01012016.pdf","x")</f>
        <v>x</v>
      </c>
      <c r="AK80" s="112" t="str">
        <f t="shared" ref="AK80:AK105" si="406">HYPERLINK("https://www.vrsinfo.de/fileadmin/Dateien/downloadcenter/Willkommen_im_VRS2016_Druck.pdf","x")</f>
        <v>x</v>
      </c>
      <c r="AL80" s="112"/>
      <c r="AM80" s="112" t="str">
        <f>HYPERLINK("https://www.deutschebahn.com/file/de/2191748/eYdgZpqGpp5sMJ2KMKtg2r8aE4Q/10123812/data/infos_fuer_fluechtlinge.pdf","x")</f>
        <v>x</v>
      </c>
      <c r="AN80" s="112"/>
      <c r="AO80" s="112"/>
      <c r="AP80" s="112"/>
      <c r="AQ80" s="112"/>
      <c r="AR80" s="112"/>
      <c r="AS80" s="112"/>
      <c r="AT80" s="112" t="str">
        <f t="shared" ref="AT80:AT105" si="407">HYPERLINK("http://www.stadt-koeln.de/mediaasset/content/festkomitee_flyer_2016_d_gb.pdf","x")</f>
        <v>x</v>
      </c>
      <c r="AU80" s="113"/>
      <c r="AV80" s="114" t="str">
        <f t="shared" ref="AV80:AV105" si="408">HYPERLINK("http://sab.landtag.sachsen.de/dokumente/landtagskurier/SAB_DeutschLernen_DinA5_WEB141115.pdf","x")</f>
        <v>x</v>
      </c>
      <c r="AW80" s="114" t="str">
        <f t="shared" ref="AW80:AW105" si="409">HYPERLINK("http://sab.landtag.sachsen.de/dokumente/landtagskurier/SAB_PL_Lernposter_WEB091115.pdf","x")</f>
        <v>x</v>
      </c>
      <c r="AX80" s="112" t="str">
        <f t="shared" ref="AX80:AX105" si="410">HYPERLINK("http://fi-lohmar-siegburg.de/data/documents/Findefix_arabisch-Bildwoerterbuch.pdf","x")</f>
        <v>x</v>
      </c>
      <c r="AY80" s="111"/>
      <c r="AZ80" s="112" t="str">
        <f t="shared" ref="AZ80:AZ105" si="41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80" s="112" t="str">
        <f t="shared" ref="BA80:BA105" si="412">HYPERLINK("http://wie-kann-ich-helfen.info/WoerterbuchAnalphabet_innen_%28c%29_Dagmar_Schmeelcke.pdf","x")</f>
        <v>x</v>
      </c>
      <c r="BB80" s="111"/>
      <c r="BC80" s="111"/>
      <c r="BD80" s="112" t="str">
        <f t="shared" ref="BD80:BD105" si="413">HYPERLINK("http://fi-lohmar-siegburg.de/data/documents/communicationboard-arabic-english.pdf","x")</f>
        <v>x</v>
      </c>
      <c r="BE80" s="112"/>
      <c r="BF80" s="111"/>
      <c r="BG80" s="112" t="str">
        <f t="shared" ref="BG80:BG105" si="414">HYPERLINK("http://www.refugeephrasebook.de/pdf/germany150920.pdf","x")</f>
        <v>x</v>
      </c>
      <c r="BH80" s="112" t="str">
        <f>HYPERLINK("https://www.advanced-online.eu/downloads/RefugeePhrasebookCards_German-English.pdf","x")</f>
        <v>x</v>
      </c>
      <c r="BI80" s="112" t="str">
        <f t="shared" ref="BI80:BI105" si="415">HYPERLINK("http://www.klett-sprachen.de/download/8638/W100255_Refugees_Welcome_Wortschatz.pdf","x")</f>
        <v>x</v>
      </c>
      <c r="BJ80" s="111"/>
      <c r="BK80" s="112" t="str">
        <f t="shared" ref="BK80:BK105" si="416">HYPERLINK("http://www.bundessprachenamt.de/deutsch/wir_ueber_uns/nachrichten/2015/20151103/Verständigungshilfe_Englisch_26_11_2015.pdf","x")</f>
        <v>x</v>
      </c>
      <c r="BL80" s="112" t="str">
        <f t="shared" ref="BL80:BL105" si="417">HYPERLINK("http://www.frnrw.de/images/Aus_den_Initiativen/Ehrenamtler/2015/Dictionary_x10_print-2.pdf","x")</f>
        <v>x</v>
      </c>
      <c r="BM80" s="112" t="str">
        <f t="shared" ref="BM80:BM105" si="418">HYPERLINK("http://www.medbox.org/toolboxes/kleines-worterbuch-little-dictionary-deutsch-englisch-arabisch/preview","x")</f>
        <v>x</v>
      </c>
      <c r="BN80" s="112" t="str">
        <f t="shared" ref="BN80:BN105" si="419">HYPERLINK("http://mylanguages.org/dari_phrases.php","x")</f>
        <v>x</v>
      </c>
      <c r="BO80" s="111"/>
      <c r="BP80" s="111"/>
      <c r="BQ80" s="111"/>
      <c r="BR80" s="112" t="str">
        <f t="shared" ref="BR80:BR105" si="420">HYPERLINK("http://www.goethe.de/lrn/prj/wnd/deu/lti/deindex.htm#13322010","x")</f>
        <v>x</v>
      </c>
      <c r="BS80" s="112"/>
      <c r="BT80" s="111"/>
      <c r="BU80" s="112" t="str">
        <f t="shared" ref="BU80:BU105" si="421">HYPERLINK("https://s3-eu-west-1.amazonaws.com/lingolia/download/lingolia_daf.pdf","x")</f>
        <v>x</v>
      </c>
      <c r="BV80" s="112" t="str">
        <f t="shared" ref="BV80:BV105" si="422">HYPERLINK("http://www.welcomegrooves.de/wp-content/uploads/2015/10/welcomegrooves_DE-ENGLISH1.pdf","x")</f>
        <v>x</v>
      </c>
      <c r="BW80" s="112"/>
      <c r="BX80" s="112"/>
      <c r="BY80" s="112"/>
      <c r="BZ80" s="112" t="str">
        <f t="shared" ref="BZ80:BZ105" si="423">HYPERLINK("http://www.hueber.de/shared/uebungen/schritte-plus","x")</f>
        <v>x</v>
      </c>
      <c r="CA80" s="112" t="str">
        <f t="shared" ref="CA80:CA105" si="424">HYPERLINK("https://www.hueber.de/shared/uebungen/menschen-hier/ab/a1-1/menu.html","x")</f>
        <v>x</v>
      </c>
      <c r="CB80" s="112" t="str">
        <f t="shared" ref="CB80:CB105" si="425">HYPERLINK("http://www.goethe-verlag.com/DE/","x")</f>
        <v>x</v>
      </c>
      <c r="CC80" s="112"/>
      <c r="CD80" s="112"/>
      <c r="CE80" s="111"/>
      <c r="CF80" s="112" t="str">
        <f t="shared" ref="CF80:CF105" si="426">HYPERLINK("http://www.braunschweig.de/leben/frauen/hilfe/Ohne-Gewalt-leben.pdf","x")</f>
        <v>x</v>
      </c>
      <c r="CG80" s="112" t="str">
        <f>HYPERLINK("http://mifkjf.rlp.de/fileadmin/mifkjf/Frauen/Gewalt_gegen_Frauen/Downloads/Broschueren_Flyer/Flyer_Gewalt_englisch.pdf","x")</f>
        <v>x</v>
      </c>
      <c r="CH80" s="112" t="str">
        <f t="shared" ref="CH80:CH105" si="427">HYPERLINK("https://www.hilfetelefon.de/fileadmin/hilfetelefon_de/Materialien/Flyer/Infoflyer_Hilfetelefon_Gewalt_gegen_Frauen141105_b2.pdf","x")</f>
        <v>x</v>
      </c>
      <c r="CI80" s="112" t="str">
        <f t="shared" ref="CI80:CI105" si="428">HYPERLINK("https://www.hilfetelefon.de/fileadmin/hilfetelefon_de/Materialien/weitere_werbemittel/Klappflyer_Vorder-_und_Rueckseite_opt2.pdf","x")</f>
        <v>x</v>
      </c>
      <c r="CJ80" s="112" t="str">
        <f t="shared" ref="CJ80:CJ105" si="429">HYPERLINK("http://www.e-migrantinnen.de/index.php?de_wichtige-links","x")</f>
        <v>x</v>
      </c>
      <c r="CK80" s="112" t="str">
        <f t="shared" ref="CK80:CK105" si="430">HYPERLINK("http://www.frauenberatungsstelle.de/pdf/Migrantinnen-beraten-Migrantinnen.pdf","x")</f>
        <v>x</v>
      </c>
      <c r="CL80" s="112" t="str">
        <f t="shared" ref="CL80:CL105" si="431">HYPERLINK("http://www.frauenleben.org/spezielle_beratungsangebote/sexualisierte_gewalt.htm","x")</f>
        <v>x</v>
      </c>
      <c r="CM80" s="112"/>
      <c r="CN80" s="112"/>
      <c r="CO80" s="112" t="str">
        <f>HYPERLINK("http://www.schwanger-und-viele-fragen.de/en/","x")</f>
        <v>x</v>
      </c>
      <c r="CP80" s="112"/>
      <c r="CQ8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R80" s="112" t="str">
        <f t="shared" ref="CR80:CR105" si="432">HYPERLINK("http://en.beststart.org/for_parents/are-you-looking-resources-languages-other-english-and-french","x")</f>
        <v>x</v>
      </c>
      <c r="CS80" s="112"/>
      <c r="CT80" s="112" t="str">
        <f>HYPERLINK("http://www.profamilia.de/fileadmin/publikationen/Erwachsene/mehrsprachig/Bro_Verhuetung_engl_2013.pdf","x")</f>
        <v>x</v>
      </c>
      <c r="CU80" s="112" t="str">
        <f t="shared" ref="CU80:CU105" si="433">HYPERLINK("http://www.profamilia.de/fileadmin/publikationen/Erwachsene/mehrsprachig/Bro_Pille_danach_Faltblatt_140122_RZ.pdf","x")</f>
        <v>x</v>
      </c>
      <c r="CV80" s="112" t="str">
        <f t="shared" ref="CV80:CV105" si="434">HYPERLINK("http://www.profamilia.de/fileadmin/publikationen/Reihe_Verhuetungsmethoden/Einleger_englisch.pdf","x")</f>
        <v>x</v>
      </c>
      <c r="CW80" s="112" t="str">
        <f t="shared" ref="CW80:CW105" si="435">HYPERLINK("http://www.profamilia.de/fileadmin/publikationen/Reihe_Koerper_und_Sexualtitaet/Schwangerschaftsabbruch_englisch_2010.pdf","x")</f>
        <v>x</v>
      </c>
      <c r="CX80" s="112" t="str">
        <f t="shared" ref="CX80:CX105" si="436">HYPERLINK("http://www.caritas-schwarzwald-alb-donau.de/68854.html","x")</f>
        <v>x</v>
      </c>
      <c r="CY80" s="112" t="str">
        <f>HYPERLINK("http://www.dgfpi.de/tl_files/download/medien/unwissen-macht-en.pdf","x")</f>
        <v>x</v>
      </c>
      <c r="CZ80" s="112"/>
      <c r="DA80" s="112"/>
      <c r="DB80" s="115" t="str">
        <f t="shared" ref="DB80:DB105" si="437">HYPERLINK("http://www.kindersicherheit.de/pdf/2013_BAG_Tomi_and_Mila_Deutsch_English.pdf","x")</f>
        <v>x</v>
      </c>
      <c r="DC80" s="112"/>
      <c r="DD80" s="112"/>
      <c r="DE80" s="112" t="str">
        <f t="shared" ref="DE80:DE105" si="438">HYPERLINK("http://fi-lohmar-siegburg.de/data/documents/130-37_Inklusion_im_Anfangsunterricht_-_Poster_mit_Situationsbildern.pdf","x")</f>
        <v>x</v>
      </c>
      <c r="DF80" s="115" t="str">
        <f t="shared" ref="DF80:DF105" si="439">HYPERLINK("http://s3-eu-west-1.amazonaws.com/lingolia/calendar/2016/lingolia_2016_de.pdf","x")</f>
        <v>x</v>
      </c>
      <c r="DG80" s="112" t="str">
        <f t="shared" ref="DG80:DG105" si="440">HYPERLINK("http://www.bibliomedia.ch/de/angebote/img/Wimmelbild.jpg","x")</f>
        <v>x</v>
      </c>
      <c r="DH80" s="112" t="str">
        <f t="shared" ref="DH80:DH105" si="441">HYPERLINK("http://www.bibliomedia.ch/de/angebote/dokumente/Wimmelbild_Fehler.jpg","x")</f>
        <v>x</v>
      </c>
      <c r="DI80" s="112"/>
      <c r="DJ80" s="112"/>
      <c r="DK80" s="112"/>
      <c r="DL80" s="112"/>
      <c r="DM80" s="112"/>
      <c r="DN80" s="112" t="str">
        <f t="shared" ref="DN80:DN105" si="442">HYPERLINK("http://www.wdrmaus.de/sachgeschichten/maus-international/","x")</f>
        <v>x</v>
      </c>
      <c r="DO80" s="111"/>
      <c r="DP80" s="111"/>
      <c r="DQ80" s="112" t="str">
        <f t="shared" ref="DQ80:DQ105" si="443">HYPERLINK("https://broschueren.nordrheinwestfalendirekt.de/broschuerenservice/msw/eng-das-schulsystem-in-nordrhein-westfalen-einfach-und-schnell-erklaert/1902","x")</f>
        <v>x</v>
      </c>
      <c r="DR80" s="112" t="str">
        <f>HYPERLINK("http://bildung.koeln.de/materialbibliothek/download.php?idx=8e2a9f658e9fa830ce17dc18f0fb0268","x")</f>
        <v>x</v>
      </c>
      <c r="DS80" s="112" t="str">
        <f>HYPERLINK("http://bildung.koeln.de/materialbibliothek/download.php?idx=90aff7e7259385cadb46c517317f1446","x")</f>
        <v>x</v>
      </c>
      <c r="DT80" s="112"/>
      <c r="DU80" s="112" t="str">
        <f t="shared" ref="DU80:DU105" si="444">HYPERLINK("https://www.bmbf.de/pub/Kausa_Elternbroschuere_englisch.pdf","x")</f>
        <v>x</v>
      </c>
      <c r="DV80" s="112"/>
      <c r="DW80" s="112" t="str">
        <f>HYPERLINK("http://www.wissenschaft.nrw.de/studium/informieren/informationen-fuer-fluechtlinge-die-in-nrw-studieren-moechten/","x")</f>
        <v>x</v>
      </c>
      <c r="DX80" s="112" t="str">
        <f t="shared" ref="DX80:DX105" si="445">HYPERLINK("http://www.bamf.de/SharedDocs/Anlagen/DE/Publikationen/Flyer/AnerkennungBerufsabschluss/berufliche_anerkennung_akademische-heilberufe_en.pdf?__blob=publicationFile","x")</f>
        <v>x</v>
      </c>
      <c r="DY80" s="112" t="str">
        <f t="shared" ref="DY80:DY105" si="446">HYPERLINK("http://www.bamf.de/SharedDocs/Anlagen/EN/Publikationen/Flyer/AnerkennungBerufsabschluss/anerkennung-berufsabschluss.pdf?__blob=publicationFile","x")</f>
        <v>x</v>
      </c>
      <c r="DZ80" s="112" t="str">
        <f t="shared" ref="DZ80:DZ105" si="447">HYPERLINK("http://www.bamf.de/SharedDocs/Anlagen/EN/Publikationen/Flyer/AnerkennungBerufsabschluss/anerkennung-berufsabschluss_ausland.pdf?__blob=publicationFile","x")</f>
        <v>x</v>
      </c>
      <c r="EA80" s="112" t="str">
        <f t="shared" ref="EA80:EA105" si="448">HYPERLINK("http://www.bamf.de/SharedDocs/Anlagen/EN/Publikationen/Broschueren/willkommen-in-deutschland-info-blaue-karte-eu_en.pdf?__blob=publicationFile","x")</f>
        <v>x</v>
      </c>
      <c r="EB80" s="112" t="str">
        <f t="shared" ref="EB80:EB105" si="449">HYPERLINK("http://www.bamf.de/SharedDocs/Anlagen/EN/Publikationen/Flyer/Berufsbezsprachf-ESF-BAMF/berufsbezsprachf-esf-bamf.pdf?__blob=publicationFile","x")</f>
        <v>x</v>
      </c>
      <c r="EC80" s="111"/>
      <c r="ED80" s="111"/>
      <c r="EE80" s="111"/>
      <c r="EF80" s="111"/>
      <c r="EG80" s="111"/>
      <c r="EH80" s="111"/>
      <c r="EI80" s="112"/>
      <c r="EJ80" s="112" t="str">
        <f t="shared" ref="EJ80:EJ105" si="450">HYPERLINK("http://fluechtlingsrat-bw.de/files/Dateien/Dokumente/Materialbestellung/2014-12-flyer%20arbeitserlaubnis%20EN%20WEB.pdf","x")</f>
        <v>x</v>
      </c>
      <c r="EK80" s="112" t="str">
        <f t="shared" ref="EK80:EK105" si="451">HYPERLINK("http://www.aponet.de/englisch/20151019-fuer-den-notfall-wichtige-rufnummern-im-ueberblick.html","x")</f>
        <v>x</v>
      </c>
      <c r="EL80" s="112" t="str">
        <f t="shared" ref="EL80:EL105" si="452">HYPERLINK("http://www.kvs-sachsen.de/fileadmin/img/Mitglieder/Asylbewerber/Allg-Informationen/Anlage_1_Englisch_LEK.pdf","x")</f>
        <v>x</v>
      </c>
      <c r="EM80" s="112" t="str">
        <f t="shared" ref="EM80:EM105" si="453">HYPERLINK("http://www.medizin-hilft-fluechtlingen.de/images/Dokumente/gSch/gSch_eng.pdf","x")</f>
        <v>x</v>
      </c>
      <c r="EN80" s="112" t="str">
        <f t="shared" ref="EN80:EN105" si="454">HYPERLINK("http://www.aponet.de/englisch/medical-care-for-asylum-seekers.html","x")</f>
        <v>x</v>
      </c>
      <c r="EO80" s="117" t="str">
        <f t="shared" ref="EO80:EO105" si="455">HYPERLINK("http://www.medi-bild.de/pdf/anamnese/Welche_Sprache.pdf","x")</f>
        <v>x</v>
      </c>
      <c r="EP80" s="117" t="str">
        <f t="shared" ref="EP80:EP105" si="456">HYPERLINK("http://www.armut-gesundheit.de/fileadmin/redakteur/dokumente/Anamnesebogen%20-%20englischnew.pdf","x")</f>
        <v>x</v>
      </c>
      <c r="EQ80" s="112" t="str">
        <f t="shared" ref="EQ80:EQ105" si="457">HYPERLINK("http://www.kvs-sachsen.de/fileadmin/img/Mitglieder/Asylbewerber/Allg-Informationen/Anlagen_2-1_2-2_Englisch_LEK.pdf","x")</f>
        <v>x</v>
      </c>
      <c r="ER80" s="111"/>
      <c r="ES80" s="111"/>
      <c r="ET80" s="112" t="str">
        <f t="shared" ref="ET80:ET105" si="458">HYPERLINK("http://www.medizin-hilft-fluechtlingen.de/images/Dokumente/ein/ein_engl.pdf","x")</f>
        <v>x</v>
      </c>
      <c r="EU80" s="112" t="str">
        <f t="shared" ref="EU80:EU105" si="459">HYPERLINK("http://www.adler-apotheke-hh.de/fileadmin/user_upload/PDF-Dateien/Dosierzettel_mehrsprachig_AUF_0_.pdf","x")</f>
        <v>x</v>
      </c>
      <c r="EV80" s="112" t="str">
        <f t="shared" ref="EV80:EV105" si="460">HYPERLINK("http://www.lak-rlp.de/fileadmin/redakteure/pdf/download/Piktogramme_Dosieretiketten_AoG.pdf","x")</f>
        <v>x</v>
      </c>
      <c r="EW80" s="112" t="str">
        <f t="shared" ref="EW80:EW105" si="461">HYPERLINK("http://www.rki.de/DE/Content/Infekt/IfSG/Belehrungsbogen/belehrungsbogen_eltern_englisch.pdf?__blob=publicationFile","x")</f>
        <v>x</v>
      </c>
      <c r="EX80" s="112" t="str">
        <f t="shared" ref="EX80:EX105" si="462">HYPERLINK("http://www.bzga.de/infomaterialien/?sid=236","x")</f>
        <v>x</v>
      </c>
      <c r="EY80" s="112" t="str">
        <f t="shared" ref="EY80:EY105" si="463">HYPERLINK("https://www.mh-hannover.de/fileadmin/mhh/bilder/aktuelles_presse/pressestelle/bilder/Pilzvergif_English.pdf","x")</f>
        <v>x</v>
      </c>
      <c r="EZ80" s="112"/>
      <c r="FA80" s="112" t="str">
        <f t="shared" ref="FA80:FA105" si="464">HYPERLINK("http://static.apotheken-umschau.de/media/gp/article_506373/bildwoerterbuch.pdf","x")</f>
        <v>x</v>
      </c>
      <c r="FB80" s="112" t="str">
        <f t="shared" ref="FB80:FB105" si="465">HYPERLINK("https://www.studentenwerke.de/sites/default/files/gesundheitswoerterbuch.pdf","x")</f>
        <v>x</v>
      </c>
      <c r="FC80" s="112" t="str">
        <f t="shared" ref="FC80:FC105" si="466">HYPERLINK("http://mige.ix-tech.de/index.php?id=241","x")</f>
        <v>x</v>
      </c>
      <c r="FD80" s="112" t="str">
        <f t="shared" ref="FD80:FD105" si="467">HYPERLINK("http://sghanstedt.elbnetz.com/ueber-uns/","x")</f>
        <v>x</v>
      </c>
      <c r="FE80" s="112" t="str">
        <f t="shared" ref="FE80:FE105" si="468">HYPERLINK("http://www.fuhlenhagen.com/pdf_dateien/uebertzungshilfe_aerzte_mehrsprachig.pdf","x")</f>
        <v>x</v>
      </c>
      <c r="FF80" s="112" t="str">
        <f t="shared" ref="FF80:FF105" si="469">HYPERLINK("http://www.tipdoc.de/grafik/asyl/Gesundheitsheft_Asyl.pdf","x")</f>
        <v>x</v>
      </c>
      <c r="FG80" s="111"/>
      <c r="FH80" s="111"/>
      <c r="FI80" s="112" t="str">
        <f t="shared" ref="FI80:FI105" si="470">HYPERLINK("http://www.bundesgesundheitsministerium.de/fileadmin/dateien/Publikationen/Gesundheit/Broschueren/Ratgeber_Asylsuchende/Ratgeber_Asylsuchende_engl.pdf","x")</f>
        <v>x</v>
      </c>
      <c r="FJ80" s="112" t="str">
        <f t="shared" ref="FJ80:FJ105" si="471">HYPERLINK("http://www.rki.de/DE/Content/Infekt/Impfen/Materialien/Downloads-Impfkalender/Impfkalender_Englisch.pdf?__blob=publicationFile","x")</f>
        <v>x</v>
      </c>
      <c r="FK80" s="112" t="str">
        <f t="shared" ref="FK80:FK105" si="472">HYPERLINK("http://www.ethno-medizinisches-zentrum.de/images/PDF-Files/impfwegweiser_englisch_2013_online.pdf","x")</f>
        <v>x</v>
      </c>
      <c r="FL80" s="112"/>
      <c r="FM80" s="112" t="str">
        <f t="shared" ref="FM80:FM105" si="473">HYPERLINK("http://www.rki.de/DE/Content/Infekt/Impfen/Materialien/Glossar-Downloads/glossar-de-englisch.pdf?__blob=publicationFile","x")</f>
        <v>x</v>
      </c>
      <c r="FN80" s="112" t="str">
        <f>HYPERLINK("http://www.euro.who.int/__data/assets/pdf_file/0005/160754/VPDs_Signs-symptoms-complications.pdf?ua=1","x")</f>
        <v>x</v>
      </c>
      <c r="FO80" s="112" t="str">
        <f t="shared" ref="FO80:FO105" si="474">HYPERLINK("http://www.rki.de/DE/Content/Infekt/Impfen/Materialien/Downloads-MMR/MMR-Impfinfo-englisch.pdf?__blob=publicationFile","x")</f>
        <v>x</v>
      </c>
      <c r="FP80" s="112" t="str">
        <f t="shared" ref="FP80:FP105" si="475">HYPERLINK("http://www.rki.de/DE/Content/InfAZ/P/Polio/Ausbruch_Syrien/Informationsblatt_Polio_Englisch.pdf?__blob=publicationFile","x")</f>
        <v>x</v>
      </c>
      <c r="FQ80" s="112" t="str">
        <f t="shared" ref="FQ80:FQ105" si="476">HYPERLINK("http://www.rki.de/DE/Content/Infekt/Impfen/Materialien/Downloads_HepA/Aufklaerung_HAV-Impfung_Englisch.pdf?__blob=publicationFile","x")</f>
        <v>x</v>
      </c>
      <c r="FR80" s="112" t="str">
        <f t="shared" ref="FR80:FR105" si="477">HYPERLINK("http://www.rki.de/DE/Content/Infekt/Impfen/Materialien/Downloads_Pneumokokken/Aufklaerung_Pneumo-Impfung_Englisch.pdf?__blob=publicationFile","x")</f>
        <v>x</v>
      </c>
      <c r="FS80" s="112" t="str">
        <f t="shared" ref="FS80:FS105" si="478">HYPERLINK("http://www.rki.de/DE/Content/Infekt/Impfen/Materialien/Downloads-DTaPIPVHibHepB/DTaPIPVHibHepB-englisch.pdf?__blob=publicationFile","x")</f>
        <v>x</v>
      </c>
      <c r="FT80" s="112" t="str">
        <f t="shared" ref="FT80:FT105" si="479">HYPERLINK("http://www.rki.de/DE/Content/Infekt/Impfen/Materialien/Downloads-Varizellen/Varizellen-Impfinfo-englisch.pdf;jsessionid=65B697F4EE7EDA8A1ED9E2C4CD6C74EC.2_cid363?__blob=publicationFile","x")</f>
        <v>x</v>
      </c>
      <c r="FU80" s="112" t="str">
        <f t="shared" ref="FU80:FU105" si="480">HYPERLINK("http://www.rki.de/DE/Content/Infekt/Impfen/Materialien/Downloads-Tdap-IPV/Tdap-IPV-englisch.pdf?__blob=publicationFile","x")</f>
        <v>x</v>
      </c>
      <c r="FV80" s="112" t="str">
        <f t="shared" ref="FV80:FV105" si="481">HYPERLINK("http://www.rki.de/DE/Content/Infekt/Impfen/Materialien/Downloads-Influenza_nasal/Influenza_nasal-englisch.pdf?__blob=publicationFile","x")</f>
        <v>x</v>
      </c>
      <c r="FW80" s="111"/>
      <c r="FX80" s="112"/>
      <c r="FY80" s="112"/>
      <c r="FZ80" s="111"/>
      <c r="GA80" s="111"/>
      <c r="GB80" s="111"/>
      <c r="GC80" s="112" t="str">
        <f t="shared" ref="GC80:GC105" si="482">HYPERLINK("http://www.ethno-medizinisches-zentrum.de/images/PDF-Files/lf_diabete_englisch.pdf","x")</f>
        <v>x</v>
      </c>
      <c r="GD80" s="111"/>
      <c r="GE80" s="111"/>
      <c r="GF80" s="111"/>
      <c r="GG80" s="112"/>
      <c r="GH80" s="111"/>
      <c r="GI80" s="111"/>
      <c r="GJ80" s="112" t="str">
        <f t="shared" ref="GJ80:GJ105" si="483">HYPERLINK("http://www.tipdoc.de/bus/pdf/hiv/HIV%20ESP_Webseite.pdf","x")</f>
        <v>x</v>
      </c>
      <c r="GK80" s="111"/>
      <c r="GL80" s="112" t="str">
        <f t="shared" ref="GL80:GL105" si="484">HYPERLINK("http://www.rki.de/DE/Content/Infekt/Impfen/Materialien/Downloads-Influenza/Influenza-englisch.pdf?__blob=publicationFile","x")</f>
        <v>x</v>
      </c>
      <c r="GM80" s="111"/>
      <c r="GN80" s="112" t="str">
        <f t="shared" ref="GN80:GN105" si="485">HYPERLINK("http://www.aponet.de/englisch/20151111-so-unterscheiden-sich-grippe-und-erkaeltung.html","x")</f>
        <v>x</v>
      </c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2" t="str">
        <f t="shared" si="48"/>
        <v>x</v>
      </c>
      <c r="HC80" s="112" t="str">
        <f t="shared" ref="HC80:HC105" si="486">HYPERLINK("https://www.zahnaerzte-wl.de/images/_PDF-suche/KZV_ZÄK/ENDSTAND_Ankreuzbogen_Ich_verstehe.pdf","x")</f>
        <v>x</v>
      </c>
      <c r="HD80" s="112" t="str">
        <f t="shared" ref="HD80:HD105" si="487">HYPERLINK("https://www.zahnaerzte-wl.de/images/_PDF-suche/KZV_ZÄK/Anschreiben_Patienten_englisch.pdf","x")</f>
        <v>x</v>
      </c>
      <c r="HE80" s="112" t="str">
        <f t="shared" ref="HE80:HE105" si="488">HYPERLINK("https://www.zahnaerzte-wl.de/images/_PDF-suche/KZV_ZÄK/Fragebogen_englisch.pdf","x")</f>
        <v>x</v>
      </c>
      <c r="HF80" s="112" t="str">
        <f t="shared" ref="HF80:HF105" si="489">HYPERLINK("https://www.zahnaerzte-wl.de/images/_PDF-suche/KZV_ZÄK/Patientenerhebungsbogen_englisch.pdf","x")</f>
        <v>x</v>
      </c>
      <c r="HG80" s="112"/>
      <c r="HH80" s="112" t="str">
        <f>HYPERLINK("http://www.bvkm.de/fileadmin/web_data/Behinderung_und_Migration_englisch_2014.pdf","x")</f>
        <v>x</v>
      </c>
      <c r="HI80" s="112"/>
      <c r="HJ80" s="112" t="str">
        <f t="shared" ref="HJ80:HJ105" si="490">HYPERLINK("http://www.psychenet.de/en/mental-health/knowledge/depression.html","x")</f>
        <v>x</v>
      </c>
      <c r="HK80" s="111"/>
      <c r="HL80" s="112" t="str">
        <f t="shared" ref="HL80:HL105" si="491">HYPERLINK("http://www.psychenet.de/en/mental-health/knowledge/psychoses.html","x")</f>
        <v>x</v>
      </c>
      <c r="HM80" s="112" t="str">
        <f t="shared" ref="HM80:HM105" si="492">HYPERLINK("http://www.psychenet.de/en/mental-health/knowledge/somatoform-disorders.html","x")</f>
        <v>x</v>
      </c>
      <c r="HN80" s="112" t="str">
        <f t="shared" ref="HN80:HN105" si="493">HYPERLINK("http://www.psychenet.de/en/mental-health/knowledge/anorexia.html","x")</f>
        <v>x</v>
      </c>
      <c r="HO80" s="112" t="str">
        <f t="shared" ref="HO80:HO105" si="494">HYPERLINK("http://www.psychenet.de/en/mental-health/knowledge/bulimia.html","x")</f>
        <v>x</v>
      </c>
      <c r="HP80" s="112" t="str">
        <f t="shared" ref="HP80:HP105" si="495">HYPERLINK("http://www.psychenet.de/en/mental-health/knowledge/bipolar-disorder.html","x")</f>
        <v>x</v>
      </c>
      <c r="HQ80" s="112" t="str">
        <f t="shared" ref="HQ80:HQ105" si="496">HYPERLINK("http://www.psychenet.de/en/mental-health/knowledge/panic-and-agoraphobia.html","x")</f>
        <v>x</v>
      </c>
      <c r="HR80" s="112" t="str">
        <f t="shared" ref="HR80:HR105" si="497">HYPERLINK("http://www.psychenet.de/en/mental-health/knowledge/social-phobia.html","x")</f>
        <v>x</v>
      </c>
      <c r="HS80" s="112" t="str">
        <f t="shared" ref="HS80:HS105" si="498">HYPERLINK("http://www.psychenet.de/en/mental-health/knowledge/generalized-anxiety-disorder.html","x")</f>
        <v>x</v>
      </c>
      <c r="HT80" s="112"/>
      <c r="HU80" s="112" t="str">
        <f t="shared" ref="HU80:HU105" si="499">HYPERLINK("http://www.psychenet.de/en/mental-health/knowledge/information-and-support.html","x")</f>
        <v>x</v>
      </c>
      <c r="HV80" s="112"/>
      <c r="HW80" s="112" t="str">
        <f>HYPERLINK("http://www.bkk-psychisch-gesund.de/fileadmin/user_upload/Dokumente/Versicherte/Broschueren/Wegweiser_Psychotherapie_englisch.pdf","x")</f>
        <v>x</v>
      </c>
      <c r="HX80" s="112" t="str">
        <f t="shared" ref="HX80:HX105" si="500">HYPERLINK("http://www.selfhelpfortrauma.org/","x")</f>
        <v>x</v>
      </c>
      <c r="HY80" s="112" t="str">
        <f t="shared" ref="HY80:HY105" si="501">HYPERLINK("http://peacefulheart.se/wp-content/uploads/2014/12/Resolving-Yesterday-20141201-Self-Tapping.pdf","x")</f>
        <v>x</v>
      </c>
      <c r="HZ80" s="112" t="str">
        <f t="shared" ref="HZ80:HZ105" si="502">HYPERLINK("http://peacefulheart.se/wp-content/uploads/2012/02/TTT_English_2013.pdf","x")</f>
        <v>x</v>
      </c>
      <c r="IA80" s="112"/>
      <c r="IB80" s="112"/>
      <c r="IC80" s="112" t="str">
        <f>HYPERLINK("http://www.susannestein.de/VIA-online/trauma-picture-book.pdf","x")</f>
        <v>x</v>
      </c>
      <c r="ID80" s="112" t="str">
        <f t="shared" ref="ID80:ID105" si="503">HYPERLINK("http://www.psychenet.de/en/mental-health/knowledge/alcohol-in-adolescence.html","x")</f>
        <v>x</v>
      </c>
      <c r="IE80" s="112"/>
      <c r="IF80" s="112"/>
      <c r="IG80" s="111"/>
      <c r="IH80" s="112" t="str">
        <f t="shared" ref="IH80:IH105" si="504">HYPERLINK("http://www.caritas.de/hilfeundberatung/onlineberatung/suchtberatung/haeufiggestelltefragensucht/haeufiggestelltefragen-sucht","x")</f>
        <v>x</v>
      </c>
      <c r="II80" s="112" t="str">
        <f t="shared" ref="II80:II105" si="505">HYPERLINK("http://www.dhs.de/fileadmin/user_upload/pdf/Broschueren/Ein_Angebot_an_alle-Englisch.pdf","x")</f>
        <v>x</v>
      </c>
      <c r="IJ80" s="112" t="str">
        <f t="shared" ref="IJ80:IJ105" si="506">HYPERLINK("http://www.bamf.de/SharedDocs/Anlagen/EN/Publikationen/Flyer/Lassen-Sie-Sich-Beraten/lassen-sie-sich-beraten.pdf?__blob=publicationFile","x")</f>
        <v>x</v>
      </c>
      <c r="IK80" s="115" t="str">
        <f t="shared" ref="IK80:IK105" si="507">HYPERLINK("http://www.bamf.de/SharedDocs/Anlagen/EN/Publikationen/Flyer/flyer-erstorientierung-asylsuchende.pdf?__blob=publicationFile","x")</f>
        <v>x</v>
      </c>
      <c r="IL80" s="112" t="str">
        <f t="shared" ref="IL80:IL105" si="508">HYPERLINK("http://www.frnrw.de/index.php/inhaltliche-themen/arbeitshilfen/item/3710-erstinfos-fuer-asylsuchende","x")</f>
        <v>x</v>
      </c>
      <c r="IM80" s="112" t="str">
        <f t="shared" ref="IM80:IM105" si="509">HYPERLINK("http://www.bamf.de/SharedDocs/Anlagen/EN/Publikationen/Broschueren/willkommen-in-deutschland.pdf;jsessionid=2D72CB108E4AC02BBB9659E7D9A589B2.1_cid368?__blob=publicationFile","x")</f>
        <v>x</v>
      </c>
      <c r="IN80" s="112"/>
      <c r="IO80" s="112"/>
      <c r="IP80" s="112" t="str">
        <f t="shared" ref="IP80:IP105" si="510">HYPERLINK("http://www.bamf.de/SharedDocs/Anlagen/EN/Publikationen/Flyer/Lernen-Sie-Deutsch/lernen-sie-deutsch.pdf?__blob=publicationFile","x")</f>
        <v>x</v>
      </c>
      <c r="IQ80" s="112" t="str">
        <f t="shared" ref="IQ80:IQ105" si="511">HYPERLINK("http://www.asyl.net/fileadmin/user_upload/redaktion/Dokumente/Arbeitshilfen/150910_Wie_l%C3%A4uft_ein_Asylverfahren_ab_%C3%9Cberblickstext_Englisch.pdf","x")</f>
        <v>x</v>
      </c>
      <c r="IR80" s="111"/>
      <c r="IS80" s="112" t="str">
        <f t="shared" ref="IS80:IS105" si="512">HYPERLINK("http://www.bamf.de/SharedDocs/Anlagen/EN/Publikationen/Flyer/ablauf-asylverfahren.pdf;jsessionid=DBD4307960D761935FCC3E0325D459A1.1_cid294?__blob=publicationFile","x")</f>
        <v>x</v>
      </c>
      <c r="IT80" s="111"/>
      <c r="IU80" s="112" t="str">
        <f t="shared" ref="IU80:IU105" si="513">HYPERLINK("http://www.asyl.net/fileadmin/user_upload/infoblatt_anhoerung/Infoblatt_2015_en_fin.pdf","x")</f>
        <v>x</v>
      </c>
      <c r="IV80" s="112"/>
      <c r="IW80" s="112" t="str">
        <f t="shared" ref="IW80:IW105" si="514">HYPERLINK("http://www.berlin.de/labo/willkommen-in-berlin/service/downloads/artikel.273193.php","x")</f>
        <v>x</v>
      </c>
      <c r="IX80" s="112" t="str">
        <f t="shared" ref="IX80:IX105" si="515">HYPERLINK("http://www.bamf.de/SharedDocs/Anlagen/EN/Publikationen/Broschueren/broschuere-eat-a4.pdf?__blob=publicationFile","x")</f>
        <v>x</v>
      </c>
      <c r="IY80" s="111"/>
      <c r="IZ80" s="112" t="str">
        <f t="shared" ref="IZ80:IZ105" si="516">HYPERLINK("http://fluechtlingsrat-bw.de/informationen-fuer-fluechtlinge.html","x")</f>
        <v>x</v>
      </c>
      <c r="JA80" s="111"/>
      <c r="JB80" s="112" t="str">
        <f t="shared" ref="JB80:JB105" si="517">HYPERLINK("http://www.bamf.de/SharedDocs/Anlagen/EN/Publikationen/Flyer/20150223_ura2_en.pdf?__blob=publicationFile","x")</f>
        <v>x</v>
      </c>
      <c r="JC80" s="111"/>
      <c r="JD80" s="112"/>
      <c r="JE80" s="112"/>
      <c r="JF80" s="112" t="str">
        <f t="shared" ref="JF80:JF105" si="518">HYPERLINK("http://www.bamf.de/SharedDocs/Anlagen/EN/Publikationen/Flyer/Ehegattennachzug/ehegattennachzug.pdf?__blob=publicationFile","x")</f>
        <v>x</v>
      </c>
      <c r="JG80" s="112" t="str">
        <f t="shared" ref="JG80:JG105" si="519">HYPERLINK("https://familyreunion-syria.diplo.de/webportal/index.html#start","x")</f>
        <v>x</v>
      </c>
      <c r="JH80" s="112" t="str">
        <f t="shared" ref="JH80:JH105" si="520">HYPERLINK("http://ec.europa.eu/dgs/home-affairs/what-we-do/networks/european_migration_network/docs/emn-glossary-en-version.pdf","x")</f>
        <v>x</v>
      </c>
      <c r="JI80" s="112"/>
      <c r="JJ80" s="112" t="str">
        <f t="shared" ref="JJ80:JJ105" si="521">HYPERLINK("https://www.arbeitsagentur.de/web/wcm/idc/groups/public/documents/webdatei/mdaw/mjgz/~edisp/l6019022dstbai784628.pdf?_ba.sid=L6019022DSTBAI784625","x")</f>
        <v>x</v>
      </c>
      <c r="JK80" s="112" t="str">
        <f>HYPERLINK("http://www.kub-berlin.org/formularprojekt/de/englisch-antraege-und-anlagen-uebersetzungshilfen/","x")</f>
        <v>x</v>
      </c>
      <c r="JL80" s="112" t="str">
        <f t="shared" ref="JL80:JL105" si="522">HYPERLINK("https://www.arbeitsagentur.de/web/content/DE/Formulare/Detail/index.htm?dfContentId=L6019022DSTBAI485740","x")</f>
        <v>x</v>
      </c>
      <c r="JM80" s="112"/>
      <c r="JN80" s="112"/>
      <c r="JO80" s="112"/>
      <c r="JP80" s="112"/>
      <c r="JQ80" s="112" t="str">
        <f t="shared" ref="JQ80:JQ105" si="523">HYPERLINK("http://www.ibla-germany.de/merkblaetter.php","x")</f>
        <v>x</v>
      </c>
      <c r="JR80" s="112"/>
      <c r="JS80" s="112" t="str">
        <f t="shared" ref="JS80:JS105" si="524">HYPERLINK("http://www.b-umf.de/images/willkommen/willkommensbroschureenglisch-web.pdf","x")</f>
        <v>x</v>
      </c>
      <c r="JT80" s="111"/>
      <c r="JU80" s="111"/>
      <c r="JV80" s="112"/>
      <c r="JW80" s="112" t="str">
        <f t="shared" ref="JW80:JW105" si="525">HYPERLINK("https://www.arbeitsagentur.de/web/wcm/idc/groups/public/documents/webdatei/mdaw/mjgz/~edisp/l6019022dstbai784636.pdf?_ba.sid=L6019022DSTBAI784633","x")</f>
        <v>x</v>
      </c>
      <c r="JX80" s="112"/>
      <c r="JY80" s="112" t="str">
        <f>HYPERLINK("http://www.dw.com/en/germany-from-a-to-z/a-18812923","x")</f>
        <v>x</v>
      </c>
      <c r="JZ80" s="112"/>
      <c r="KA80" s="112" t="str">
        <f t="shared" ref="KA80:KA105" si="526">HYPERLINK("http://www.refugeeguide.de/dl/RefugeeGuide_en_925.pdf","x")</f>
        <v>x</v>
      </c>
      <c r="KB80" s="112" t="str">
        <f t="shared" ref="KB80:KB105" si="527">HYPERLINK("http://www.gesetze-im-internet.de/englisch_gg/basic_law_for_the_federal_republic_of_germany.pdf","x")</f>
        <v>x</v>
      </c>
      <c r="KC80" s="112" t="str">
        <f t="shared" ref="KC80:KC105" si="528">HYPERLINK("http://www.wedel.de/fileadmin/user_upload/media/pdf/Rathaus_und_Politik/20160118_PM_Broschuere.pdf","x")</f>
        <v>x</v>
      </c>
      <c r="KD80" s="112" t="str">
        <f t="shared" ref="KD80:KD105" si="529">HYPERLINK("http://www.frauenrechte.de/online/images/downloads/allgemein/TDF_Flyer_Women_Men.pdf","x")</f>
        <v>x</v>
      </c>
      <c r="KE80" s="112" t="str">
        <f t="shared" ref="KE80:KE105" si="530">HYPERLINK("http://sab.landtag.sachsen.de/dokumente/landtagskurier/Grundwerte-A5-international_web_08012016.pdf","x")</f>
        <v>x</v>
      </c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1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1"/>
      <c r="MC80" s="112" t="str">
        <f t="shared" ref="MC80:MC105" si="531">HYPERLINK("http://www.rki.de/DE/Content/Infekt/IfSG/Belehrungsbogen/belehrungsbogen_lebensmittel_englisch.pdf?__blob=publicationFile","x")</f>
        <v>x</v>
      </c>
      <c r="MD80" s="112"/>
      <c r="ME80" s="112" t="str">
        <f t="shared" ref="ME80:ME105" si="532">HYPERLINK("http://www.gdv.de/wp-content/uploads/2016/01/Information_Brandschutz_Fluechtlingsheim_-Sicherheit_mehrsprachig.pdf","x")</f>
        <v>x</v>
      </c>
      <c r="MF80" s="112" t="str">
        <f t="shared" ref="MF80:MF105" si="533">HYPERLINK("http://www.gdv.de/wp-content/uploads/2016/01/Information_Verhalten-im-Brandfall_mehrsprachig.pdf","x")</f>
        <v>x</v>
      </c>
      <c r="MG80" s="112" t="str">
        <f>HYPERLINK("http://www.aha-region.de/fileadmin/Download/pdf/aha_Plakat_Muelltrennung_en.pdf","x")</f>
        <v>x</v>
      </c>
      <c r="MH80" s="112" t="str">
        <f t="shared" ref="MH80:MH105" si="534">HYPERLINK("http://www.kindersicherheit.de/pdf/2012_poster_achtunggiftig_8sprachig.pdf","x")</f>
        <v>x</v>
      </c>
    </row>
    <row r="81" spans="1:346" x14ac:dyDescent="0.25">
      <c r="A81" s="110" t="s">
        <v>4</v>
      </c>
      <c r="B81" s="101" t="s">
        <v>28</v>
      </c>
      <c r="C81" s="102"/>
      <c r="D81" s="102"/>
      <c r="E81" s="102"/>
      <c r="F81" s="102"/>
      <c r="G81" s="102"/>
      <c r="H81" s="102"/>
      <c r="I81" s="102"/>
      <c r="J81" s="103"/>
      <c r="K81" s="111"/>
      <c r="L81" s="111"/>
      <c r="M81" s="112" t="str">
        <f t="shared" si="390"/>
        <v>x</v>
      </c>
      <c r="N81" s="112" t="str">
        <f t="shared" si="391"/>
        <v>x</v>
      </c>
      <c r="O81" s="112" t="str">
        <f t="shared" ref="O81:O105" si="535">HYPERLINK("http://www.awb-ahrweiler.de/admin/data/ddownload/Abfall%20Sonderhinweise-englisch_2014.pdf","x")</f>
        <v>x</v>
      </c>
      <c r="P81" s="112" t="str">
        <f t="shared" si="392"/>
        <v>x</v>
      </c>
      <c r="Q81" s="112" t="str">
        <f t="shared" si="393"/>
        <v>x</v>
      </c>
      <c r="R81" s="112"/>
      <c r="S81" s="112" t="str">
        <f t="shared" si="394"/>
        <v>x</v>
      </c>
      <c r="T81" s="112" t="str">
        <f t="shared" si="395"/>
        <v>x</v>
      </c>
      <c r="U81" s="112"/>
      <c r="V81" s="112"/>
      <c r="W81" s="112" t="str">
        <f t="shared" si="396"/>
        <v>x</v>
      </c>
      <c r="X81" s="112" t="str">
        <f t="shared" si="397"/>
        <v>x</v>
      </c>
      <c r="Y81" s="112"/>
      <c r="Z81" s="112"/>
      <c r="AA81" s="112"/>
      <c r="AB81" s="112" t="str">
        <f t="shared" si="398"/>
        <v>x</v>
      </c>
      <c r="AC81" s="112" t="str">
        <f t="shared" si="399"/>
        <v>x</v>
      </c>
      <c r="AD81" s="112" t="str">
        <f t="shared" si="400"/>
        <v>x</v>
      </c>
      <c r="AE81" s="112" t="str">
        <f t="shared" ref="AE81:AE105" si="536">HYPERLINK("http://www.kub-berlin.org/formularprojekt/de/englisch-antraege-und-anlagen-uebersetzungshilfen/","x")</f>
        <v>x</v>
      </c>
      <c r="AF81" s="112" t="str">
        <f t="shared" si="401"/>
        <v>x</v>
      </c>
      <c r="AG81" s="112" t="str">
        <f t="shared" si="402"/>
        <v>x</v>
      </c>
      <c r="AH81" s="112" t="str">
        <f t="shared" si="403"/>
        <v>x</v>
      </c>
      <c r="AI81" s="112" t="str">
        <f t="shared" si="404"/>
        <v>x</v>
      </c>
      <c r="AJ81" s="112" t="str">
        <f t="shared" si="405"/>
        <v>x</v>
      </c>
      <c r="AK81" s="112" t="str">
        <f t="shared" si="406"/>
        <v>x</v>
      </c>
      <c r="AL81" s="112"/>
      <c r="AM81" s="112" t="str">
        <f t="shared" ref="AM81:AM105" si="537">HYPERLINK("https://www.deutschebahn.com/file/de/2191748/eYdgZpqGpp5sMJ2KMKtg2r8aE4Q/10123812/data/infos_fuer_fluechtlinge.pdf","x")</f>
        <v>x</v>
      </c>
      <c r="AN81" s="112"/>
      <c r="AO81" s="112"/>
      <c r="AP81" s="112"/>
      <c r="AQ81" s="112"/>
      <c r="AR81" s="112"/>
      <c r="AS81" s="112"/>
      <c r="AT81" s="112" t="str">
        <f t="shared" si="407"/>
        <v>x</v>
      </c>
      <c r="AU81" s="113"/>
      <c r="AV81" s="114" t="str">
        <f t="shared" si="408"/>
        <v>x</v>
      </c>
      <c r="AW81" s="114" t="str">
        <f t="shared" si="409"/>
        <v>x</v>
      </c>
      <c r="AX81" s="112" t="str">
        <f t="shared" si="410"/>
        <v>x</v>
      </c>
      <c r="AY81" s="111"/>
      <c r="AZ81" s="112" t="str">
        <f t="shared" si="411"/>
        <v>x</v>
      </c>
      <c r="BA81" s="112" t="str">
        <f t="shared" si="412"/>
        <v>x</v>
      </c>
      <c r="BB81" s="111"/>
      <c r="BC81" s="111"/>
      <c r="BD81" s="112" t="str">
        <f t="shared" si="413"/>
        <v>x</v>
      </c>
      <c r="BE81" s="112"/>
      <c r="BF81" s="111"/>
      <c r="BG81" s="112" t="str">
        <f t="shared" si="414"/>
        <v>x</v>
      </c>
      <c r="BH81" s="112" t="str">
        <f t="shared" ref="BH81:BH105" si="538">HYPERLINK("https://www.advanced-online.eu/downloads/RefugeePhrasebookCards_German-English.pdf","x")</f>
        <v>x</v>
      </c>
      <c r="BI81" s="112" t="str">
        <f t="shared" si="415"/>
        <v>x</v>
      </c>
      <c r="BJ81" s="111"/>
      <c r="BK81" s="112" t="str">
        <f t="shared" si="416"/>
        <v>x</v>
      </c>
      <c r="BL81" s="112" t="str">
        <f t="shared" si="417"/>
        <v>x</v>
      </c>
      <c r="BM81" s="112" t="str">
        <f t="shared" si="418"/>
        <v>x</v>
      </c>
      <c r="BN81" s="112" t="str">
        <f t="shared" si="419"/>
        <v>x</v>
      </c>
      <c r="BO81" s="111"/>
      <c r="BP81" s="111"/>
      <c r="BQ81" s="111"/>
      <c r="BR81" s="112" t="str">
        <f t="shared" si="420"/>
        <v>x</v>
      </c>
      <c r="BS81" s="112"/>
      <c r="BT81" s="111"/>
      <c r="BU81" s="112" t="str">
        <f t="shared" si="421"/>
        <v>x</v>
      </c>
      <c r="BV81" s="112" t="str">
        <f t="shared" si="422"/>
        <v>x</v>
      </c>
      <c r="BW81" s="112"/>
      <c r="BX81" s="112"/>
      <c r="BY81" s="112"/>
      <c r="BZ81" s="112" t="str">
        <f t="shared" si="423"/>
        <v>x</v>
      </c>
      <c r="CA81" s="112" t="str">
        <f t="shared" si="424"/>
        <v>x</v>
      </c>
      <c r="CB81" s="112" t="str">
        <f t="shared" si="425"/>
        <v>x</v>
      </c>
      <c r="CC81" s="112"/>
      <c r="CD81" s="112"/>
      <c r="CE81" s="111"/>
      <c r="CF81" s="112" t="str">
        <f t="shared" si="426"/>
        <v>x</v>
      </c>
      <c r="CG81" s="112" t="str">
        <f t="shared" ref="CG81:CG105" si="539">HYPERLINK("http://mifkjf.rlp.de/fileadmin/mifkjf/Frauen/Gewalt_gegen_Frauen/Downloads/Broschueren_Flyer/Flyer_Gewalt_englisch.pdf","x")</f>
        <v>x</v>
      </c>
      <c r="CH81" s="112" t="str">
        <f t="shared" si="427"/>
        <v>x</v>
      </c>
      <c r="CI81" s="112" t="str">
        <f t="shared" si="428"/>
        <v>x</v>
      </c>
      <c r="CJ81" s="112" t="str">
        <f t="shared" si="429"/>
        <v>x</v>
      </c>
      <c r="CK81" s="112" t="str">
        <f t="shared" si="430"/>
        <v>x</v>
      </c>
      <c r="CL81" s="112" t="str">
        <f t="shared" si="431"/>
        <v>x</v>
      </c>
      <c r="CM81" s="112"/>
      <c r="CN81" s="112"/>
      <c r="CO81" s="112" t="str">
        <f t="shared" ref="CO81:CO105" si="540">HYPERLINK("http://www.schwanger-und-viele-fragen.de/en/","x")</f>
        <v>x</v>
      </c>
      <c r="CP81" s="112"/>
      <c r="CQ81" s="112" t="str">
        <f t="shared" ref="CQ81:CQ105" si="541"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R81" s="112" t="str">
        <f t="shared" si="432"/>
        <v>x</v>
      </c>
      <c r="CS81" s="112"/>
      <c r="CT81" s="112" t="str">
        <f t="shared" ref="CT81:CT105" si="542">HYPERLINK("http://www.profamilia.de/fileadmin/publikationen/Erwachsene/mehrsprachig/Bro_Verhuetung_engl_2013.pdf","x")</f>
        <v>x</v>
      </c>
      <c r="CU81" s="112" t="str">
        <f t="shared" si="433"/>
        <v>x</v>
      </c>
      <c r="CV81" s="112" t="str">
        <f t="shared" si="434"/>
        <v>x</v>
      </c>
      <c r="CW81" s="112" t="str">
        <f t="shared" si="435"/>
        <v>x</v>
      </c>
      <c r="CX81" s="112" t="str">
        <f t="shared" si="436"/>
        <v>x</v>
      </c>
      <c r="CY81" s="112" t="str">
        <f t="shared" ref="CY81:CY105" si="543">HYPERLINK("http://www.dgfpi.de/tl_files/download/medien/unwissen-macht-en.pdf","x")</f>
        <v>x</v>
      </c>
      <c r="CZ81" s="112"/>
      <c r="DA81" s="112"/>
      <c r="DB81" s="115" t="str">
        <f t="shared" si="437"/>
        <v>x</v>
      </c>
      <c r="DC81" s="112"/>
      <c r="DD81" s="112"/>
      <c r="DE81" s="112" t="str">
        <f t="shared" si="438"/>
        <v>x</v>
      </c>
      <c r="DF81" s="115" t="str">
        <f t="shared" si="439"/>
        <v>x</v>
      </c>
      <c r="DG81" s="112" t="str">
        <f t="shared" si="440"/>
        <v>x</v>
      </c>
      <c r="DH81" s="112" t="str">
        <f t="shared" si="441"/>
        <v>x</v>
      </c>
      <c r="DI81" s="112"/>
      <c r="DJ81" s="112"/>
      <c r="DK81" s="112"/>
      <c r="DL81" s="112"/>
      <c r="DM81" s="112"/>
      <c r="DN81" s="112" t="str">
        <f t="shared" si="442"/>
        <v>x</v>
      </c>
      <c r="DO81" s="111"/>
      <c r="DP81" s="111"/>
      <c r="DQ81" s="112" t="str">
        <f t="shared" si="443"/>
        <v>x</v>
      </c>
      <c r="DR81" s="112" t="str">
        <f t="shared" ref="DR81:DR105" si="544">HYPERLINK("http://bildung.koeln.de/materialbibliothek/download.php?idx=8e2a9f658e9fa830ce17dc18f0fb0268","x")</f>
        <v>x</v>
      </c>
      <c r="DS81" s="112" t="str">
        <f t="shared" ref="DS81:DS105" si="545">HYPERLINK("http://bildung.koeln.de/materialbibliothek/download.php?idx=90aff7e7259385cadb46c517317f1446","x")</f>
        <v>x</v>
      </c>
      <c r="DT81" s="112"/>
      <c r="DU81" s="112" t="str">
        <f t="shared" si="444"/>
        <v>x</v>
      </c>
      <c r="DV81" s="112"/>
      <c r="DW81" s="112" t="str">
        <f t="shared" ref="DW81:DW105" si="546">HYPERLINK("http://www.wissenschaft.nrw.de/studium/informieren/informationen-fuer-fluechtlinge-die-in-nrw-studieren-moechten/","x")</f>
        <v>x</v>
      </c>
      <c r="DX81" s="112" t="str">
        <f t="shared" si="445"/>
        <v>x</v>
      </c>
      <c r="DY81" s="112" t="str">
        <f t="shared" si="446"/>
        <v>x</v>
      </c>
      <c r="DZ81" s="112" t="str">
        <f t="shared" si="447"/>
        <v>x</v>
      </c>
      <c r="EA81" s="112" t="str">
        <f t="shared" si="448"/>
        <v>x</v>
      </c>
      <c r="EB81" s="112" t="str">
        <f t="shared" si="449"/>
        <v>x</v>
      </c>
      <c r="EC81" s="111"/>
      <c r="ED81" s="111"/>
      <c r="EE81" s="111"/>
      <c r="EF81" s="111"/>
      <c r="EG81" s="111"/>
      <c r="EH81" s="111"/>
      <c r="EI81" s="112"/>
      <c r="EJ81" s="112" t="str">
        <f t="shared" si="450"/>
        <v>x</v>
      </c>
      <c r="EK81" s="112" t="str">
        <f t="shared" si="451"/>
        <v>x</v>
      </c>
      <c r="EL81" s="112" t="str">
        <f t="shared" si="452"/>
        <v>x</v>
      </c>
      <c r="EM81" s="112" t="str">
        <f t="shared" si="453"/>
        <v>x</v>
      </c>
      <c r="EN81" s="112" t="str">
        <f t="shared" si="454"/>
        <v>x</v>
      </c>
      <c r="EO81" s="117" t="str">
        <f t="shared" si="455"/>
        <v>x</v>
      </c>
      <c r="EP81" s="117" t="str">
        <f t="shared" si="456"/>
        <v>x</v>
      </c>
      <c r="EQ81" s="112" t="str">
        <f t="shared" si="457"/>
        <v>x</v>
      </c>
      <c r="ER81" s="111"/>
      <c r="ES81" s="111"/>
      <c r="ET81" s="112" t="str">
        <f t="shared" si="458"/>
        <v>x</v>
      </c>
      <c r="EU81" s="112" t="str">
        <f t="shared" si="459"/>
        <v>x</v>
      </c>
      <c r="EV81" s="112" t="str">
        <f t="shared" si="460"/>
        <v>x</v>
      </c>
      <c r="EW81" s="112" t="str">
        <f t="shared" si="461"/>
        <v>x</v>
      </c>
      <c r="EX81" s="112" t="str">
        <f t="shared" si="462"/>
        <v>x</v>
      </c>
      <c r="EY81" s="112" t="str">
        <f t="shared" si="463"/>
        <v>x</v>
      </c>
      <c r="EZ81" s="112"/>
      <c r="FA81" s="112" t="str">
        <f t="shared" si="464"/>
        <v>x</v>
      </c>
      <c r="FB81" s="112" t="str">
        <f t="shared" si="465"/>
        <v>x</v>
      </c>
      <c r="FC81" s="112" t="str">
        <f t="shared" si="466"/>
        <v>x</v>
      </c>
      <c r="FD81" s="112" t="str">
        <f t="shared" si="467"/>
        <v>x</v>
      </c>
      <c r="FE81" s="112" t="str">
        <f t="shared" si="468"/>
        <v>x</v>
      </c>
      <c r="FF81" s="112" t="str">
        <f t="shared" si="469"/>
        <v>x</v>
      </c>
      <c r="FG81" s="111"/>
      <c r="FH81" s="111"/>
      <c r="FI81" s="112" t="str">
        <f t="shared" si="470"/>
        <v>x</v>
      </c>
      <c r="FJ81" s="112" t="str">
        <f t="shared" si="471"/>
        <v>x</v>
      </c>
      <c r="FK81" s="112" t="str">
        <f t="shared" si="472"/>
        <v>x</v>
      </c>
      <c r="FL81" s="112"/>
      <c r="FM81" s="112" t="str">
        <f t="shared" si="473"/>
        <v>x</v>
      </c>
      <c r="FN81" s="112" t="str">
        <f t="shared" ref="FN81:FN105" si="547">HYPERLINK("http://www.euro.who.int/__data/assets/pdf_file/0005/160754/VPDs_Signs-symptoms-complications.pdf?ua=1","x")</f>
        <v>x</v>
      </c>
      <c r="FO81" s="112" t="str">
        <f t="shared" si="474"/>
        <v>x</v>
      </c>
      <c r="FP81" s="112" t="str">
        <f t="shared" si="475"/>
        <v>x</v>
      </c>
      <c r="FQ81" s="112" t="str">
        <f t="shared" si="476"/>
        <v>x</v>
      </c>
      <c r="FR81" s="112" t="str">
        <f t="shared" si="477"/>
        <v>x</v>
      </c>
      <c r="FS81" s="112" t="str">
        <f t="shared" si="478"/>
        <v>x</v>
      </c>
      <c r="FT81" s="112" t="str">
        <f t="shared" si="479"/>
        <v>x</v>
      </c>
      <c r="FU81" s="112" t="str">
        <f t="shared" si="480"/>
        <v>x</v>
      </c>
      <c r="FV81" s="112" t="str">
        <f t="shared" si="481"/>
        <v>x</v>
      </c>
      <c r="FW81" s="111"/>
      <c r="FX81" s="112"/>
      <c r="FY81" s="112"/>
      <c r="FZ81" s="111"/>
      <c r="GA81" s="111"/>
      <c r="GB81" s="111"/>
      <c r="GC81" s="112" t="str">
        <f t="shared" si="482"/>
        <v>x</v>
      </c>
      <c r="GD81" s="111"/>
      <c r="GE81" s="111"/>
      <c r="GF81" s="111"/>
      <c r="GG81" s="112"/>
      <c r="GH81" s="111"/>
      <c r="GI81" s="111"/>
      <c r="GJ81" s="112" t="str">
        <f t="shared" si="483"/>
        <v>x</v>
      </c>
      <c r="GK81" s="111"/>
      <c r="GL81" s="112" t="str">
        <f t="shared" si="484"/>
        <v>x</v>
      </c>
      <c r="GM81" s="111"/>
      <c r="GN81" s="112" t="str">
        <f t="shared" si="485"/>
        <v>x</v>
      </c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2" t="str">
        <f t="shared" si="48"/>
        <v>x</v>
      </c>
      <c r="HC81" s="112" t="str">
        <f t="shared" si="486"/>
        <v>x</v>
      </c>
      <c r="HD81" s="112" t="str">
        <f t="shared" si="487"/>
        <v>x</v>
      </c>
      <c r="HE81" s="112" t="str">
        <f t="shared" si="488"/>
        <v>x</v>
      </c>
      <c r="HF81" s="112" t="str">
        <f t="shared" si="489"/>
        <v>x</v>
      </c>
      <c r="HG81" s="112"/>
      <c r="HH81" s="112" t="str">
        <f t="shared" ref="HH81:HH105" si="548">HYPERLINK("http://www.bvkm.de/fileadmin/web_data/Behinderung_und_Migration_englisch_2014.pdf","x")</f>
        <v>x</v>
      </c>
      <c r="HI81" s="112"/>
      <c r="HJ81" s="112" t="str">
        <f t="shared" si="490"/>
        <v>x</v>
      </c>
      <c r="HK81" s="111"/>
      <c r="HL81" s="112" t="str">
        <f t="shared" si="491"/>
        <v>x</v>
      </c>
      <c r="HM81" s="112" t="str">
        <f t="shared" si="492"/>
        <v>x</v>
      </c>
      <c r="HN81" s="112" t="str">
        <f t="shared" si="493"/>
        <v>x</v>
      </c>
      <c r="HO81" s="112" t="str">
        <f t="shared" si="494"/>
        <v>x</v>
      </c>
      <c r="HP81" s="112" t="str">
        <f t="shared" si="495"/>
        <v>x</v>
      </c>
      <c r="HQ81" s="112" t="str">
        <f t="shared" si="496"/>
        <v>x</v>
      </c>
      <c r="HR81" s="112" t="str">
        <f t="shared" si="497"/>
        <v>x</v>
      </c>
      <c r="HS81" s="112" t="str">
        <f t="shared" si="498"/>
        <v>x</v>
      </c>
      <c r="HT81" s="112"/>
      <c r="HU81" s="112" t="str">
        <f t="shared" si="499"/>
        <v>x</v>
      </c>
      <c r="HV81" s="112"/>
      <c r="HW81" s="112" t="str">
        <f t="shared" ref="HW81:HW105" si="549">HYPERLINK("http://www.bkk-psychisch-gesund.de/fileadmin/user_upload/Dokumente/Versicherte/Broschueren/Wegweiser_Psychotherapie_englisch.pdf","x")</f>
        <v>x</v>
      </c>
      <c r="HX81" s="112" t="str">
        <f t="shared" si="500"/>
        <v>x</v>
      </c>
      <c r="HY81" s="112" t="str">
        <f t="shared" si="501"/>
        <v>x</v>
      </c>
      <c r="HZ81" s="112" t="str">
        <f t="shared" si="502"/>
        <v>x</v>
      </c>
      <c r="IA81" s="112"/>
      <c r="IB81" s="112"/>
      <c r="IC81" s="112" t="str">
        <f t="shared" ref="IC81:IC105" si="550">HYPERLINK("http://www.susannestein.de/VIA-online/trauma-picture-book.pdf","x")</f>
        <v>x</v>
      </c>
      <c r="ID81" s="112" t="str">
        <f t="shared" si="503"/>
        <v>x</v>
      </c>
      <c r="IE81" s="112"/>
      <c r="IF81" s="112"/>
      <c r="IG81" s="111"/>
      <c r="IH81" s="112" t="str">
        <f t="shared" si="504"/>
        <v>x</v>
      </c>
      <c r="II81" s="112" t="str">
        <f t="shared" si="505"/>
        <v>x</v>
      </c>
      <c r="IJ81" s="112" t="str">
        <f t="shared" si="506"/>
        <v>x</v>
      </c>
      <c r="IK81" s="115" t="str">
        <f t="shared" si="507"/>
        <v>x</v>
      </c>
      <c r="IL81" s="112" t="str">
        <f t="shared" si="508"/>
        <v>x</v>
      </c>
      <c r="IM81" s="112" t="str">
        <f t="shared" si="509"/>
        <v>x</v>
      </c>
      <c r="IN81" s="112"/>
      <c r="IO81" s="112"/>
      <c r="IP81" s="112" t="str">
        <f t="shared" si="510"/>
        <v>x</v>
      </c>
      <c r="IQ81" s="112" t="str">
        <f t="shared" si="511"/>
        <v>x</v>
      </c>
      <c r="IR81" s="111"/>
      <c r="IS81" s="112" t="str">
        <f t="shared" si="512"/>
        <v>x</v>
      </c>
      <c r="IT81" s="111"/>
      <c r="IU81" s="112" t="str">
        <f t="shared" si="513"/>
        <v>x</v>
      </c>
      <c r="IV81" s="112"/>
      <c r="IW81" s="112" t="str">
        <f t="shared" si="514"/>
        <v>x</v>
      </c>
      <c r="IX81" s="112" t="str">
        <f t="shared" si="515"/>
        <v>x</v>
      </c>
      <c r="IY81" s="111"/>
      <c r="IZ81" s="112" t="str">
        <f t="shared" si="516"/>
        <v>x</v>
      </c>
      <c r="JA81" s="111"/>
      <c r="JB81" s="112" t="str">
        <f t="shared" si="517"/>
        <v>x</v>
      </c>
      <c r="JC81" s="111"/>
      <c r="JD81" s="112"/>
      <c r="JE81" s="112"/>
      <c r="JF81" s="112" t="str">
        <f t="shared" si="518"/>
        <v>x</v>
      </c>
      <c r="JG81" s="112" t="str">
        <f t="shared" si="519"/>
        <v>x</v>
      </c>
      <c r="JH81" s="112" t="str">
        <f t="shared" si="520"/>
        <v>x</v>
      </c>
      <c r="JI81" s="112"/>
      <c r="JJ81" s="112" t="str">
        <f t="shared" si="521"/>
        <v>x</v>
      </c>
      <c r="JK81" s="112" t="str">
        <f t="shared" ref="JK81:JK105" si="551">HYPERLINK("http://www.kub-berlin.org/formularprojekt/de/englisch-antraege-und-anlagen-uebersetzungshilfen/","x")</f>
        <v>x</v>
      </c>
      <c r="JL81" s="112" t="str">
        <f t="shared" si="522"/>
        <v>x</v>
      </c>
      <c r="JM81" s="112"/>
      <c r="JN81" s="112"/>
      <c r="JO81" s="112"/>
      <c r="JP81" s="112"/>
      <c r="JQ81" s="112" t="str">
        <f t="shared" si="523"/>
        <v>x</v>
      </c>
      <c r="JR81" s="112"/>
      <c r="JS81" s="112" t="str">
        <f t="shared" si="524"/>
        <v>x</v>
      </c>
      <c r="JT81" s="111"/>
      <c r="JU81" s="111"/>
      <c r="JV81" s="112"/>
      <c r="JW81" s="112" t="str">
        <f t="shared" si="525"/>
        <v>x</v>
      </c>
      <c r="JX81" s="112"/>
      <c r="JY81" s="112"/>
      <c r="JZ81" s="112"/>
      <c r="KA81" s="112" t="str">
        <f t="shared" si="526"/>
        <v>x</v>
      </c>
      <c r="KB81" s="112" t="str">
        <f t="shared" si="527"/>
        <v>x</v>
      </c>
      <c r="KC81" s="112" t="str">
        <f t="shared" si="528"/>
        <v>x</v>
      </c>
      <c r="KD81" s="112" t="str">
        <f t="shared" si="529"/>
        <v>x</v>
      </c>
      <c r="KE81" s="112" t="str">
        <f t="shared" si="530"/>
        <v>x</v>
      </c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1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1"/>
      <c r="MC81" s="112" t="str">
        <f t="shared" si="531"/>
        <v>x</v>
      </c>
      <c r="MD81" s="112"/>
      <c r="ME81" s="112" t="str">
        <f t="shared" si="532"/>
        <v>x</v>
      </c>
      <c r="MF81" s="112" t="str">
        <f t="shared" si="533"/>
        <v>x</v>
      </c>
      <c r="MG81" s="112" t="str">
        <f t="shared" ref="MG81:MG105" si="552">HYPERLINK("http://www.aha-region.de/fileadmin/Download/pdf/aha_Plakat_Muelltrennung_en.pdf","x")</f>
        <v>x</v>
      </c>
      <c r="MH81" s="112" t="str">
        <f t="shared" si="534"/>
        <v>x</v>
      </c>
    </row>
    <row r="82" spans="1:346" x14ac:dyDescent="0.25">
      <c r="A82" s="110" t="s">
        <v>4</v>
      </c>
      <c r="B82" s="101" t="s">
        <v>381</v>
      </c>
      <c r="C82" s="102"/>
      <c r="D82" s="102"/>
      <c r="E82" s="102"/>
      <c r="F82" s="102"/>
      <c r="G82" s="102"/>
      <c r="H82" s="102"/>
      <c r="I82" s="102"/>
      <c r="J82" s="103"/>
      <c r="K82" s="111"/>
      <c r="L82" s="111"/>
      <c r="M82" s="112" t="str">
        <f t="shared" si="390"/>
        <v>x</v>
      </c>
      <c r="N82" s="112" t="str">
        <f t="shared" si="391"/>
        <v>x</v>
      </c>
      <c r="O82" s="112" t="str">
        <f t="shared" si="535"/>
        <v>x</v>
      </c>
      <c r="P82" s="112" t="str">
        <f t="shared" si="392"/>
        <v>x</v>
      </c>
      <c r="Q82" s="112" t="str">
        <f t="shared" si="393"/>
        <v>x</v>
      </c>
      <c r="R82" s="112"/>
      <c r="S82" s="112" t="str">
        <f t="shared" si="394"/>
        <v>x</v>
      </c>
      <c r="T82" s="112" t="str">
        <f t="shared" si="395"/>
        <v>x</v>
      </c>
      <c r="U82" s="112"/>
      <c r="V82" s="112"/>
      <c r="W82" s="112" t="str">
        <f t="shared" si="396"/>
        <v>x</v>
      </c>
      <c r="X82" s="112" t="str">
        <f t="shared" si="397"/>
        <v>x</v>
      </c>
      <c r="Y82" s="112"/>
      <c r="Z82" s="112"/>
      <c r="AA82" s="112"/>
      <c r="AB82" s="112" t="str">
        <f t="shared" si="398"/>
        <v>x</v>
      </c>
      <c r="AC82" s="112" t="str">
        <f t="shared" si="399"/>
        <v>x</v>
      </c>
      <c r="AD82" s="112" t="str">
        <f t="shared" si="400"/>
        <v>x</v>
      </c>
      <c r="AE82" s="112" t="str">
        <f t="shared" si="536"/>
        <v>x</v>
      </c>
      <c r="AF82" s="112" t="str">
        <f t="shared" si="401"/>
        <v>x</v>
      </c>
      <c r="AG82" s="112" t="str">
        <f t="shared" si="402"/>
        <v>x</v>
      </c>
      <c r="AH82" s="112" t="str">
        <f t="shared" si="403"/>
        <v>x</v>
      </c>
      <c r="AI82" s="112" t="str">
        <f t="shared" si="404"/>
        <v>x</v>
      </c>
      <c r="AJ82" s="112" t="str">
        <f t="shared" si="405"/>
        <v>x</v>
      </c>
      <c r="AK82" s="112" t="str">
        <f t="shared" si="406"/>
        <v>x</v>
      </c>
      <c r="AL82" s="112"/>
      <c r="AM82" s="112" t="str">
        <f t="shared" si="537"/>
        <v>x</v>
      </c>
      <c r="AN82" s="112"/>
      <c r="AO82" s="112"/>
      <c r="AP82" s="112"/>
      <c r="AQ82" s="112"/>
      <c r="AR82" s="112"/>
      <c r="AS82" s="112"/>
      <c r="AT82" s="112" t="str">
        <f t="shared" si="407"/>
        <v>x</v>
      </c>
      <c r="AU82" s="113"/>
      <c r="AV82" s="114" t="str">
        <f t="shared" si="408"/>
        <v>x</v>
      </c>
      <c r="AW82" s="114" t="str">
        <f t="shared" si="409"/>
        <v>x</v>
      </c>
      <c r="AX82" s="112" t="str">
        <f t="shared" si="410"/>
        <v>x</v>
      </c>
      <c r="AY82" s="111"/>
      <c r="AZ82" s="112" t="str">
        <f t="shared" si="411"/>
        <v>x</v>
      </c>
      <c r="BA82" s="112" t="str">
        <f t="shared" si="412"/>
        <v>x</v>
      </c>
      <c r="BB82" s="111"/>
      <c r="BC82" s="111"/>
      <c r="BD82" s="112" t="str">
        <f t="shared" si="413"/>
        <v>x</v>
      </c>
      <c r="BE82" s="112"/>
      <c r="BF82" s="111"/>
      <c r="BG82" s="112" t="str">
        <f t="shared" si="414"/>
        <v>x</v>
      </c>
      <c r="BH82" s="112" t="str">
        <f t="shared" si="538"/>
        <v>x</v>
      </c>
      <c r="BI82" s="112" t="str">
        <f t="shared" si="415"/>
        <v>x</v>
      </c>
      <c r="BJ82" s="111"/>
      <c r="BK82" s="112" t="str">
        <f t="shared" si="416"/>
        <v>x</v>
      </c>
      <c r="BL82" s="112" t="str">
        <f t="shared" si="417"/>
        <v>x</v>
      </c>
      <c r="BM82" s="112" t="str">
        <f t="shared" si="418"/>
        <v>x</v>
      </c>
      <c r="BN82" s="112" t="str">
        <f t="shared" si="419"/>
        <v>x</v>
      </c>
      <c r="BO82" s="111"/>
      <c r="BP82" s="111"/>
      <c r="BQ82" s="111"/>
      <c r="BR82" s="112" t="str">
        <f t="shared" si="420"/>
        <v>x</v>
      </c>
      <c r="BS82" s="112"/>
      <c r="BT82" s="111"/>
      <c r="BU82" s="112" t="str">
        <f t="shared" si="421"/>
        <v>x</v>
      </c>
      <c r="BV82" s="112" t="str">
        <f t="shared" si="422"/>
        <v>x</v>
      </c>
      <c r="BW82" s="112"/>
      <c r="BX82" s="112"/>
      <c r="BY82" s="112"/>
      <c r="BZ82" s="112" t="str">
        <f t="shared" si="423"/>
        <v>x</v>
      </c>
      <c r="CA82" s="112" t="str">
        <f t="shared" si="424"/>
        <v>x</v>
      </c>
      <c r="CB82" s="112" t="str">
        <f t="shared" si="425"/>
        <v>x</v>
      </c>
      <c r="CC82" s="112"/>
      <c r="CD82" s="112"/>
      <c r="CE82" s="111"/>
      <c r="CF82" s="112" t="str">
        <f t="shared" si="426"/>
        <v>x</v>
      </c>
      <c r="CG82" s="112" t="str">
        <f t="shared" si="539"/>
        <v>x</v>
      </c>
      <c r="CH82" s="112" t="str">
        <f t="shared" si="427"/>
        <v>x</v>
      </c>
      <c r="CI82" s="112" t="str">
        <f t="shared" si="428"/>
        <v>x</v>
      </c>
      <c r="CJ82" s="112" t="str">
        <f t="shared" si="429"/>
        <v>x</v>
      </c>
      <c r="CK82" s="112" t="str">
        <f t="shared" si="430"/>
        <v>x</v>
      </c>
      <c r="CL82" s="112" t="str">
        <f t="shared" si="431"/>
        <v>x</v>
      </c>
      <c r="CM82" s="112"/>
      <c r="CN82" s="112"/>
      <c r="CO82" s="112" t="str">
        <f t="shared" si="540"/>
        <v>x</v>
      </c>
      <c r="CP82" s="112"/>
      <c r="CQ82" s="112" t="str">
        <f t="shared" si="541"/>
        <v>x</v>
      </c>
      <c r="CR82" s="112" t="str">
        <f t="shared" si="432"/>
        <v>x</v>
      </c>
      <c r="CS82" s="112"/>
      <c r="CT82" s="112" t="str">
        <f t="shared" si="542"/>
        <v>x</v>
      </c>
      <c r="CU82" s="112" t="str">
        <f t="shared" si="433"/>
        <v>x</v>
      </c>
      <c r="CV82" s="112" t="str">
        <f t="shared" si="434"/>
        <v>x</v>
      </c>
      <c r="CW82" s="112" t="str">
        <f t="shared" si="435"/>
        <v>x</v>
      </c>
      <c r="CX82" s="112" t="str">
        <f t="shared" si="436"/>
        <v>x</v>
      </c>
      <c r="CY82" s="112" t="str">
        <f t="shared" si="543"/>
        <v>x</v>
      </c>
      <c r="CZ82" s="112"/>
      <c r="DA82" s="112"/>
      <c r="DB82" s="115" t="str">
        <f t="shared" si="437"/>
        <v>x</v>
      </c>
      <c r="DC82" s="112"/>
      <c r="DD82" s="112"/>
      <c r="DE82" s="112" t="str">
        <f t="shared" si="438"/>
        <v>x</v>
      </c>
      <c r="DF82" s="115" t="str">
        <f t="shared" si="439"/>
        <v>x</v>
      </c>
      <c r="DG82" s="112" t="str">
        <f t="shared" si="440"/>
        <v>x</v>
      </c>
      <c r="DH82" s="112" t="str">
        <f t="shared" si="441"/>
        <v>x</v>
      </c>
      <c r="DI82" s="112"/>
      <c r="DJ82" s="112"/>
      <c r="DK82" s="112"/>
      <c r="DL82" s="112"/>
      <c r="DM82" s="112"/>
      <c r="DN82" s="112" t="str">
        <f t="shared" si="442"/>
        <v>x</v>
      </c>
      <c r="DO82" s="111"/>
      <c r="DP82" s="111"/>
      <c r="DQ82" s="112" t="str">
        <f t="shared" si="443"/>
        <v>x</v>
      </c>
      <c r="DR82" s="112" t="str">
        <f t="shared" si="544"/>
        <v>x</v>
      </c>
      <c r="DS82" s="112" t="str">
        <f t="shared" si="545"/>
        <v>x</v>
      </c>
      <c r="DT82" s="112"/>
      <c r="DU82" s="112" t="str">
        <f t="shared" si="444"/>
        <v>x</v>
      </c>
      <c r="DV82" s="112"/>
      <c r="DW82" s="112" t="str">
        <f t="shared" si="546"/>
        <v>x</v>
      </c>
      <c r="DX82" s="112" t="str">
        <f t="shared" si="445"/>
        <v>x</v>
      </c>
      <c r="DY82" s="112" t="str">
        <f t="shared" si="446"/>
        <v>x</v>
      </c>
      <c r="DZ82" s="112" t="str">
        <f t="shared" si="447"/>
        <v>x</v>
      </c>
      <c r="EA82" s="112" t="str">
        <f t="shared" si="448"/>
        <v>x</v>
      </c>
      <c r="EB82" s="112" t="str">
        <f t="shared" si="449"/>
        <v>x</v>
      </c>
      <c r="EC82" s="111"/>
      <c r="ED82" s="111"/>
      <c r="EE82" s="111"/>
      <c r="EF82" s="111"/>
      <c r="EG82" s="111"/>
      <c r="EH82" s="111"/>
      <c r="EI82" s="112"/>
      <c r="EJ82" s="112" t="str">
        <f t="shared" si="450"/>
        <v>x</v>
      </c>
      <c r="EK82" s="112" t="str">
        <f t="shared" si="451"/>
        <v>x</v>
      </c>
      <c r="EL82" s="112" t="str">
        <f t="shared" si="452"/>
        <v>x</v>
      </c>
      <c r="EM82" s="112" t="str">
        <f t="shared" si="453"/>
        <v>x</v>
      </c>
      <c r="EN82" s="112" t="str">
        <f t="shared" si="454"/>
        <v>x</v>
      </c>
      <c r="EO82" s="117" t="str">
        <f t="shared" si="455"/>
        <v>x</v>
      </c>
      <c r="EP82" s="117" t="str">
        <f t="shared" si="456"/>
        <v>x</v>
      </c>
      <c r="EQ82" s="112" t="str">
        <f t="shared" si="457"/>
        <v>x</v>
      </c>
      <c r="ER82" s="111"/>
      <c r="ES82" s="111"/>
      <c r="ET82" s="112" t="str">
        <f t="shared" si="458"/>
        <v>x</v>
      </c>
      <c r="EU82" s="112" t="str">
        <f t="shared" si="459"/>
        <v>x</v>
      </c>
      <c r="EV82" s="112" t="str">
        <f t="shared" si="460"/>
        <v>x</v>
      </c>
      <c r="EW82" s="112" t="str">
        <f t="shared" si="461"/>
        <v>x</v>
      </c>
      <c r="EX82" s="112" t="str">
        <f t="shared" si="462"/>
        <v>x</v>
      </c>
      <c r="EY82" s="112" t="str">
        <f t="shared" si="463"/>
        <v>x</v>
      </c>
      <c r="EZ82" s="112"/>
      <c r="FA82" s="112" t="str">
        <f t="shared" si="464"/>
        <v>x</v>
      </c>
      <c r="FB82" s="112" t="str">
        <f t="shared" si="465"/>
        <v>x</v>
      </c>
      <c r="FC82" s="112" t="str">
        <f t="shared" si="466"/>
        <v>x</v>
      </c>
      <c r="FD82" s="112" t="str">
        <f t="shared" si="467"/>
        <v>x</v>
      </c>
      <c r="FE82" s="112" t="str">
        <f t="shared" si="468"/>
        <v>x</v>
      </c>
      <c r="FF82" s="112" t="str">
        <f t="shared" si="469"/>
        <v>x</v>
      </c>
      <c r="FG82" s="111"/>
      <c r="FH82" s="111"/>
      <c r="FI82" s="112" t="str">
        <f t="shared" si="470"/>
        <v>x</v>
      </c>
      <c r="FJ82" s="112" t="str">
        <f t="shared" si="471"/>
        <v>x</v>
      </c>
      <c r="FK82" s="112" t="str">
        <f t="shared" si="472"/>
        <v>x</v>
      </c>
      <c r="FL82" s="112"/>
      <c r="FM82" s="112" t="str">
        <f t="shared" si="473"/>
        <v>x</v>
      </c>
      <c r="FN82" s="112" t="str">
        <f t="shared" si="547"/>
        <v>x</v>
      </c>
      <c r="FO82" s="112" t="str">
        <f t="shared" si="474"/>
        <v>x</v>
      </c>
      <c r="FP82" s="112" t="str">
        <f t="shared" si="475"/>
        <v>x</v>
      </c>
      <c r="FQ82" s="112" t="str">
        <f t="shared" si="476"/>
        <v>x</v>
      </c>
      <c r="FR82" s="112" t="str">
        <f t="shared" si="477"/>
        <v>x</v>
      </c>
      <c r="FS82" s="112" t="str">
        <f t="shared" si="478"/>
        <v>x</v>
      </c>
      <c r="FT82" s="112" t="str">
        <f t="shared" si="479"/>
        <v>x</v>
      </c>
      <c r="FU82" s="112" t="str">
        <f t="shared" si="480"/>
        <v>x</v>
      </c>
      <c r="FV82" s="112" t="str">
        <f t="shared" si="481"/>
        <v>x</v>
      </c>
      <c r="FW82" s="111"/>
      <c r="FX82" s="112"/>
      <c r="FY82" s="112"/>
      <c r="FZ82" s="111"/>
      <c r="GA82" s="111"/>
      <c r="GB82" s="111"/>
      <c r="GC82" s="112" t="str">
        <f t="shared" si="482"/>
        <v>x</v>
      </c>
      <c r="GD82" s="111"/>
      <c r="GE82" s="111"/>
      <c r="GF82" s="111"/>
      <c r="GG82" s="112"/>
      <c r="GH82" s="111"/>
      <c r="GI82" s="111"/>
      <c r="GJ82" s="112" t="str">
        <f t="shared" si="483"/>
        <v>x</v>
      </c>
      <c r="GK82" s="111"/>
      <c r="GL82" s="112" t="str">
        <f t="shared" si="484"/>
        <v>x</v>
      </c>
      <c r="GM82" s="111"/>
      <c r="GN82" s="112" t="str">
        <f t="shared" si="485"/>
        <v>x</v>
      </c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2" t="str">
        <f t="shared" si="48"/>
        <v>x</v>
      </c>
      <c r="HC82" s="112" t="str">
        <f t="shared" si="486"/>
        <v>x</v>
      </c>
      <c r="HD82" s="112" t="str">
        <f t="shared" si="487"/>
        <v>x</v>
      </c>
      <c r="HE82" s="112" t="str">
        <f t="shared" si="488"/>
        <v>x</v>
      </c>
      <c r="HF82" s="112" t="str">
        <f t="shared" si="489"/>
        <v>x</v>
      </c>
      <c r="HG82" s="112"/>
      <c r="HH82" s="112" t="str">
        <f t="shared" si="548"/>
        <v>x</v>
      </c>
      <c r="HI82" s="112"/>
      <c r="HJ82" s="112" t="str">
        <f t="shared" si="490"/>
        <v>x</v>
      </c>
      <c r="HK82" s="111"/>
      <c r="HL82" s="112" t="str">
        <f t="shared" si="491"/>
        <v>x</v>
      </c>
      <c r="HM82" s="112" t="str">
        <f t="shared" si="492"/>
        <v>x</v>
      </c>
      <c r="HN82" s="112" t="str">
        <f t="shared" si="493"/>
        <v>x</v>
      </c>
      <c r="HO82" s="112" t="str">
        <f t="shared" si="494"/>
        <v>x</v>
      </c>
      <c r="HP82" s="112" t="str">
        <f t="shared" si="495"/>
        <v>x</v>
      </c>
      <c r="HQ82" s="112" t="str">
        <f t="shared" si="496"/>
        <v>x</v>
      </c>
      <c r="HR82" s="112" t="str">
        <f t="shared" si="497"/>
        <v>x</v>
      </c>
      <c r="HS82" s="112" t="str">
        <f t="shared" si="498"/>
        <v>x</v>
      </c>
      <c r="HT82" s="112"/>
      <c r="HU82" s="112" t="str">
        <f t="shared" si="499"/>
        <v>x</v>
      </c>
      <c r="HV82" s="112"/>
      <c r="HW82" s="112" t="str">
        <f t="shared" si="549"/>
        <v>x</v>
      </c>
      <c r="HX82" s="112" t="str">
        <f t="shared" si="500"/>
        <v>x</v>
      </c>
      <c r="HY82" s="112" t="str">
        <f t="shared" si="501"/>
        <v>x</v>
      </c>
      <c r="HZ82" s="112" t="str">
        <f t="shared" si="502"/>
        <v>x</v>
      </c>
      <c r="IA82" s="112"/>
      <c r="IB82" s="112"/>
      <c r="IC82" s="112" t="str">
        <f t="shared" si="550"/>
        <v>x</v>
      </c>
      <c r="ID82" s="112" t="str">
        <f t="shared" si="503"/>
        <v>x</v>
      </c>
      <c r="IE82" s="112"/>
      <c r="IF82" s="112"/>
      <c r="IG82" s="111"/>
      <c r="IH82" s="112" t="str">
        <f t="shared" si="504"/>
        <v>x</v>
      </c>
      <c r="II82" s="112" t="str">
        <f t="shared" si="505"/>
        <v>x</v>
      </c>
      <c r="IJ82" s="112" t="str">
        <f t="shared" si="506"/>
        <v>x</v>
      </c>
      <c r="IK82" s="115" t="str">
        <f t="shared" si="507"/>
        <v>x</v>
      </c>
      <c r="IL82" s="112" t="str">
        <f t="shared" si="508"/>
        <v>x</v>
      </c>
      <c r="IM82" s="112" t="str">
        <f t="shared" si="509"/>
        <v>x</v>
      </c>
      <c r="IN82" s="112"/>
      <c r="IO82" s="112"/>
      <c r="IP82" s="112" t="str">
        <f t="shared" si="510"/>
        <v>x</v>
      </c>
      <c r="IQ82" s="112" t="str">
        <f t="shared" si="511"/>
        <v>x</v>
      </c>
      <c r="IR82" s="111"/>
      <c r="IS82" s="112" t="str">
        <f t="shared" si="512"/>
        <v>x</v>
      </c>
      <c r="IT82" s="111"/>
      <c r="IU82" s="112" t="str">
        <f t="shared" si="513"/>
        <v>x</v>
      </c>
      <c r="IV82" s="112"/>
      <c r="IW82" s="112" t="str">
        <f t="shared" si="514"/>
        <v>x</v>
      </c>
      <c r="IX82" s="112" t="str">
        <f t="shared" si="515"/>
        <v>x</v>
      </c>
      <c r="IY82" s="111"/>
      <c r="IZ82" s="112" t="str">
        <f t="shared" si="516"/>
        <v>x</v>
      </c>
      <c r="JA82" s="111"/>
      <c r="JB82" s="112" t="str">
        <f t="shared" si="517"/>
        <v>x</v>
      </c>
      <c r="JC82" s="111"/>
      <c r="JD82" s="112"/>
      <c r="JE82" s="112"/>
      <c r="JF82" s="112" t="str">
        <f t="shared" si="518"/>
        <v>x</v>
      </c>
      <c r="JG82" s="112" t="str">
        <f t="shared" si="519"/>
        <v>x</v>
      </c>
      <c r="JH82" s="112" t="str">
        <f t="shared" si="520"/>
        <v>x</v>
      </c>
      <c r="JI82" s="112"/>
      <c r="JJ82" s="112" t="str">
        <f t="shared" si="521"/>
        <v>x</v>
      </c>
      <c r="JK82" s="112" t="str">
        <f t="shared" si="551"/>
        <v>x</v>
      </c>
      <c r="JL82" s="112" t="str">
        <f t="shared" si="522"/>
        <v>x</v>
      </c>
      <c r="JM82" s="112"/>
      <c r="JN82" s="112"/>
      <c r="JO82" s="112"/>
      <c r="JP82" s="112"/>
      <c r="JQ82" s="112" t="str">
        <f t="shared" si="523"/>
        <v>x</v>
      </c>
      <c r="JR82" s="112"/>
      <c r="JS82" s="112" t="str">
        <f t="shared" si="524"/>
        <v>x</v>
      </c>
      <c r="JT82" s="111"/>
      <c r="JU82" s="111"/>
      <c r="JV82" s="112"/>
      <c r="JW82" s="112" t="str">
        <f t="shared" si="525"/>
        <v>x</v>
      </c>
      <c r="JX82" s="112"/>
      <c r="JY82" s="112"/>
      <c r="JZ82" s="112"/>
      <c r="KA82" s="112" t="str">
        <f t="shared" si="526"/>
        <v>x</v>
      </c>
      <c r="KB82" s="112" t="str">
        <f t="shared" si="527"/>
        <v>x</v>
      </c>
      <c r="KC82" s="112" t="str">
        <f t="shared" si="528"/>
        <v>x</v>
      </c>
      <c r="KD82" s="112" t="str">
        <f t="shared" si="529"/>
        <v>x</v>
      </c>
      <c r="KE82" s="112" t="str">
        <f t="shared" si="530"/>
        <v>x</v>
      </c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1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1"/>
      <c r="MC82" s="112" t="str">
        <f t="shared" si="531"/>
        <v>x</v>
      </c>
      <c r="MD82" s="112"/>
      <c r="ME82" s="112" t="str">
        <f t="shared" si="532"/>
        <v>x</v>
      </c>
      <c r="MF82" s="112" t="str">
        <f t="shared" si="533"/>
        <v>x</v>
      </c>
      <c r="MG82" s="112" t="str">
        <f t="shared" si="552"/>
        <v>x</v>
      </c>
      <c r="MH82" s="112" t="str">
        <f t="shared" si="534"/>
        <v>x</v>
      </c>
    </row>
    <row r="83" spans="1:346" x14ac:dyDescent="0.25">
      <c r="A83" s="110" t="s">
        <v>4</v>
      </c>
      <c r="B83" s="101" t="s">
        <v>382</v>
      </c>
      <c r="C83" s="102"/>
      <c r="D83" s="102"/>
      <c r="E83" s="102"/>
      <c r="F83" s="102"/>
      <c r="G83" s="102"/>
      <c r="H83" s="102"/>
      <c r="I83" s="102"/>
      <c r="J83" s="103"/>
      <c r="K83" s="111"/>
      <c r="L83" s="111"/>
      <c r="M83" s="112" t="str">
        <f t="shared" si="390"/>
        <v>x</v>
      </c>
      <c r="N83" s="112" t="str">
        <f t="shared" si="391"/>
        <v>x</v>
      </c>
      <c r="O83" s="112" t="str">
        <f t="shared" si="535"/>
        <v>x</v>
      </c>
      <c r="P83" s="112" t="str">
        <f t="shared" si="392"/>
        <v>x</v>
      </c>
      <c r="Q83" s="112" t="str">
        <f t="shared" si="393"/>
        <v>x</v>
      </c>
      <c r="R83" s="112"/>
      <c r="S83" s="112" t="str">
        <f t="shared" si="394"/>
        <v>x</v>
      </c>
      <c r="T83" s="112" t="str">
        <f t="shared" si="395"/>
        <v>x</v>
      </c>
      <c r="U83" s="112"/>
      <c r="V83" s="112"/>
      <c r="W83" s="112" t="str">
        <f t="shared" si="396"/>
        <v>x</v>
      </c>
      <c r="X83" s="112" t="str">
        <f t="shared" si="397"/>
        <v>x</v>
      </c>
      <c r="Y83" s="112"/>
      <c r="Z83" s="112"/>
      <c r="AA83" s="112"/>
      <c r="AB83" s="112" t="str">
        <f t="shared" si="398"/>
        <v>x</v>
      </c>
      <c r="AC83" s="112" t="str">
        <f t="shared" si="399"/>
        <v>x</v>
      </c>
      <c r="AD83" s="112" t="str">
        <f t="shared" si="400"/>
        <v>x</v>
      </c>
      <c r="AE83" s="112" t="str">
        <f t="shared" si="536"/>
        <v>x</v>
      </c>
      <c r="AF83" s="112" t="str">
        <f t="shared" si="401"/>
        <v>x</v>
      </c>
      <c r="AG83" s="112" t="str">
        <f t="shared" si="402"/>
        <v>x</v>
      </c>
      <c r="AH83" s="112" t="str">
        <f t="shared" si="403"/>
        <v>x</v>
      </c>
      <c r="AI83" s="112" t="str">
        <f t="shared" si="404"/>
        <v>x</v>
      </c>
      <c r="AJ83" s="112" t="str">
        <f t="shared" si="405"/>
        <v>x</v>
      </c>
      <c r="AK83" s="112" t="str">
        <f t="shared" si="406"/>
        <v>x</v>
      </c>
      <c r="AL83" s="112"/>
      <c r="AM83" s="112" t="str">
        <f t="shared" si="537"/>
        <v>x</v>
      </c>
      <c r="AN83" s="112"/>
      <c r="AO83" s="112"/>
      <c r="AP83" s="112"/>
      <c r="AQ83" s="112"/>
      <c r="AR83" s="112"/>
      <c r="AS83" s="112"/>
      <c r="AT83" s="112" t="str">
        <f t="shared" si="407"/>
        <v>x</v>
      </c>
      <c r="AU83" s="113"/>
      <c r="AV83" s="114" t="str">
        <f t="shared" si="408"/>
        <v>x</v>
      </c>
      <c r="AW83" s="114" t="str">
        <f t="shared" si="409"/>
        <v>x</v>
      </c>
      <c r="AX83" s="112" t="str">
        <f t="shared" si="410"/>
        <v>x</v>
      </c>
      <c r="AY83" s="111"/>
      <c r="AZ83" s="112" t="str">
        <f t="shared" si="411"/>
        <v>x</v>
      </c>
      <c r="BA83" s="112" t="str">
        <f t="shared" si="412"/>
        <v>x</v>
      </c>
      <c r="BB83" s="111"/>
      <c r="BC83" s="111"/>
      <c r="BD83" s="112" t="str">
        <f t="shared" si="413"/>
        <v>x</v>
      </c>
      <c r="BE83" s="112"/>
      <c r="BF83" s="111"/>
      <c r="BG83" s="112" t="str">
        <f t="shared" si="414"/>
        <v>x</v>
      </c>
      <c r="BH83" s="112" t="str">
        <f t="shared" si="538"/>
        <v>x</v>
      </c>
      <c r="BI83" s="112" t="str">
        <f t="shared" si="415"/>
        <v>x</v>
      </c>
      <c r="BJ83" s="111"/>
      <c r="BK83" s="112" t="str">
        <f t="shared" si="416"/>
        <v>x</v>
      </c>
      <c r="BL83" s="112" t="str">
        <f t="shared" si="417"/>
        <v>x</v>
      </c>
      <c r="BM83" s="112" t="str">
        <f t="shared" si="418"/>
        <v>x</v>
      </c>
      <c r="BN83" s="112" t="str">
        <f t="shared" si="419"/>
        <v>x</v>
      </c>
      <c r="BO83" s="111"/>
      <c r="BP83" s="111"/>
      <c r="BQ83" s="111"/>
      <c r="BR83" s="112" t="str">
        <f t="shared" si="420"/>
        <v>x</v>
      </c>
      <c r="BS83" s="112"/>
      <c r="BT83" s="111"/>
      <c r="BU83" s="112" t="str">
        <f t="shared" si="421"/>
        <v>x</v>
      </c>
      <c r="BV83" s="112" t="str">
        <f t="shared" si="422"/>
        <v>x</v>
      </c>
      <c r="BW83" s="112"/>
      <c r="BX83" s="112"/>
      <c r="BY83" s="112"/>
      <c r="BZ83" s="112" t="str">
        <f t="shared" si="423"/>
        <v>x</v>
      </c>
      <c r="CA83" s="112" t="str">
        <f t="shared" si="424"/>
        <v>x</v>
      </c>
      <c r="CB83" s="112" t="str">
        <f t="shared" si="425"/>
        <v>x</v>
      </c>
      <c r="CC83" s="112"/>
      <c r="CD83" s="112"/>
      <c r="CE83" s="111"/>
      <c r="CF83" s="112" t="str">
        <f t="shared" si="426"/>
        <v>x</v>
      </c>
      <c r="CG83" s="112" t="str">
        <f t="shared" si="539"/>
        <v>x</v>
      </c>
      <c r="CH83" s="112" t="str">
        <f t="shared" si="427"/>
        <v>x</v>
      </c>
      <c r="CI83" s="112" t="str">
        <f t="shared" si="428"/>
        <v>x</v>
      </c>
      <c r="CJ83" s="112" t="str">
        <f t="shared" si="429"/>
        <v>x</v>
      </c>
      <c r="CK83" s="112" t="str">
        <f t="shared" si="430"/>
        <v>x</v>
      </c>
      <c r="CL83" s="112" t="str">
        <f t="shared" si="431"/>
        <v>x</v>
      </c>
      <c r="CM83" s="112"/>
      <c r="CN83" s="112"/>
      <c r="CO83" s="112" t="str">
        <f t="shared" si="540"/>
        <v>x</v>
      </c>
      <c r="CP83" s="112"/>
      <c r="CQ83" s="112" t="str">
        <f t="shared" si="541"/>
        <v>x</v>
      </c>
      <c r="CR83" s="112" t="str">
        <f t="shared" si="432"/>
        <v>x</v>
      </c>
      <c r="CS83" s="112"/>
      <c r="CT83" s="112" t="str">
        <f t="shared" si="542"/>
        <v>x</v>
      </c>
      <c r="CU83" s="112" t="str">
        <f t="shared" si="433"/>
        <v>x</v>
      </c>
      <c r="CV83" s="112" t="str">
        <f t="shared" si="434"/>
        <v>x</v>
      </c>
      <c r="CW83" s="112" t="str">
        <f t="shared" si="435"/>
        <v>x</v>
      </c>
      <c r="CX83" s="112" t="str">
        <f t="shared" si="436"/>
        <v>x</v>
      </c>
      <c r="CY83" s="112" t="str">
        <f t="shared" si="543"/>
        <v>x</v>
      </c>
      <c r="CZ83" s="112"/>
      <c r="DA83" s="112"/>
      <c r="DB83" s="115" t="str">
        <f t="shared" si="437"/>
        <v>x</v>
      </c>
      <c r="DC83" s="112"/>
      <c r="DD83" s="112"/>
      <c r="DE83" s="112" t="str">
        <f t="shared" si="438"/>
        <v>x</v>
      </c>
      <c r="DF83" s="115" t="str">
        <f t="shared" si="439"/>
        <v>x</v>
      </c>
      <c r="DG83" s="112" t="str">
        <f t="shared" si="440"/>
        <v>x</v>
      </c>
      <c r="DH83" s="112" t="str">
        <f t="shared" si="441"/>
        <v>x</v>
      </c>
      <c r="DI83" s="112"/>
      <c r="DJ83" s="112"/>
      <c r="DK83" s="112"/>
      <c r="DL83" s="112"/>
      <c r="DM83" s="112"/>
      <c r="DN83" s="112" t="str">
        <f t="shared" si="442"/>
        <v>x</v>
      </c>
      <c r="DO83" s="111"/>
      <c r="DP83" s="111"/>
      <c r="DQ83" s="112" t="str">
        <f t="shared" si="443"/>
        <v>x</v>
      </c>
      <c r="DR83" s="112" t="str">
        <f t="shared" si="544"/>
        <v>x</v>
      </c>
      <c r="DS83" s="112" t="str">
        <f t="shared" si="545"/>
        <v>x</v>
      </c>
      <c r="DT83" s="112"/>
      <c r="DU83" s="112" t="str">
        <f t="shared" si="444"/>
        <v>x</v>
      </c>
      <c r="DV83" s="112"/>
      <c r="DW83" s="112" t="str">
        <f t="shared" si="546"/>
        <v>x</v>
      </c>
      <c r="DX83" s="112" t="str">
        <f t="shared" si="445"/>
        <v>x</v>
      </c>
      <c r="DY83" s="112" t="str">
        <f t="shared" si="446"/>
        <v>x</v>
      </c>
      <c r="DZ83" s="112" t="str">
        <f t="shared" si="447"/>
        <v>x</v>
      </c>
      <c r="EA83" s="112" t="str">
        <f t="shared" si="448"/>
        <v>x</v>
      </c>
      <c r="EB83" s="112" t="str">
        <f t="shared" si="449"/>
        <v>x</v>
      </c>
      <c r="EC83" s="111"/>
      <c r="ED83" s="111"/>
      <c r="EE83" s="111"/>
      <c r="EF83" s="111"/>
      <c r="EG83" s="111"/>
      <c r="EH83" s="111"/>
      <c r="EI83" s="112"/>
      <c r="EJ83" s="112" t="str">
        <f t="shared" si="450"/>
        <v>x</v>
      </c>
      <c r="EK83" s="112" t="str">
        <f t="shared" si="451"/>
        <v>x</v>
      </c>
      <c r="EL83" s="112" t="str">
        <f t="shared" si="452"/>
        <v>x</v>
      </c>
      <c r="EM83" s="112" t="str">
        <f t="shared" si="453"/>
        <v>x</v>
      </c>
      <c r="EN83" s="112" t="str">
        <f t="shared" si="454"/>
        <v>x</v>
      </c>
      <c r="EO83" s="117" t="str">
        <f t="shared" si="455"/>
        <v>x</v>
      </c>
      <c r="EP83" s="117" t="str">
        <f t="shared" si="456"/>
        <v>x</v>
      </c>
      <c r="EQ83" s="112" t="str">
        <f t="shared" si="457"/>
        <v>x</v>
      </c>
      <c r="ER83" s="111"/>
      <c r="ES83" s="111"/>
      <c r="ET83" s="112" t="str">
        <f t="shared" si="458"/>
        <v>x</v>
      </c>
      <c r="EU83" s="112" t="str">
        <f t="shared" si="459"/>
        <v>x</v>
      </c>
      <c r="EV83" s="112" t="str">
        <f t="shared" si="460"/>
        <v>x</v>
      </c>
      <c r="EW83" s="112" t="str">
        <f t="shared" si="461"/>
        <v>x</v>
      </c>
      <c r="EX83" s="112" t="str">
        <f t="shared" si="462"/>
        <v>x</v>
      </c>
      <c r="EY83" s="112" t="str">
        <f t="shared" si="463"/>
        <v>x</v>
      </c>
      <c r="EZ83" s="112"/>
      <c r="FA83" s="112" t="str">
        <f t="shared" si="464"/>
        <v>x</v>
      </c>
      <c r="FB83" s="112" t="str">
        <f t="shared" si="465"/>
        <v>x</v>
      </c>
      <c r="FC83" s="112" t="str">
        <f t="shared" si="466"/>
        <v>x</v>
      </c>
      <c r="FD83" s="112" t="str">
        <f t="shared" si="467"/>
        <v>x</v>
      </c>
      <c r="FE83" s="112" t="str">
        <f t="shared" si="468"/>
        <v>x</v>
      </c>
      <c r="FF83" s="112" t="str">
        <f t="shared" si="469"/>
        <v>x</v>
      </c>
      <c r="FG83" s="111"/>
      <c r="FH83" s="111"/>
      <c r="FI83" s="112" t="str">
        <f t="shared" si="470"/>
        <v>x</v>
      </c>
      <c r="FJ83" s="112" t="str">
        <f t="shared" si="471"/>
        <v>x</v>
      </c>
      <c r="FK83" s="112" t="str">
        <f t="shared" si="472"/>
        <v>x</v>
      </c>
      <c r="FL83" s="112"/>
      <c r="FM83" s="112" t="str">
        <f t="shared" si="473"/>
        <v>x</v>
      </c>
      <c r="FN83" s="112" t="str">
        <f t="shared" si="547"/>
        <v>x</v>
      </c>
      <c r="FO83" s="112" t="str">
        <f t="shared" si="474"/>
        <v>x</v>
      </c>
      <c r="FP83" s="112" t="str">
        <f t="shared" si="475"/>
        <v>x</v>
      </c>
      <c r="FQ83" s="112" t="str">
        <f t="shared" si="476"/>
        <v>x</v>
      </c>
      <c r="FR83" s="112" t="str">
        <f t="shared" si="477"/>
        <v>x</v>
      </c>
      <c r="FS83" s="112" t="str">
        <f t="shared" si="478"/>
        <v>x</v>
      </c>
      <c r="FT83" s="112" t="str">
        <f t="shared" si="479"/>
        <v>x</v>
      </c>
      <c r="FU83" s="112" t="str">
        <f t="shared" si="480"/>
        <v>x</v>
      </c>
      <c r="FV83" s="112" t="str">
        <f t="shared" si="481"/>
        <v>x</v>
      </c>
      <c r="FW83" s="111"/>
      <c r="FX83" s="112"/>
      <c r="FY83" s="112"/>
      <c r="FZ83" s="111"/>
      <c r="GA83" s="111"/>
      <c r="GB83" s="111"/>
      <c r="GC83" s="112" t="str">
        <f t="shared" si="482"/>
        <v>x</v>
      </c>
      <c r="GD83" s="111"/>
      <c r="GE83" s="111"/>
      <c r="GF83" s="111"/>
      <c r="GG83" s="112"/>
      <c r="GH83" s="111"/>
      <c r="GI83" s="111"/>
      <c r="GJ83" s="112" t="str">
        <f t="shared" si="483"/>
        <v>x</v>
      </c>
      <c r="GK83" s="111"/>
      <c r="GL83" s="112" t="str">
        <f t="shared" si="484"/>
        <v>x</v>
      </c>
      <c r="GM83" s="111"/>
      <c r="GN83" s="112" t="str">
        <f t="shared" si="485"/>
        <v>x</v>
      </c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2" t="str">
        <f t="shared" si="48"/>
        <v>x</v>
      </c>
      <c r="HC83" s="112" t="str">
        <f t="shared" si="486"/>
        <v>x</v>
      </c>
      <c r="HD83" s="112" t="str">
        <f t="shared" si="487"/>
        <v>x</v>
      </c>
      <c r="HE83" s="112" t="str">
        <f t="shared" si="488"/>
        <v>x</v>
      </c>
      <c r="HF83" s="112" t="str">
        <f t="shared" si="489"/>
        <v>x</v>
      </c>
      <c r="HG83" s="112"/>
      <c r="HH83" s="112" t="str">
        <f t="shared" si="548"/>
        <v>x</v>
      </c>
      <c r="HI83" s="112"/>
      <c r="HJ83" s="112" t="str">
        <f t="shared" si="490"/>
        <v>x</v>
      </c>
      <c r="HK83" s="111"/>
      <c r="HL83" s="112" t="str">
        <f t="shared" si="491"/>
        <v>x</v>
      </c>
      <c r="HM83" s="112" t="str">
        <f t="shared" si="492"/>
        <v>x</v>
      </c>
      <c r="HN83" s="112" t="str">
        <f t="shared" si="493"/>
        <v>x</v>
      </c>
      <c r="HO83" s="112" t="str">
        <f t="shared" si="494"/>
        <v>x</v>
      </c>
      <c r="HP83" s="112" t="str">
        <f t="shared" si="495"/>
        <v>x</v>
      </c>
      <c r="HQ83" s="112" t="str">
        <f t="shared" si="496"/>
        <v>x</v>
      </c>
      <c r="HR83" s="112" t="str">
        <f t="shared" si="497"/>
        <v>x</v>
      </c>
      <c r="HS83" s="112" t="str">
        <f t="shared" si="498"/>
        <v>x</v>
      </c>
      <c r="HT83" s="112"/>
      <c r="HU83" s="112" t="str">
        <f t="shared" si="499"/>
        <v>x</v>
      </c>
      <c r="HV83" s="112"/>
      <c r="HW83" s="112" t="str">
        <f t="shared" si="549"/>
        <v>x</v>
      </c>
      <c r="HX83" s="112" t="str">
        <f t="shared" si="500"/>
        <v>x</v>
      </c>
      <c r="HY83" s="112" t="str">
        <f t="shared" si="501"/>
        <v>x</v>
      </c>
      <c r="HZ83" s="112" t="str">
        <f t="shared" si="502"/>
        <v>x</v>
      </c>
      <c r="IA83" s="112"/>
      <c r="IB83" s="112"/>
      <c r="IC83" s="112" t="str">
        <f t="shared" si="550"/>
        <v>x</v>
      </c>
      <c r="ID83" s="112" t="str">
        <f t="shared" si="503"/>
        <v>x</v>
      </c>
      <c r="IE83" s="112"/>
      <c r="IF83" s="112"/>
      <c r="IG83" s="111"/>
      <c r="IH83" s="112" t="str">
        <f t="shared" si="504"/>
        <v>x</v>
      </c>
      <c r="II83" s="112" t="str">
        <f t="shared" si="505"/>
        <v>x</v>
      </c>
      <c r="IJ83" s="112" t="str">
        <f t="shared" si="506"/>
        <v>x</v>
      </c>
      <c r="IK83" s="115" t="str">
        <f t="shared" si="507"/>
        <v>x</v>
      </c>
      <c r="IL83" s="112" t="str">
        <f t="shared" si="508"/>
        <v>x</v>
      </c>
      <c r="IM83" s="112" t="str">
        <f t="shared" si="509"/>
        <v>x</v>
      </c>
      <c r="IN83" s="112"/>
      <c r="IO83" s="112"/>
      <c r="IP83" s="112" t="str">
        <f t="shared" si="510"/>
        <v>x</v>
      </c>
      <c r="IQ83" s="112" t="str">
        <f t="shared" si="511"/>
        <v>x</v>
      </c>
      <c r="IR83" s="111"/>
      <c r="IS83" s="112" t="str">
        <f t="shared" si="512"/>
        <v>x</v>
      </c>
      <c r="IT83" s="111"/>
      <c r="IU83" s="112" t="str">
        <f t="shared" si="513"/>
        <v>x</v>
      </c>
      <c r="IV83" s="112"/>
      <c r="IW83" s="112" t="str">
        <f t="shared" si="514"/>
        <v>x</v>
      </c>
      <c r="IX83" s="112" t="str">
        <f t="shared" si="515"/>
        <v>x</v>
      </c>
      <c r="IY83" s="111"/>
      <c r="IZ83" s="112" t="str">
        <f t="shared" si="516"/>
        <v>x</v>
      </c>
      <c r="JA83" s="111"/>
      <c r="JB83" s="112" t="str">
        <f t="shared" si="517"/>
        <v>x</v>
      </c>
      <c r="JC83" s="111"/>
      <c r="JD83" s="112"/>
      <c r="JE83" s="112"/>
      <c r="JF83" s="112" t="str">
        <f t="shared" si="518"/>
        <v>x</v>
      </c>
      <c r="JG83" s="112" t="str">
        <f t="shared" si="519"/>
        <v>x</v>
      </c>
      <c r="JH83" s="112" t="str">
        <f t="shared" si="520"/>
        <v>x</v>
      </c>
      <c r="JI83" s="112"/>
      <c r="JJ83" s="112" t="str">
        <f t="shared" si="521"/>
        <v>x</v>
      </c>
      <c r="JK83" s="112" t="str">
        <f t="shared" si="551"/>
        <v>x</v>
      </c>
      <c r="JL83" s="112" t="str">
        <f t="shared" si="522"/>
        <v>x</v>
      </c>
      <c r="JM83" s="112"/>
      <c r="JN83" s="112"/>
      <c r="JO83" s="112"/>
      <c r="JP83" s="112"/>
      <c r="JQ83" s="112" t="str">
        <f t="shared" si="523"/>
        <v>x</v>
      </c>
      <c r="JR83" s="112"/>
      <c r="JS83" s="112" t="str">
        <f t="shared" si="524"/>
        <v>x</v>
      </c>
      <c r="JT83" s="111"/>
      <c r="JU83" s="111"/>
      <c r="JV83" s="112"/>
      <c r="JW83" s="112" t="str">
        <f t="shared" si="525"/>
        <v>x</v>
      </c>
      <c r="JX83" s="112"/>
      <c r="JY83" s="112"/>
      <c r="JZ83" s="112"/>
      <c r="KA83" s="112" t="str">
        <f t="shared" si="526"/>
        <v>x</v>
      </c>
      <c r="KB83" s="112" t="str">
        <f t="shared" si="527"/>
        <v>x</v>
      </c>
      <c r="KC83" s="112" t="str">
        <f t="shared" si="528"/>
        <v>x</v>
      </c>
      <c r="KD83" s="112" t="str">
        <f t="shared" si="529"/>
        <v>x</v>
      </c>
      <c r="KE83" s="112" t="str">
        <f t="shared" si="530"/>
        <v>x</v>
      </c>
      <c r="KF83" s="112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  <c r="KY83" s="112"/>
      <c r="KZ83" s="112"/>
      <c r="LA83" s="112"/>
      <c r="LB83" s="111"/>
      <c r="LC83" s="112"/>
      <c r="LD83" s="112"/>
      <c r="LE83" s="112"/>
      <c r="LF83" s="112"/>
      <c r="LG83" s="112"/>
      <c r="LH83" s="112"/>
      <c r="LI83" s="112"/>
      <c r="LJ83" s="112"/>
      <c r="LK83" s="112"/>
      <c r="LL83" s="112"/>
      <c r="LM83" s="112"/>
      <c r="LN83" s="112"/>
      <c r="LO83" s="112"/>
      <c r="LP83" s="112"/>
      <c r="LQ83" s="112"/>
      <c r="LR83" s="112"/>
      <c r="LS83" s="112"/>
      <c r="LT83" s="112"/>
      <c r="LU83" s="112"/>
      <c r="LV83" s="112"/>
      <c r="LW83" s="112"/>
      <c r="LX83" s="112"/>
      <c r="LY83" s="112"/>
      <c r="LZ83" s="112"/>
      <c r="MA83" s="112"/>
      <c r="MB83" s="111"/>
      <c r="MC83" s="112" t="str">
        <f t="shared" si="531"/>
        <v>x</v>
      </c>
      <c r="MD83" s="112"/>
      <c r="ME83" s="112" t="str">
        <f t="shared" si="532"/>
        <v>x</v>
      </c>
      <c r="MF83" s="112" t="str">
        <f t="shared" si="533"/>
        <v>x</v>
      </c>
      <c r="MG83" s="112" t="str">
        <f t="shared" si="552"/>
        <v>x</v>
      </c>
      <c r="MH83" s="112" t="str">
        <f t="shared" si="534"/>
        <v>x</v>
      </c>
    </row>
    <row r="84" spans="1:346" x14ac:dyDescent="0.25">
      <c r="A84" s="110" t="s">
        <v>4</v>
      </c>
      <c r="B84" s="101" t="s">
        <v>379</v>
      </c>
      <c r="C84" s="102"/>
      <c r="D84" s="102"/>
      <c r="E84" s="102"/>
      <c r="F84" s="102"/>
      <c r="G84" s="102"/>
      <c r="H84" s="102"/>
      <c r="I84" s="102"/>
      <c r="J84" s="103"/>
      <c r="K84" s="111"/>
      <c r="L84" s="111"/>
      <c r="M84" s="112" t="str">
        <f t="shared" si="390"/>
        <v>x</v>
      </c>
      <c r="N84" s="112" t="str">
        <f t="shared" si="391"/>
        <v>x</v>
      </c>
      <c r="O84" s="112" t="str">
        <f t="shared" si="535"/>
        <v>x</v>
      </c>
      <c r="P84" s="112" t="str">
        <f t="shared" si="392"/>
        <v>x</v>
      </c>
      <c r="Q84" s="112" t="str">
        <f t="shared" si="393"/>
        <v>x</v>
      </c>
      <c r="R84" s="112"/>
      <c r="S84" s="112" t="str">
        <f t="shared" si="394"/>
        <v>x</v>
      </c>
      <c r="T84" s="112" t="str">
        <f t="shared" si="395"/>
        <v>x</v>
      </c>
      <c r="U84" s="112"/>
      <c r="V84" s="112"/>
      <c r="W84" s="112" t="str">
        <f t="shared" si="396"/>
        <v>x</v>
      </c>
      <c r="X84" s="112" t="str">
        <f t="shared" si="397"/>
        <v>x</v>
      </c>
      <c r="Y84" s="112"/>
      <c r="Z84" s="112"/>
      <c r="AA84" s="112"/>
      <c r="AB84" s="112" t="str">
        <f t="shared" si="398"/>
        <v>x</v>
      </c>
      <c r="AC84" s="112" t="str">
        <f t="shared" si="399"/>
        <v>x</v>
      </c>
      <c r="AD84" s="112" t="str">
        <f t="shared" si="400"/>
        <v>x</v>
      </c>
      <c r="AE84" s="112" t="str">
        <f t="shared" si="536"/>
        <v>x</v>
      </c>
      <c r="AF84" s="112" t="str">
        <f t="shared" si="401"/>
        <v>x</v>
      </c>
      <c r="AG84" s="112" t="str">
        <f t="shared" si="402"/>
        <v>x</v>
      </c>
      <c r="AH84" s="112" t="str">
        <f t="shared" si="403"/>
        <v>x</v>
      </c>
      <c r="AI84" s="112" t="str">
        <f t="shared" si="404"/>
        <v>x</v>
      </c>
      <c r="AJ84" s="112" t="str">
        <f t="shared" si="405"/>
        <v>x</v>
      </c>
      <c r="AK84" s="112" t="str">
        <f t="shared" si="406"/>
        <v>x</v>
      </c>
      <c r="AL84" s="112"/>
      <c r="AM84" s="112" t="str">
        <f t="shared" si="537"/>
        <v>x</v>
      </c>
      <c r="AN84" s="112"/>
      <c r="AO84" s="112"/>
      <c r="AP84" s="112"/>
      <c r="AQ84" s="112"/>
      <c r="AR84" s="112"/>
      <c r="AS84" s="112"/>
      <c r="AT84" s="112" t="str">
        <f t="shared" si="407"/>
        <v>x</v>
      </c>
      <c r="AU84" s="113"/>
      <c r="AV84" s="114" t="str">
        <f t="shared" si="408"/>
        <v>x</v>
      </c>
      <c r="AW84" s="114" t="str">
        <f t="shared" si="409"/>
        <v>x</v>
      </c>
      <c r="AX84" s="112" t="str">
        <f t="shared" si="410"/>
        <v>x</v>
      </c>
      <c r="AY84" s="111"/>
      <c r="AZ84" s="112" t="str">
        <f t="shared" si="411"/>
        <v>x</v>
      </c>
      <c r="BA84" s="112" t="str">
        <f t="shared" si="412"/>
        <v>x</v>
      </c>
      <c r="BB84" s="111"/>
      <c r="BC84" s="111"/>
      <c r="BD84" s="112" t="str">
        <f t="shared" si="413"/>
        <v>x</v>
      </c>
      <c r="BE84" s="112"/>
      <c r="BF84" s="111"/>
      <c r="BG84" s="112" t="str">
        <f t="shared" si="414"/>
        <v>x</v>
      </c>
      <c r="BH84" s="112" t="str">
        <f t="shared" si="538"/>
        <v>x</v>
      </c>
      <c r="BI84" s="112" t="str">
        <f t="shared" si="415"/>
        <v>x</v>
      </c>
      <c r="BJ84" s="111"/>
      <c r="BK84" s="112" t="str">
        <f t="shared" si="416"/>
        <v>x</v>
      </c>
      <c r="BL84" s="112" t="str">
        <f t="shared" si="417"/>
        <v>x</v>
      </c>
      <c r="BM84" s="112" t="str">
        <f t="shared" si="418"/>
        <v>x</v>
      </c>
      <c r="BN84" s="112" t="str">
        <f t="shared" si="419"/>
        <v>x</v>
      </c>
      <c r="BO84" s="111"/>
      <c r="BP84" s="111"/>
      <c r="BQ84" s="111"/>
      <c r="BR84" s="112" t="str">
        <f t="shared" si="420"/>
        <v>x</v>
      </c>
      <c r="BS84" s="112"/>
      <c r="BT84" s="111"/>
      <c r="BU84" s="112" t="str">
        <f t="shared" si="421"/>
        <v>x</v>
      </c>
      <c r="BV84" s="112" t="str">
        <f t="shared" si="422"/>
        <v>x</v>
      </c>
      <c r="BW84" s="112"/>
      <c r="BX84" s="112"/>
      <c r="BY84" s="112"/>
      <c r="BZ84" s="112" t="str">
        <f t="shared" si="423"/>
        <v>x</v>
      </c>
      <c r="CA84" s="112" t="str">
        <f t="shared" si="424"/>
        <v>x</v>
      </c>
      <c r="CB84" s="112" t="str">
        <f t="shared" si="425"/>
        <v>x</v>
      </c>
      <c r="CC84" s="112"/>
      <c r="CD84" s="112"/>
      <c r="CE84" s="111"/>
      <c r="CF84" s="112" t="str">
        <f t="shared" si="426"/>
        <v>x</v>
      </c>
      <c r="CG84" s="112" t="str">
        <f t="shared" si="539"/>
        <v>x</v>
      </c>
      <c r="CH84" s="112" t="str">
        <f t="shared" si="427"/>
        <v>x</v>
      </c>
      <c r="CI84" s="112" t="str">
        <f t="shared" si="428"/>
        <v>x</v>
      </c>
      <c r="CJ84" s="112" t="str">
        <f t="shared" si="429"/>
        <v>x</v>
      </c>
      <c r="CK84" s="112" t="str">
        <f t="shared" si="430"/>
        <v>x</v>
      </c>
      <c r="CL84" s="112" t="str">
        <f t="shared" si="431"/>
        <v>x</v>
      </c>
      <c r="CM84" s="112"/>
      <c r="CN84" s="112"/>
      <c r="CO84" s="112" t="str">
        <f t="shared" si="540"/>
        <v>x</v>
      </c>
      <c r="CP84" s="112"/>
      <c r="CQ84" s="112" t="str">
        <f t="shared" si="541"/>
        <v>x</v>
      </c>
      <c r="CR84" s="112" t="str">
        <f t="shared" si="432"/>
        <v>x</v>
      </c>
      <c r="CS84" s="112"/>
      <c r="CT84" s="112" t="str">
        <f t="shared" si="542"/>
        <v>x</v>
      </c>
      <c r="CU84" s="112" t="str">
        <f t="shared" si="433"/>
        <v>x</v>
      </c>
      <c r="CV84" s="112" t="str">
        <f t="shared" si="434"/>
        <v>x</v>
      </c>
      <c r="CW84" s="112" t="str">
        <f t="shared" si="435"/>
        <v>x</v>
      </c>
      <c r="CX84" s="112" t="str">
        <f t="shared" si="436"/>
        <v>x</v>
      </c>
      <c r="CY84" s="112" t="str">
        <f t="shared" si="543"/>
        <v>x</v>
      </c>
      <c r="CZ84" s="112"/>
      <c r="DA84" s="112"/>
      <c r="DB84" s="115" t="str">
        <f t="shared" si="437"/>
        <v>x</v>
      </c>
      <c r="DC84" s="112"/>
      <c r="DD84" s="112"/>
      <c r="DE84" s="112" t="str">
        <f t="shared" si="438"/>
        <v>x</v>
      </c>
      <c r="DF84" s="115" t="str">
        <f t="shared" si="439"/>
        <v>x</v>
      </c>
      <c r="DG84" s="112" t="str">
        <f t="shared" si="440"/>
        <v>x</v>
      </c>
      <c r="DH84" s="112" t="str">
        <f t="shared" si="441"/>
        <v>x</v>
      </c>
      <c r="DI84" s="112"/>
      <c r="DJ84" s="112"/>
      <c r="DK84" s="112"/>
      <c r="DL84" s="112"/>
      <c r="DM84" s="112"/>
      <c r="DN84" s="112" t="str">
        <f t="shared" si="442"/>
        <v>x</v>
      </c>
      <c r="DO84" s="111"/>
      <c r="DP84" s="111"/>
      <c r="DQ84" s="112" t="str">
        <f t="shared" si="443"/>
        <v>x</v>
      </c>
      <c r="DR84" s="112" t="str">
        <f t="shared" si="544"/>
        <v>x</v>
      </c>
      <c r="DS84" s="112" t="str">
        <f t="shared" si="545"/>
        <v>x</v>
      </c>
      <c r="DT84" s="112"/>
      <c r="DU84" s="112" t="str">
        <f t="shared" si="444"/>
        <v>x</v>
      </c>
      <c r="DV84" s="112"/>
      <c r="DW84" s="112" t="str">
        <f t="shared" si="546"/>
        <v>x</v>
      </c>
      <c r="DX84" s="112" t="str">
        <f t="shared" si="445"/>
        <v>x</v>
      </c>
      <c r="DY84" s="112" t="str">
        <f t="shared" si="446"/>
        <v>x</v>
      </c>
      <c r="DZ84" s="112" t="str">
        <f t="shared" si="447"/>
        <v>x</v>
      </c>
      <c r="EA84" s="112" t="str">
        <f t="shared" si="448"/>
        <v>x</v>
      </c>
      <c r="EB84" s="112" t="str">
        <f t="shared" si="449"/>
        <v>x</v>
      </c>
      <c r="EC84" s="111"/>
      <c r="ED84" s="111"/>
      <c r="EE84" s="111"/>
      <c r="EF84" s="111"/>
      <c r="EG84" s="111"/>
      <c r="EH84" s="111"/>
      <c r="EI84" s="112"/>
      <c r="EJ84" s="112" t="str">
        <f t="shared" si="450"/>
        <v>x</v>
      </c>
      <c r="EK84" s="112" t="str">
        <f t="shared" si="451"/>
        <v>x</v>
      </c>
      <c r="EL84" s="112" t="str">
        <f t="shared" si="452"/>
        <v>x</v>
      </c>
      <c r="EM84" s="112" t="str">
        <f t="shared" si="453"/>
        <v>x</v>
      </c>
      <c r="EN84" s="112" t="str">
        <f t="shared" si="454"/>
        <v>x</v>
      </c>
      <c r="EO84" s="117" t="str">
        <f t="shared" si="455"/>
        <v>x</v>
      </c>
      <c r="EP84" s="117" t="str">
        <f t="shared" si="456"/>
        <v>x</v>
      </c>
      <c r="EQ84" s="112" t="str">
        <f t="shared" si="457"/>
        <v>x</v>
      </c>
      <c r="ER84" s="111"/>
      <c r="ES84" s="111"/>
      <c r="ET84" s="112" t="str">
        <f t="shared" si="458"/>
        <v>x</v>
      </c>
      <c r="EU84" s="112" t="str">
        <f t="shared" si="459"/>
        <v>x</v>
      </c>
      <c r="EV84" s="112" t="str">
        <f t="shared" si="460"/>
        <v>x</v>
      </c>
      <c r="EW84" s="112" t="str">
        <f t="shared" si="461"/>
        <v>x</v>
      </c>
      <c r="EX84" s="112" t="str">
        <f t="shared" si="462"/>
        <v>x</v>
      </c>
      <c r="EY84" s="112" t="str">
        <f t="shared" si="463"/>
        <v>x</v>
      </c>
      <c r="EZ84" s="112"/>
      <c r="FA84" s="112" t="str">
        <f t="shared" si="464"/>
        <v>x</v>
      </c>
      <c r="FB84" s="112" t="str">
        <f t="shared" si="465"/>
        <v>x</v>
      </c>
      <c r="FC84" s="112" t="str">
        <f t="shared" si="466"/>
        <v>x</v>
      </c>
      <c r="FD84" s="112" t="str">
        <f t="shared" si="467"/>
        <v>x</v>
      </c>
      <c r="FE84" s="112" t="str">
        <f t="shared" si="468"/>
        <v>x</v>
      </c>
      <c r="FF84" s="112" t="str">
        <f t="shared" si="469"/>
        <v>x</v>
      </c>
      <c r="FG84" s="111"/>
      <c r="FH84" s="111"/>
      <c r="FI84" s="112" t="str">
        <f t="shared" si="470"/>
        <v>x</v>
      </c>
      <c r="FJ84" s="112" t="str">
        <f t="shared" si="471"/>
        <v>x</v>
      </c>
      <c r="FK84" s="112" t="str">
        <f t="shared" si="472"/>
        <v>x</v>
      </c>
      <c r="FL84" s="112"/>
      <c r="FM84" s="112" t="str">
        <f t="shared" si="473"/>
        <v>x</v>
      </c>
      <c r="FN84" s="112" t="str">
        <f t="shared" si="547"/>
        <v>x</v>
      </c>
      <c r="FO84" s="112" t="str">
        <f t="shared" si="474"/>
        <v>x</v>
      </c>
      <c r="FP84" s="112" t="str">
        <f t="shared" si="475"/>
        <v>x</v>
      </c>
      <c r="FQ84" s="112" t="str">
        <f t="shared" si="476"/>
        <v>x</v>
      </c>
      <c r="FR84" s="112" t="str">
        <f t="shared" si="477"/>
        <v>x</v>
      </c>
      <c r="FS84" s="112" t="str">
        <f t="shared" si="478"/>
        <v>x</v>
      </c>
      <c r="FT84" s="112" t="str">
        <f t="shared" si="479"/>
        <v>x</v>
      </c>
      <c r="FU84" s="112" t="str">
        <f t="shared" si="480"/>
        <v>x</v>
      </c>
      <c r="FV84" s="112" t="str">
        <f t="shared" si="481"/>
        <v>x</v>
      </c>
      <c r="FW84" s="111"/>
      <c r="FX84" s="112"/>
      <c r="FY84" s="112"/>
      <c r="FZ84" s="111"/>
      <c r="GA84" s="111"/>
      <c r="GB84" s="111"/>
      <c r="GC84" s="112" t="str">
        <f t="shared" si="482"/>
        <v>x</v>
      </c>
      <c r="GD84" s="111"/>
      <c r="GE84" s="111"/>
      <c r="GF84" s="111"/>
      <c r="GG84" s="112"/>
      <c r="GH84" s="111"/>
      <c r="GI84" s="111"/>
      <c r="GJ84" s="112" t="str">
        <f t="shared" si="483"/>
        <v>x</v>
      </c>
      <c r="GK84" s="111"/>
      <c r="GL84" s="112" t="str">
        <f t="shared" si="484"/>
        <v>x</v>
      </c>
      <c r="GM84" s="111"/>
      <c r="GN84" s="112" t="str">
        <f t="shared" si="485"/>
        <v>x</v>
      </c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2" t="str">
        <f t="shared" si="48"/>
        <v>x</v>
      </c>
      <c r="HC84" s="112" t="str">
        <f t="shared" si="486"/>
        <v>x</v>
      </c>
      <c r="HD84" s="112" t="str">
        <f t="shared" si="487"/>
        <v>x</v>
      </c>
      <c r="HE84" s="112" t="str">
        <f t="shared" si="488"/>
        <v>x</v>
      </c>
      <c r="HF84" s="112" t="str">
        <f t="shared" si="489"/>
        <v>x</v>
      </c>
      <c r="HG84" s="112"/>
      <c r="HH84" s="112" t="str">
        <f t="shared" si="548"/>
        <v>x</v>
      </c>
      <c r="HI84" s="112"/>
      <c r="HJ84" s="112" t="str">
        <f t="shared" si="490"/>
        <v>x</v>
      </c>
      <c r="HK84" s="111"/>
      <c r="HL84" s="112" t="str">
        <f t="shared" si="491"/>
        <v>x</v>
      </c>
      <c r="HM84" s="112" t="str">
        <f t="shared" si="492"/>
        <v>x</v>
      </c>
      <c r="HN84" s="112" t="str">
        <f t="shared" si="493"/>
        <v>x</v>
      </c>
      <c r="HO84" s="112" t="str">
        <f t="shared" si="494"/>
        <v>x</v>
      </c>
      <c r="HP84" s="112" t="str">
        <f t="shared" si="495"/>
        <v>x</v>
      </c>
      <c r="HQ84" s="112" t="str">
        <f t="shared" si="496"/>
        <v>x</v>
      </c>
      <c r="HR84" s="112" t="str">
        <f t="shared" si="497"/>
        <v>x</v>
      </c>
      <c r="HS84" s="112" t="str">
        <f t="shared" si="498"/>
        <v>x</v>
      </c>
      <c r="HT84" s="112"/>
      <c r="HU84" s="112" t="str">
        <f t="shared" si="499"/>
        <v>x</v>
      </c>
      <c r="HV84" s="112"/>
      <c r="HW84" s="112" t="str">
        <f t="shared" si="549"/>
        <v>x</v>
      </c>
      <c r="HX84" s="112" t="str">
        <f t="shared" si="500"/>
        <v>x</v>
      </c>
      <c r="HY84" s="112" t="str">
        <f t="shared" si="501"/>
        <v>x</v>
      </c>
      <c r="HZ84" s="112" t="str">
        <f t="shared" si="502"/>
        <v>x</v>
      </c>
      <c r="IA84" s="112"/>
      <c r="IB84" s="112"/>
      <c r="IC84" s="112" t="str">
        <f t="shared" si="550"/>
        <v>x</v>
      </c>
      <c r="ID84" s="112" t="str">
        <f t="shared" si="503"/>
        <v>x</v>
      </c>
      <c r="IE84" s="112"/>
      <c r="IF84" s="112"/>
      <c r="IG84" s="111"/>
      <c r="IH84" s="112" t="str">
        <f t="shared" si="504"/>
        <v>x</v>
      </c>
      <c r="II84" s="112" t="str">
        <f t="shared" si="505"/>
        <v>x</v>
      </c>
      <c r="IJ84" s="112" t="str">
        <f t="shared" si="506"/>
        <v>x</v>
      </c>
      <c r="IK84" s="115" t="str">
        <f t="shared" si="507"/>
        <v>x</v>
      </c>
      <c r="IL84" s="112" t="str">
        <f t="shared" si="508"/>
        <v>x</v>
      </c>
      <c r="IM84" s="112" t="str">
        <f t="shared" si="509"/>
        <v>x</v>
      </c>
      <c r="IN84" s="112"/>
      <c r="IO84" s="112"/>
      <c r="IP84" s="112" t="str">
        <f t="shared" si="510"/>
        <v>x</v>
      </c>
      <c r="IQ84" s="112" t="str">
        <f t="shared" si="511"/>
        <v>x</v>
      </c>
      <c r="IR84" s="111"/>
      <c r="IS84" s="112" t="str">
        <f t="shared" si="512"/>
        <v>x</v>
      </c>
      <c r="IT84" s="111"/>
      <c r="IU84" s="112" t="str">
        <f t="shared" si="513"/>
        <v>x</v>
      </c>
      <c r="IV84" s="112"/>
      <c r="IW84" s="112" t="str">
        <f t="shared" si="514"/>
        <v>x</v>
      </c>
      <c r="IX84" s="112" t="str">
        <f t="shared" si="515"/>
        <v>x</v>
      </c>
      <c r="IY84" s="111"/>
      <c r="IZ84" s="112" t="str">
        <f t="shared" si="516"/>
        <v>x</v>
      </c>
      <c r="JA84" s="111"/>
      <c r="JB84" s="112" t="str">
        <f t="shared" si="517"/>
        <v>x</v>
      </c>
      <c r="JC84" s="111"/>
      <c r="JD84" s="112"/>
      <c r="JE84" s="112"/>
      <c r="JF84" s="112" t="str">
        <f t="shared" si="518"/>
        <v>x</v>
      </c>
      <c r="JG84" s="112" t="str">
        <f t="shared" si="519"/>
        <v>x</v>
      </c>
      <c r="JH84" s="112" t="str">
        <f t="shared" si="520"/>
        <v>x</v>
      </c>
      <c r="JI84" s="112"/>
      <c r="JJ84" s="112" t="str">
        <f t="shared" si="521"/>
        <v>x</v>
      </c>
      <c r="JK84" s="112" t="str">
        <f t="shared" si="551"/>
        <v>x</v>
      </c>
      <c r="JL84" s="112" t="str">
        <f t="shared" si="522"/>
        <v>x</v>
      </c>
      <c r="JM84" s="112"/>
      <c r="JN84" s="112"/>
      <c r="JO84" s="112"/>
      <c r="JP84" s="112"/>
      <c r="JQ84" s="112" t="str">
        <f t="shared" si="523"/>
        <v>x</v>
      </c>
      <c r="JR84" s="112"/>
      <c r="JS84" s="112" t="str">
        <f t="shared" si="524"/>
        <v>x</v>
      </c>
      <c r="JT84" s="111"/>
      <c r="JU84" s="111"/>
      <c r="JV84" s="112"/>
      <c r="JW84" s="112" t="str">
        <f t="shared" si="525"/>
        <v>x</v>
      </c>
      <c r="JX84" s="112"/>
      <c r="JY84" s="112"/>
      <c r="JZ84" s="112"/>
      <c r="KA84" s="112" t="str">
        <f t="shared" si="526"/>
        <v>x</v>
      </c>
      <c r="KB84" s="112" t="str">
        <f t="shared" si="527"/>
        <v>x</v>
      </c>
      <c r="KC84" s="112" t="str">
        <f t="shared" si="528"/>
        <v>x</v>
      </c>
      <c r="KD84" s="112" t="str">
        <f t="shared" si="529"/>
        <v>x</v>
      </c>
      <c r="KE84" s="112" t="str">
        <f t="shared" si="530"/>
        <v>x</v>
      </c>
      <c r="KF84" s="112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  <c r="KY84" s="112"/>
      <c r="KZ84" s="112"/>
      <c r="LA84" s="112"/>
      <c r="LB84" s="111"/>
      <c r="LC84" s="112"/>
      <c r="LD84" s="112"/>
      <c r="LE84" s="112"/>
      <c r="LF84" s="112"/>
      <c r="LG84" s="112"/>
      <c r="LH84" s="112"/>
      <c r="LI84" s="112"/>
      <c r="LJ84" s="112"/>
      <c r="LK84" s="112"/>
      <c r="LL84" s="112"/>
      <c r="LM84" s="112"/>
      <c r="LN84" s="112"/>
      <c r="LO84" s="112"/>
      <c r="LP84" s="112"/>
      <c r="LQ84" s="112"/>
      <c r="LR84" s="112"/>
      <c r="LS84" s="112"/>
      <c r="LT84" s="112"/>
      <c r="LU84" s="112"/>
      <c r="LV84" s="112"/>
      <c r="LW84" s="112"/>
      <c r="LX84" s="112"/>
      <c r="LY84" s="112"/>
      <c r="LZ84" s="112"/>
      <c r="MA84" s="112"/>
      <c r="MB84" s="111"/>
      <c r="MC84" s="112" t="str">
        <f t="shared" si="531"/>
        <v>x</v>
      </c>
      <c r="MD84" s="112"/>
      <c r="ME84" s="112" t="str">
        <f t="shared" si="532"/>
        <v>x</v>
      </c>
      <c r="MF84" s="112" t="str">
        <f t="shared" si="533"/>
        <v>x</v>
      </c>
      <c r="MG84" s="112" t="str">
        <f t="shared" si="552"/>
        <v>x</v>
      </c>
      <c r="MH84" s="112" t="str">
        <f t="shared" si="534"/>
        <v>x</v>
      </c>
    </row>
    <row r="85" spans="1:346" x14ac:dyDescent="0.25">
      <c r="A85" s="110" t="s">
        <v>4</v>
      </c>
      <c r="B85" s="101" t="s">
        <v>383</v>
      </c>
      <c r="C85" s="102"/>
      <c r="D85" s="102"/>
      <c r="E85" s="102"/>
      <c r="F85" s="102"/>
      <c r="G85" s="102"/>
      <c r="H85" s="102"/>
      <c r="I85" s="102"/>
      <c r="J85" s="103"/>
      <c r="K85" s="111"/>
      <c r="L85" s="111"/>
      <c r="M85" s="112" t="str">
        <f t="shared" si="390"/>
        <v>x</v>
      </c>
      <c r="N85" s="112" t="str">
        <f t="shared" si="391"/>
        <v>x</v>
      </c>
      <c r="O85" s="112" t="str">
        <f t="shared" si="535"/>
        <v>x</v>
      </c>
      <c r="P85" s="112" t="str">
        <f t="shared" si="392"/>
        <v>x</v>
      </c>
      <c r="Q85" s="112" t="str">
        <f t="shared" si="393"/>
        <v>x</v>
      </c>
      <c r="R85" s="112"/>
      <c r="S85" s="112" t="str">
        <f t="shared" si="394"/>
        <v>x</v>
      </c>
      <c r="T85" s="112" t="str">
        <f t="shared" si="395"/>
        <v>x</v>
      </c>
      <c r="U85" s="112"/>
      <c r="V85" s="112"/>
      <c r="W85" s="112" t="str">
        <f t="shared" si="396"/>
        <v>x</v>
      </c>
      <c r="X85" s="112" t="str">
        <f t="shared" si="397"/>
        <v>x</v>
      </c>
      <c r="Y85" s="112"/>
      <c r="Z85" s="112"/>
      <c r="AA85" s="112"/>
      <c r="AB85" s="112" t="str">
        <f t="shared" si="398"/>
        <v>x</v>
      </c>
      <c r="AC85" s="112" t="str">
        <f t="shared" si="399"/>
        <v>x</v>
      </c>
      <c r="AD85" s="112" t="str">
        <f t="shared" si="400"/>
        <v>x</v>
      </c>
      <c r="AE85" s="112" t="str">
        <f t="shared" si="536"/>
        <v>x</v>
      </c>
      <c r="AF85" s="112" t="str">
        <f t="shared" si="401"/>
        <v>x</v>
      </c>
      <c r="AG85" s="112" t="str">
        <f t="shared" si="402"/>
        <v>x</v>
      </c>
      <c r="AH85" s="112" t="str">
        <f t="shared" si="403"/>
        <v>x</v>
      </c>
      <c r="AI85" s="112" t="str">
        <f t="shared" si="404"/>
        <v>x</v>
      </c>
      <c r="AJ85" s="112" t="str">
        <f t="shared" si="405"/>
        <v>x</v>
      </c>
      <c r="AK85" s="112" t="str">
        <f t="shared" si="406"/>
        <v>x</v>
      </c>
      <c r="AL85" s="112"/>
      <c r="AM85" s="112" t="str">
        <f t="shared" si="537"/>
        <v>x</v>
      </c>
      <c r="AN85" s="112"/>
      <c r="AO85" s="112"/>
      <c r="AP85" s="112"/>
      <c r="AQ85" s="112"/>
      <c r="AR85" s="112"/>
      <c r="AS85" s="112"/>
      <c r="AT85" s="112" t="str">
        <f t="shared" si="407"/>
        <v>x</v>
      </c>
      <c r="AU85" s="113"/>
      <c r="AV85" s="114" t="str">
        <f t="shared" si="408"/>
        <v>x</v>
      </c>
      <c r="AW85" s="114" t="str">
        <f t="shared" si="409"/>
        <v>x</v>
      </c>
      <c r="AX85" s="112" t="str">
        <f t="shared" si="410"/>
        <v>x</v>
      </c>
      <c r="AY85" s="111"/>
      <c r="AZ85" s="112" t="str">
        <f t="shared" si="411"/>
        <v>x</v>
      </c>
      <c r="BA85" s="112" t="str">
        <f t="shared" si="412"/>
        <v>x</v>
      </c>
      <c r="BB85" s="111"/>
      <c r="BC85" s="111"/>
      <c r="BD85" s="112" t="str">
        <f t="shared" si="413"/>
        <v>x</v>
      </c>
      <c r="BE85" s="112"/>
      <c r="BF85" s="111"/>
      <c r="BG85" s="112" t="str">
        <f t="shared" si="414"/>
        <v>x</v>
      </c>
      <c r="BH85" s="112" t="str">
        <f t="shared" si="538"/>
        <v>x</v>
      </c>
      <c r="BI85" s="112" t="str">
        <f t="shared" si="415"/>
        <v>x</v>
      </c>
      <c r="BJ85" s="111"/>
      <c r="BK85" s="112" t="str">
        <f t="shared" si="416"/>
        <v>x</v>
      </c>
      <c r="BL85" s="112" t="str">
        <f t="shared" si="417"/>
        <v>x</v>
      </c>
      <c r="BM85" s="112" t="str">
        <f t="shared" si="418"/>
        <v>x</v>
      </c>
      <c r="BN85" s="112" t="str">
        <f t="shared" si="419"/>
        <v>x</v>
      </c>
      <c r="BO85" s="111"/>
      <c r="BP85" s="111"/>
      <c r="BQ85" s="111"/>
      <c r="BR85" s="112" t="str">
        <f t="shared" si="420"/>
        <v>x</v>
      </c>
      <c r="BS85" s="112"/>
      <c r="BT85" s="111"/>
      <c r="BU85" s="112" t="str">
        <f t="shared" si="421"/>
        <v>x</v>
      </c>
      <c r="BV85" s="112" t="str">
        <f t="shared" si="422"/>
        <v>x</v>
      </c>
      <c r="BW85" s="112"/>
      <c r="BX85" s="112"/>
      <c r="BY85" s="112"/>
      <c r="BZ85" s="112" t="str">
        <f t="shared" si="423"/>
        <v>x</v>
      </c>
      <c r="CA85" s="112" t="str">
        <f t="shared" si="424"/>
        <v>x</v>
      </c>
      <c r="CB85" s="112" t="str">
        <f t="shared" si="425"/>
        <v>x</v>
      </c>
      <c r="CC85" s="112"/>
      <c r="CD85" s="112"/>
      <c r="CE85" s="111"/>
      <c r="CF85" s="112" t="str">
        <f t="shared" si="426"/>
        <v>x</v>
      </c>
      <c r="CG85" s="112" t="str">
        <f t="shared" si="539"/>
        <v>x</v>
      </c>
      <c r="CH85" s="112" t="str">
        <f t="shared" si="427"/>
        <v>x</v>
      </c>
      <c r="CI85" s="112" t="str">
        <f t="shared" si="428"/>
        <v>x</v>
      </c>
      <c r="CJ85" s="112" t="str">
        <f t="shared" si="429"/>
        <v>x</v>
      </c>
      <c r="CK85" s="112" t="str">
        <f t="shared" si="430"/>
        <v>x</v>
      </c>
      <c r="CL85" s="112" t="str">
        <f t="shared" si="431"/>
        <v>x</v>
      </c>
      <c r="CM85" s="112"/>
      <c r="CN85" s="112"/>
      <c r="CO85" s="112" t="str">
        <f t="shared" si="540"/>
        <v>x</v>
      </c>
      <c r="CP85" s="112"/>
      <c r="CQ85" s="112" t="str">
        <f t="shared" si="541"/>
        <v>x</v>
      </c>
      <c r="CR85" s="112" t="str">
        <f t="shared" si="432"/>
        <v>x</v>
      </c>
      <c r="CS85" s="112"/>
      <c r="CT85" s="112" t="str">
        <f t="shared" si="542"/>
        <v>x</v>
      </c>
      <c r="CU85" s="112" t="str">
        <f t="shared" si="433"/>
        <v>x</v>
      </c>
      <c r="CV85" s="112" t="str">
        <f t="shared" si="434"/>
        <v>x</v>
      </c>
      <c r="CW85" s="112" t="str">
        <f t="shared" si="435"/>
        <v>x</v>
      </c>
      <c r="CX85" s="112" t="str">
        <f t="shared" si="436"/>
        <v>x</v>
      </c>
      <c r="CY85" s="112" t="str">
        <f t="shared" si="543"/>
        <v>x</v>
      </c>
      <c r="CZ85" s="112"/>
      <c r="DA85" s="112"/>
      <c r="DB85" s="115" t="str">
        <f t="shared" si="437"/>
        <v>x</v>
      </c>
      <c r="DC85" s="112"/>
      <c r="DD85" s="112"/>
      <c r="DE85" s="112" t="str">
        <f t="shared" si="438"/>
        <v>x</v>
      </c>
      <c r="DF85" s="115" t="str">
        <f t="shared" si="439"/>
        <v>x</v>
      </c>
      <c r="DG85" s="112" t="str">
        <f t="shared" si="440"/>
        <v>x</v>
      </c>
      <c r="DH85" s="112" t="str">
        <f t="shared" si="441"/>
        <v>x</v>
      </c>
      <c r="DI85" s="112"/>
      <c r="DJ85" s="112"/>
      <c r="DK85" s="112"/>
      <c r="DL85" s="112"/>
      <c r="DM85" s="112"/>
      <c r="DN85" s="112" t="str">
        <f t="shared" si="442"/>
        <v>x</v>
      </c>
      <c r="DO85" s="111"/>
      <c r="DP85" s="111"/>
      <c r="DQ85" s="112" t="str">
        <f t="shared" si="443"/>
        <v>x</v>
      </c>
      <c r="DR85" s="112" t="str">
        <f t="shared" si="544"/>
        <v>x</v>
      </c>
      <c r="DS85" s="112" t="str">
        <f t="shared" si="545"/>
        <v>x</v>
      </c>
      <c r="DT85" s="112"/>
      <c r="DU85" s="112" t="str">
        <f t="shared" si="444"/>
        <v>x</v>
      </c>
      <c r="DV85" s="112"/>
      <c r="DW85" s="112" t="str">
        <f t="shared" si="546"/>
        <v>x</v>
      </c>
      <c r="DX85" s="112" t="str">
        <f t="shared" si="445"/>
        <v>x</v>
      </c>
      <c r="DY85" s="112" t="str">
        <f t="shared" si="446"/>
        <v>x</v>
      </c>
      <c r="DZ85" s="112" t="str">
        <f t="shared" si="447"/>
        <v>x</v>
      </c>
      <c r="EA85" s="112" t="str">
        <f t="shared" si="448"/>
        <v>x</v>
      </c>
      <c r="EB85" s="112" t="str">
        <f t="shared" si="449"/>
        <v>x</v>
      </c>
      <c r="EC85" s="111"/>
      <c r="ED85" s="111"/>
      <c r="EE85" s="111"/>
      <c r="EF85" s="111"/>
      <c r="EG85" s="111"/>
      <c r="EH85" s="111"/>
      <c r="EI85" s="112"/>
      <c r="EJ85" s="112" t="str">
        <f t="shared" si="450"/>
        <v>x</v>
      </c>
      <c r="EK85" s="112" t="str">
        <f t="shared" si="451"/>
        <v>x</v>
      </c>
      <c r="EL85" s="112" t="str">
        <f t="shared" si="452"/>
        <v>x</v>
      </c>
      <c r="EM85" s="112" t="str">
        <f t="shared" si="453"/>
        <v>x</v>
      </c>
      <c r="EN85" s="112" t="str">
        <f t="shared" si="454"/>
        <v>x</v>
      </c>
      <c r="EO85" s="117" t="str">
        <f t="shared" si="455"/>
        <v>x</v>
      </c>
      <c r="EP85" s="117" t="str">
        <f t="shared" si="456"/>
        <v>x</v>
      </c>
      <c r="EQ85" s="112" t="str">
        <f t="shared" si="457"/>
        <v>x</v>
      </c>
      <c r="ER85" s="111"/>
      <c r="ES85" s="111"/>
      <c r="ET85" s="112" t="str">
        <f t="shared" si="458"/>
        <v>x</v>
      </c>
      <c r="EU85" s="112" t="str">
        <f t="shared" si="459"/>
        <v>x</v>
      </c>
      <c r="EV85" s="112" t="str">
        <f t="shared" si="460"/>
        <v>x</v>
      </c>
      <c r="EW85" s="112" t="str">
        <f t="shared" si="461"/>
        <v>x</v>
      </c>
      <c r="EX85" s="112" t="str">
        <f t="shared" si="462"/>
        <v>x</v>
      </c>
      <c r="EY85" s="112" t="str">
        <f t="shared" si="463"/>
        <v>x</v>
      </c>
      <c r="EZ85" s="112"/>
      <c r="FA85" s="112" t="str">
        <f t="shared" si="464"/>
        <v>x</v>
      </c>
      <c r="FB85" s="112" t="str">
        <f t="shared" si="465"/>
        <v>x</v>
      </c>
      <c r="FC85" s="112" t="str">
        <f t="shared" si="466"/>
        <v>x</v>
      </c>
      <c r="FD85" s="112" t="str">
        <f t="shared" si="467"/>
        <v>x</v>
      </c>
      <c r="FE85" s="112" t="str">
        <f t="shared" si="468"/>
        <v>x</v>
      </c>
      <c r="FF85" s="112" t="str">
        <f t="shared" si="469"/>
        <v>x</v>
      </c>
      <c r="FG85" s="111"/>
      <c r="FH85" s="111"/>
      <c r="FI85" s="112" t="str">
        <f t="shared" si="470"/>
        <v>x</v>
      </c>
      <c r="FJ85" s="112" t="str">
        <f t="shared" si="471"/>
        <v>x</v>
      </c>
      <c r="FK85" s="112" t="str">
        <f t="shared" si="472"/>
        <v>x</v>
      </c>
      <c r="FL85" s="112"/>
      <c r="FM85" s="112" t="str">
        <f t="shared" si="473"/>
        <v>x</v>
      </c>
      <c r="FN85" s="112" t="str">
        <f t="shared" si="547"/>
        <v>x</v>
      </c>
      <c r="FO85" s="112" t="str">
        <f t="shared" si="474"/>
        <v>x</v>
      </c>
      <c r="FP85" s="112" t="str">
        <f t="shared" si="475"/>
        <v>x</v>
      </c>
      <c r="FQ85" s="112" t="str">
        <f t="shared" si="476"/>
        <v>x</v>
      </c>
      <c r="FR85" s="112" t="str">
        <f t="shared" si="477"/>
        <v>x</v>
      </c>
      <c r="FS85" s="112" t="str">
        <f t="shared" si="478"/>
        <v>x</v>
      </c>
      <c r="FT85" s="112" t="str">
        <f t="shared" si="479"/>
        <v>x</v>
      </c>
      <c r="FU85" s="112" t="str">
        <f t="shared" si="480"/>
        <v>x</v>
      </c>
      <c r="FV85" s="112" t="str">
        <f t="shared" si="481"/>
        <v>x</v>
      </c>
      <c r="FW85" s="111"/>
      <c r="FX85" s="112"/>
      <c r="FY85" s="112"/>
      <c r="FZ85" s="111"/>
      <c r="GA85" s="111"/>
      <c r="GB85" s="111"/>
      <c r="GC85" s="112" t="str">
        <f t="shared" si="482"/>
        <v>x</v>
      </c>
      <c r="GD85" s="111"/>
      <c r="GE85" s="111"/>
      <c r="GF85" s="111"/>
      <c r="GG85" s="112"/>
      <c r="GH85" s="111"/>
      <c r="GI85" s="111"/>
      <c r="GJ85" s="112" t="str">
        <f t="shared" si="483"/>
        <v>x</v>
      </c>
      <c r="GK85" s="111"/>
      <c r="GL85" s="112" t="str">
        <f t="shared" si="484"/>
        <v>x</v>
      </c>
      <c r="GM85" s="111"/>
      <c r="GN85" s="112" t="str">
        <f t="shared" si="485"/>
        <v>x</v>
      </c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2" t="str">
        <f t="shared" si="48"/>
        <v>x</v>
      </c>
      <c r="HC85" s="112" t="str">
        <f t="shared" si="486"/>
        <v>x</v>
      </c>
      <c r="HD85" s="112" t="str">
        <f t="shared" si="487"/>
        <v>x</v>
      </c>
      <c r="HE85" s="112" t="str">
        <f t="shared" si="488"/>
        <v>x</v>
      </c>
      <c r="HF85" s="112" t="str">
        <f t="shared" si="489"/>
        <v>x</v>
      </c>
      <c r="HG85" s="112"/>
      <c r="HH85" s="112" t="str">
        <f t="shared" si="548"/>
        <v>x</v>
      </c>
      <c r="HI85" s="112"/>
      <c r="HJ85" s="112" t="str">
        <f t="shared" si="490"/>
        <v>x</v>
      </c>
      <c r="HK85" s="111"/>
      <c r="HL85" s="112" t="str">
        <f t="shared" si="491"/>
        <v>x</v>
      </c>
      <c r="HM85" s="112" t="str">
        <f t="shared" si="492"/>
        <v>x</v>
      </c>
      <c r="HN85" s="112" t="str">
        <f t="shared" si="493"/>
        <v>x</v>
      </c>
      <c r="HO85" s="112" t="str">
        <f t="shared" si="494"/>
        <v>x</v>
      </c>
      <c r="HP85" s="112" t="str">
        <f t="shared" si="495"/>
        <v>x</v>
      </c>
      <c r="HQ85" s="112" t="str">
        <f t="shared" si="496"/>
        <v>x</v>
      </c>
      <c r="HR85" s="112" t="str">
        <f t="shared" si="497"/>
        <v>x</v>
      </c>
      <c r="HS85" s="112" t="str">
        <f t="shared" si="498"/>
        <v>x</v>
      </c>
      <c r="HT85" s="112"/>
      <c r="HU85" s="112" t="str">
        <f t="shared" si="499"/>
        <v>x</v>
      </c>
      <c r="HV85" s="112"/>
      <c r="HW85" s="112" t="str">
        <f t="shared" si="549"/>
        <v>x</v>
      </c>
      <c r="HX85" s="112" t="str">
        <f t="shared" si="500"/>
        <v>x</v>
      </c>
      <c r="HY85" s="112" t="str">
        <f t="shared" si="501"/>
        <v>x</v>
      </c>
      <c r="HZ85" s="112" t="str">
        <f t="shared" si="502"/>
        <v>x</v>
      </c>
      <c r="IA85" s="112"/>
      <c r="IB85" s="112"/>
      <c r="IC85" s="112" t="str">
        <f t="shared" si="550"/>
        <v>x</v>
      </c>
      <c r="ID85" s="112" t="str">
        <f t="shared" si="503"/>
        <v>x</v>
      </c>
      <c r="IE85" s="112"/>
      <c r="IF85" s="112"/>
      <c r="IG85" s="111"/>
      <c r="IH85" s="112" t="str">
        <f t="shared" si="504"/>
        <v>x</v>
      </c>
      <c r="II85" s="112" t="str">
        <f t="shared" si="505"/>
        <v>x</v>
      </c>
      <c r="IJ85" s="112" t="str">
        <f t="shared" si="506"/>
        <v>x</v>
      </c>
      <c r="IK85" s="115" t="str">
        <f t="shared" si="507"/>
        <v>x</v>
      </c>
      <c r="IL85" s="112" t="str">
        <f t="shared" si="508"/>
        <v>x</v>
      </c>
      <c r="IM85" s="112" t="str">
        <f t="shared" si="509"/>
        <v>x</v>
      </c>
      <c r="IN85" s="112"/>
      <c r="IO85" s="112"/>
      <c r="IP85" s="112" t="str">
        <f t="shared" si="510"/>
        <v>x</v>
      </c>
      <c r="IQ85" s="112" t="str">
        <f t="shared" si="511"/>
        <v>x</v>
      </c>
      <c r="IR85" s="111"/>
      <c r="IS85" s="112" t="str">
        <f t="shared" si="512"/>
        <v>x</v>
      </c>
      <c r="IT85" s="111"/>
      <c r="IU85" s="112" t="str">
        <f t="shared" si="513"/>
        <v>x</v>
      </c>
      <c r="IV85" s="112"/>
      <c r="IW85" s="112" t="str">
        <f t="shared" si="514"/>
        <v>x</v>
      </c>
      <c r="IX85" s="112" t="str">
        <f t="shared" si="515"/>
        <v>x</v>
      </c>
      <c r="IY85" s="111"/>
      <c r="IZ85" s="112" t="str">
        <f t="shared" si="516"/>
        <v>x</v>
      </c>
      <c r="JA85" s="111"/>
      <c r="JB85" s="112" t="str">
        <f t="shared" si="517"/>
        <v>x</v>
      </c>
      <c r="JC85" s="111"/>
      <c r="JD85" s="112"/>
      <c r="JE85" s="112"/>
      <c r="JF85" s="112" t="str">
        <f t="shared" si="518"/>
        <v>x</v>
      </c>
      <c r="JG85" s="112" t="str">
        <f t="shared" si="519"/>
        <v>x</v>
      </c>
      <c r="JH85" s="112" t="str">
        <f t="shared" si="520"/>
        <v>x</v>
      </c>
      <c r="JI85" s="112"/>
      <c r="JJ85" s="112" t="str">
        <f t="shared" si="521"/>
        <v>x</v>
      </c>
      <c r="JK85" s="112" t="str">
        <f t="shared" si="551"/>
        <v>x</v>
      </c>
      <c r="JL85" s="112" t="str">
        <f t="shared" si="522"/>
        <v>x</v>
      </c>
      <c r="JM85" s="112"/>
      <c r="JN85" s="112"/>
      <c r="JO85" s="112"/>
      <c r="JP85" s="112"/>
      <c r="JQ85" s="112" t="str">
        <f t="shared" si="523"/>
        <v>x</v>
      </c>
      <c r="JR85" s="112"/>
      <c r="JS85" s="112" t="str">
        <f t="shared" si="524"/>
        <v>x</v>
      </c>
      <c r="JT85" s="111"/>
      <c r="JU85" s="111"/>
      <c r="JV85" s="112"/>
      <c r="JW85" s="112" t="str">
        <f t="shared" si="525"/>
        <v>x</v>
      </c>
      <c r="JX85" s="112"/>
      <c r="JY85" s="112"/>
      <c r="JZ85" s="112"/>
      <c r="KA85" s="112" t="str">
        <f t="shared" si="526"/>
        <v>x</v>
      </c>
      <c r="KB85" s="112" t="str">
        <f t="shared" si="527"/>
        <v>x</v>
      </c>
      <c r="KC85" s="112" t="str">
        <f t="shared" si="528"/>
        <v>x</v>
      </c>
      <c r="KD85" s="112" t="str">
        <f t="shared" si="529"/>
        <v>x</v>
      </c>
      <c r="KE85" s="112" t="str">
        <f t="shared" si="530"/>
        <v>x</v>
      </c>
      <c r="KF85" s="112"/>
      <c r="KG85" s="112"/>
      <c r="KH85" s="112"/>
      <c r="KI85" s="112"/>
      <c r="KJ85" s="112"/>
      <c r="KK85" s="112"/>
      <c r="KL85" s="112"/>
      <c r="KM85" s="112"/>
      <c r="KN85" s="112"/>
      <c r="KO85" s="112"/>
      <c r="KP85" s="112"/>
      <c r="KQ85" s="112"/>
      <c r="KR85" s="112"/>
      <c r="KS85" s="112"/>
      <c r="KT85" s="112"/>
      <c r="KU85" s="112"/>
      <c r="KV85" s="112"/>
      <c r="KW85" s="112"/>
      <c r="KX85" s="112"/>
      <c r="KY85" s="112"/>
      <c r="KZ85" s="112"/>
      <c r="LA85" s="112"/>
      <c r="LB85" s="111"/>
      <c r="LC85" s="112"/>
      <c r="LD85" s="112"/>
      <c r="LE85" s="112"/>
      <c r="LF85" s="112"/>
      <c r="LG85" s="112"/>
      <c r="LH85" s="112"/>
      <c r="LI85" s="112"/>
      <c r="LJ85" s="112"/>
      <c r="LK85" s="112"/>
      <c r="LL85" s="112"/>
      <c r="LM85" s="112"/>
      <c r="LN85" s="112"/>
      <c r="LO85" s="112"/>
      <c r="LP85" s="112"/>
      <c r="LQ85" s="112"/>
      <c r="LR85" s="112"/>
      <c r="LS85" s="112"/>
      <c r="LT85" s="112"/>
      <c r="LU85" s="112"/>
      <c r="LV85" s="112"/>
      <c r="LW85" s="112"/>
      <c r="LX85" s="112"/>
      <c r="LY85" s="112"/>
      <c r="LZ85" s="112"/>
      <c r="MA85" s="112"/>
      <c r="MB85" s="111"/>
      <c r="MC85" s="112" t="str">
        <f t="shared" si="531"/>
        <v>x</v>
      </c>
      <c r="MD85" s="112"/>
      <c r="ME85" s="112" t="str">
        <f t="shared" si="532"/>
        <v>x</v>
      </c>
      <c r="MF85" s="112" t="str">
        <f t="shared" si="533"/>
        <v>x</v>
      </c>
      <c r="MG85" s="112" t="str">
        <f t="shared" si="552"/>
        <v>x</v>
      </c>
      <c r="MH85" s="112" t="str">
        <f t="shared" si="534"/>
        <v>x</v>
      </c>
    </row>
    <row r="86" spans="1:346" x14ac:dyDescent="0.25">
      <c r="A86" s="110" t="s">
        <v>4</v>
      </c>
      <c r="B86" s="101" t="s">
        <v>90</v>
      </c>
      <c r="C86" s="102"/>
      <c r="D86" s="102"/>
      <c r="E86" s="102"/>
      <c r="F86" s="102"/>
      <c r="G86" s="102"/>
      <c r="H86" s="102"/>
      <c r="I86" s="102"/>
      <c r="J86" s="103"/>
      <c r="K86" s="111"/>
      <c r="L86" s="111"/>
      <c r="M86" s="112" t="str">
        <f t="shared" si="390"/>
        <v>x</v>
      </c>
      <c r="N86" s="112" t="str">
        <f t="shared" si="391"/>
        <v>x</v>
      </c>
      <c r="O86" s="112" t="str">
        <f t="shared" si="535"/>
        <v>x</v>
      </c>
      <c r="P86" s="112" t="str">
        <f t="shared" si="392"/>
        <v>x</v>
      </c>
      <c r="Q86" s="112" t="str">
        <f t="shared" si="393"/>
        <v>x</v>
      </c>
      <c r="R86" s="112"/>
      <c r="S86" s="112" t="str">
        <f t="shared" si="394"/>
        <v>x</v>
      </c>
      <c r="T86" s="112" t="str">
        <f t="shared" si="395"/>
        <v>x</v>
      </c>
      <c r="U86" s="112"/>
      <c r="V86" s="112"/>
      <c r="W86" s="112" t="str">
        <f t="shared" si="396"/>
        <v>x</v>
      </c>
      <c r="X86" s="112" t="str">
        <f t="shared" si="397"/>
        <v>x</v>
      </c>
      <c r="Y86" s="112"/>
      <c r="Z86" s="112"/>
      <c r="AA86" s="112"/>
      <c r="AB86" s="112" t="str">
        <f t="shared" si="398"/>
        <v>x</v>
      </c>
      <c r="AC86" s="112" t="str">
        <f t="shared" si="399"/>
        <v>x</v>
      </c>
      <c r="AD86" s="112" t="str">
        <f t="shared" si="400"/>
        <v>x</v>
      </c>
      <c r="AE86" s="112" t="str">
        <f t="shared" si="536"/>
        <v>x</v>
      </c>
      <c r="AF86" s="112" t="str">
        <f t="shared" si="401"/>
        <v>x</v>
      </c>
      <c r="AG86" s="112" t="str">
        <f t="shared" si="402"/>
        <v>x</v>
      </c>
      <c r="AH86" s="112" t="str">
        <f t="shared" si="403"/>
        <v>x</v>
      </c>
      <c r="AI86" s="112" t="str">
        <f t="shared" si="404"/>
        <v>x</v>
      </c>
      <c r="AJ86" s="112" t="str">
        <f t="shared" si="405"/>
        <v>x</v>
      </c>
      <c r="AK86" s="112" t="str">
        <f t="shared" si="406"/>
        <v>x</v>
      </c>
      <c r="AL86" s="112"/>
      <c r="AM86" s="112" t="str">
        <f t="shared" si="537"/>
        <v>x</v>
      </c>
      <c r="AN86" s="112"/>
      <c r="AO86" s="112"/>
      <c r="AP86" s="112"/>
      <c r="AQ86" s="112"/>
      <c r="AR86" s="112"/>
      <c r="AS86" s="112"/>
      <c r="AT86" s="112" t="str">
        <f t="shared" si="407"/>
        <v>x</v>
      </c>
      <c r="AU86" s="113"/>
      <c r="AV86" s="114" t="str">
        <f t="shared" si="408"/>
        <v>x</v>
      </c>
      <c r="AW86" s="114" t="str">
        <f t="shared" si="409"/>
        <v>x</v>
      </c>
      <c r="AX86" s="112" t="str">
        <f t="shared" si="410"/>
        <v>x</v>
      </c>
      <c r="AY86" s="111"/>
      <c r="AZ86" s="112" t="str">
        <f t="shared" si="411"/>
        <v>x</v>
      </c>
      <c r="BA86" s="112" t="str">
        <f t="shared" si="412"/>
        <v>x</v>
      </c>
      <c r="BB86" s="111"/>
      <c r="BC86" s="111"/>
      <c r="BD86" s="112" t="str">
        <f t="shared" si="413"/>
        <v>x</v>
      </c>
      <c r="BE86" s="112"/>
      <c r="BF86" s="111"/>
      <c r="BG86" s="112" t="str">
        <f t="shared" si="414"/>
        <v>x</v>
      </c>
      <c r="BH86" s="112" t="str">
        <f t="shared" si="538"/>
        <v>x</v>
      </c>
      <c r="BI86" s="112" t="str">
        <f t="shared" si="415"/>
        <v>x</v>
      </c>
      <c r="BJ86" s="111"/>
      <c r="BK86" s="112" t="str">
        <f t="shared" si="416"/>
        <v>x</v>
      </c>
      <c r="BL86" s="112" t="str">
        <f t="shared" si="417"/>
        <v>x</v>
      </c>
      <c r="BM86" s="112" t="str">
        <f t="shared" si="418"/>
        <v>x</v>
      </c>
      <c r="BN86" s="112" t="str">
        <f t="shared" si="419"/>
        <v>x</v>
      </c>
      <c r="BO86" s="111"/>
      <c r="BP86" s="111"/>
      <c r="BQ86" s="111"/>
      <c r="BR86" s="112" t="str">
        <f t="shared" si="420"/>
        <v>x</v>
      </c>
      <c r="BS86" s="112"/>
      <c r="BT86" s="111"/>
      <c r="BU86" s="112" t="str">
        <f t="shared" si="421"/>
        <v>x</v>
      </c>
      <c r="BV86" s="112" t="str">
        <f t="shared" si="422"/>
        <v>x</v>
      </c>
      <c r="BW86" s="112"/>
      <c r="BX86" s="112"/>
      <c r="BY86" s="112"/>
      <c r="BZ86" s="112" t="str">
        <f t="shared" si="423"/>
        <v>x</v>
      </c>
      <c r="CA86" s="112" t="str">
        <f t="shared" si="424"/>
        <v>x</v>
      </c>
      <c r="CB86" s="112" t="str">
        <f t="shared" si="425"/>
        <v>x</v>
      </c>
      <c r="CC86" s="112"/>
      <c r="CD86" s="112"/>
      <c r="CE86" s="111"/>
      <c r="CF86" s="112" t="str">
        <f t="shared" si="426"/>
        <v>x</v>
      </c>
      <c r="CG86" s="112" t="str">
        <f t="shared" si="539"/>
        <v>x</v>
      </c>
      <c r="CH86" s="112" t="str">
        <f t="shared" si="427"/>
        <v>x</v>
      </c>
      <c r="CI86" s="112" t="str">
        <f t="shared" si="428"/>
        <v>x</v>
      </c>
      <c r="CJ86" s="112" t="str">
        <f t="shared" si="429"/>
        <v>x</v>
      </c>
      <c r="CK86" s="112" t="str">
        <f t="shared" si="430"/>
        <v>x</v>
      </c>
      <c r="CL86" s="112" t="str">
        <f t="shared" si="431"/>
        <v>x</v>
      </c>
      <c r="CM86" s="112"/>
      <c r="CN86" s="112"/>
      <c r="CO86" s="112" t="str">
        <f t="shared" si="540"/>
        <v>x</v>
      </c>
      <c r="CP86" s="112"/>
      <c r="CQ86" s="112" t="str">
        <f t="shared" si="541"/>
        <v>x</v>
      </c>
      <c r="CR86" s="112" t="str">
        <f t="shared" si="432"/>
        <v>x</v>
      </c>
      <c r="CS86" s="112"/>
      <c r="CT86" s="112" t="str">
        <f t="shared" si="542"/>
        <v>x</v>
      </c>
      <c r="CU86" s="112" t="str">
        <f t="shared" si="433"/>
        <v>x</v>
      </c>
      <c r="CV86" s="112" t="str">
        <f t="shared" si="434"/>
        <v>x</v>
      </c>
      <c r="CW86" s="112" t="str">
        <f t="shared" si="435"/>
        <v>x</v>
      </c>
      <c r="CX86" s="112" t="str">
        <f t="shared" si="436"/>
        <v>x</v>
      </c>
      <c r="CY86" s="112" t="str">
        <f t="shared" si="543"/>
        <v>x</v>
      </c>
      <c r="CZ86" s="112"/>
      <c r="DA86" s="112"/>
      <c r="DB86" s="115" t="str">
        <f t="shared" si="437"/>
        <v>x</v>
      </c>
      <c r="DC86" s="112"/>
      <c r="DD86" s="112"/>
      <c r="DE86" s="112" t="str">
        <f t="shared" si="438"/>
        <v>x</v>
      </c>
      <c r="DF86" s="115" t="str">
        <f t="shared" si="439"/>
        <v>x</v>
      </c>
      <c r="DG86" s="112" t="str">
        <f t="shared" si="440"/>
        <v>x</v>
      </c>
      <c r="DH86" s="112" t="str">
        <f t="shared" si="441"/>
        <v>x</v>
      </c>
      <c r="DI86" s="112"/>
      <c r="DJ86" s="112"/>
      <c r="DK86" s="112"/>
      <c r="DL86" s="112"/>
      <c r="DM86" s="112"/>
      <c r="DN86" s="112" t="str">
        <f t="shared" si="442"/>
        <v>x</v>
      </c>
      <c r="DO86" s="111"/>
      <c r="DP86" s="111"/>
      <c r="DQ86" s="112" t="str">
        <f t="shared" si="443"/>
        <v>x</v>
      </c>
      <c r="DR86" s="112" t="str">
        <f t="shared" si="544"/>
        <v>x</v>
      </c>
      <c r="DS86" s="112" t="str">
        <f t="shared" si="545"/>
        <v>x</v>
      </c>
      <c r="DT86" s="112"/>
      <c r="DU86" s="112" t="str">
        <f t="shared" si="444"/>
        <v>x</v>
      </c>
      <c r="DV86" s="112"/>
      <c r="DW86" s="112" t="str">
        <f t="shared" si="546"/>
        <v>x</v>
      </c>
      <c r="DX86" s="112" t="str">
        <f t="shared" si="445"/>
        <v>x</v>
      </c>
      <c r="DY86" s="112" t="str">
        <f t="shared" si="446"/>
        <v>x</v>
      </c>
      <c r="DZ86" s="112" t="str">
        <f t="shared" si="447"/>
        <v>x</v>
      </c>
      <c r="EA86" s="112" t="str">
        <f t="shared" si="448"/>
        <v>x</v>
      </c>
      <c r="EB86" s="112" t="str">
        <f t="shared" si="449"/>
        <v>x</v>
      </c>
      <c r="EC86" s="111"/>
      <c r="ED86" s="111"/>
      <c r="EE86" s="111"/>
      <c r="EF86" s="111"/>
      <c r="EG86" s="111"/>
      <c r="EH86" s="111"/>
      <c r="EI86" s="112"/>
      <c r="EJ86" s="112" t="str">
        <f t="shared" si="450"/>
        <v>x</v>
      </c>
      <c r="EK86" s="112" t="str">
        <f t="shared" si="451"/>
        <v>x</v>
      </c>
      <c r="EL86" s="112" t="str">
        <f t="shared" si="452"/>
        <v>x</v>
      </c>
      <c r="EM86" s="112" t="str">
        <f t="shared" si="453"/>
        <v>x</v>
      </c>
      <c r="EN86" s="112" t="str">
        <f t="shared" si="454"/>
        <v>x</v>
      </c>
      <c r="EO86" s="117" t="str">
        <f t="shared" si="455"/>
        <v>x</v>
      </c>
      <c r="EP86" s="117" t="str">
        <f t="shared" si="456"/>
        <v>x</v>
      </c>
      <c r="EQ86" s="112" t="str">
        <f t="shared" si="457"/>
        <v>x</v>
      </c>
      <c r="ER86" s="111"/>
      <c r="ES86" s="111"/>
      <c r="ET86" s="112" t="str">
        <f t="shared" si="458"/>
        <v>x</v>
      </c>
      <c r="EU86" s="112" t="str">
        <f t="shared" si="459"/>
        <v>x</v>
      </c>
      <c r="EV86" s="112" t="str">
        <f t="shared" si="460"/>
        <v>x</v>
      </c>
      <c r="EW86" s="112" t="str">
        <f t="shared" si="461"/>
        <v>x</v>
      </c>
      <c r="EX86" s="112" t="str">
        <f t="shared" si="462"/>
        <v>x</v>
      </c>
      <c r="EY86" s="112" t="str">
        <f t="shared" si="463"/>
        <v>x</v>
      </c>
      <c r="EZ86" s="112"/>
      <c r="FA86" s="112" t="str">
        <f t="shared" si="464"/>
        <v>x</v>
      </c>
      <c r="FB86" s="112" t="str">
        <f t="shared" si="465"/>
        <v>x</v>
      </c>
      <c r="FC86" s="112" t="str">
        <f t="shared" si="466"/>
        <v>x</v>
      </c>
      <c r="FD86" s="112" t="str">
        <f t="shared" si="467"/>
        <v>x</v>
      </c>
      <c r="FE86" s="112" t="str">
        <f t="shared" si="468"/>
        <v>x</v>
      </c>
      <c r="FF86" s="112" t="str">
        <f t="shared" si="469"/>
        <v>x</v>
      </c>
      <c r="FG86" s="111"/>
      <c r="FH86" s="111"/>
      <c r="FI86" s="112" t="str">
        <f t="shared" si="470"/>
        <v>x</v>
      </c>
      <c r="FJ86" s="112" t="str">
        <f t="shared" si="471"/>
        <v>x</v>
      </c>
      <c r="FK86" s="112" t="str">
        <f t="shared" si="472"/>
        <v>x</v>
      </c>
      <c r="FL86" s="112"/>
      <c r="FM86" s="112" t="str">
        <f t="shared" si="473"/>
        <v>x</v>
      </c>
      <c r="FN86" s="112" t="str">
        <f t="shared" si="547"/>
        <v>x</v>
      </c>
      <c r="FO86" s="112" t="str">
        <f t="shared" si="474"/>
        <v>x</v>
      </c>
      <c r="FP86" s="112" t="str">
        <f t="shared" si="475"/>
        <v>x</v>
      </c>
      <c r="FQ86" s="112" t="str">
        <f t="shared" si="476"/>
        <v>x</v>
      </c>
      <c r="FR86" s="112" t="str">
        <f t="shared" si="477"/>
        <v>x</v>
      </c>
      <c r="FS86" s="112" t="str">
        <f t="shared" si="478"/>
        <v>x</v>
      </c>
      <c r="FT86" s="112" t="str">
        <f t="shared" si="479"/>
        <v>x</v>
      </c>
      <c r="FU86" s="112" t="str">
        <f t="shared" si="480"/>
        <v>x</v>
      </c>
      <c r="FV86" s="112" t="str">
        <f t="shared" si="481"/>
        <v>x</v>
      </c>
      <c r="FW86" s="111"/>
      <c r="FX86" s="112"/>
      <c r="FY86" s="112"/>
      <c r="FZ86" s="111"/>
      <c r="GA86" s="111"/>
      <c r="GB86" s="111"/>
      <c r="GC86" s="112" t="str">
        <f t="shared" si="482"/>
        <v>x</v>
      </c>
      <c r="GD86" s="111"/>
      <c r="GE86" s="111"/>
      <c r="GF86" s="111"/>
      <c r="GG86" s="112"/>
      <c r="GH86" s="111"/>
      <c r="GI86" s="111"/>
      <c r="GJ86" s="112" t="str">
        <f t="shared" si="483"/>
        <v>x</v>
      </c>
      <c r="GK86" s="111"/>
      <c r="GL86" s="112" t="str">
        <f t="shared" si="484"/>
        <v>x</v>
      </c>
      <c r="GM86" s="111"/>
      <c r="GN86" s="112" t="str">
        <f t="shared" si="485"/>
        <v>x</v>
      </c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2" t="str">
        <f t="shared" si="48"/>
        <v>x</v>
      </c>
      <c r="HC86" s="112" t="str">
        <f t="shared" si="486"/>
        <v>x</v>
      </c>
      <c r="HD86" s="112" t="str">
        <f t="shared" si="487"/>
        <v>x</v>
      </c>
      <c r="HE86" s="112" t="str">
        <f t="shared" si="488"/>
        <v>x</v>
      </c>
      <c r="HF86" s="112" t="str">
        <f t="shared" si="489"/>
        <v>x</v>
      </c>
      <c r="HG86" s="112"/>
      <c r="HH86" s="112" t="str">
        <f t="shared" si="548"/>
        <v>x</v>
      </c>
      <c r="HI86" s="112"/>
      <c r="HJ86" s="112" t="str">
        <f t="shared" si="490"/>
        <v>x</v>
      </c>
      <c r="HK86" s="111"/>
      <c r="HL86" s="112" t="str">
        <f t="shared" si="491"/>
        <v>x</v>
      </c>
      <c r="HM86" s="112" t="str">
        <f t="shared" si="492"/>
        <v>x</v>
      </c>
      <c r="HN86" s="112" t="str">
        <f t="shared" si="493"/>
        <v>x</v>
      </c>
      <c r="HO86" s="112" t="str">
        <f t="shared" si="494"/>
        <v>x</v>
      </c>
      <c r="HP86" s="112" t="str">
        <f t="shared" si="495"/>
        <v>x</v>
      </c>
      <c r="HQ86" s="112" t="str">
        <f t="shared" si="496"/>
        <v>x</v>
      </c>
      <c r="HR86" s="112" t="str">
        <f t="shared" si="497"/>
        <v>x</v>
      </c>
      <c r="HS86" s="112" t="str">
        <f t="shared" si="498"/>
        <v>x</v>
      </c>
      <c r="HT86" s="112"/>
      <c r="HU86" s="112" t="str">
        <f t="shared" si="499"/>
        <v>x</v>
      </c>
      <c r="HV86" s="112"/>
      <c r="HW86" s="112" t="str">
        <f t="shared" si="549"/>
        <v>x</v>
      </c>
      <c r="HX86" s="112" t="str">
        <f t="shared" si="500"/>
        <v>x</v>
      </c>
      <c r="HY86" s="112" t="str">
        <f t="shared" si="501"/>
        <v>x</v>
      </c>
      <c r="HZ86" s="112" t="str">
        <f t="shared" si="502"/>
        <v>x</v>
      </c>
      <c r="IA86" s="112"/>
      <c r="IB86" s="112"/>
      <c r="IC86" s="112" t="str">
        <f t="shared" si="550"/>
        <v>x</v>
      </c>
      <c r="ID86" s="112" t="str">
        <f t="shared" si="503"/>
        <v>x</v>
      </c>
      <c r="IE86" s="112"/>
      <c r="IF86" s="112"/>
      <c r="IG86" s="111"/>
      <c r="IH86" s="112" t="str">
        <f t="shared" si="504"/>
        <v>x</v>
      </c>
      <c r="II86" s="112" t="str">
        <f t="shared" si="505"/>
        <v>x</v>
      </c>
      <c r="IJ86" s="112" t="str">
        <f t="shared" si="506"/>
        <v>x</v>
      </c>
      <c r="IK86" s="115" t="str">
        <f t="shared" si="507"/>
        <v>x</v>
      </c>
      <c r="IL86" s="112" t="str">
        <f t="shared" si="508"/>
        <v>x</v>
      </c>
      <c r="IM86" s="112" t="str">
        <f t="shared" si="509"/>
        <v>x</v>
      </c>
      <c r="IN86" s="112"/>
      <c r="IO86" s="112"/>
      <c r="IP86" s="112" t="str">
        <f t="shared" si="510"/>
        <v>x</v>
      </c>
      <c r="IQ86" s="112" t="str">
        <f t="shared" si="511"/>
        <v>x</v>
      </c>
      <c r="IR86" s="111"/>
      <c r="IS86" s="112" t="str">
        <f t="shared" si="512"/>
        <v>x</v>
      </c>
      <c r="IT86" s="111"/>
      <c r="IU86" s="112" t="str">
        <f t="shared" si="513"/>
        <v>x</v>
      </c>
      <c r="IV86" s="112"/>
      <c r="IW86" s="112" t="str">
        <f t="shared" si="514"/>
        <v>x</v>
      </c>
      <c r="IX86" s="112" t="str">
        <f t="shared" si="515"/>
        <v>x</v>
      </c>
      <c r="IY86" s="111"/>
      <c r="IZ86" s="112" t="str">
        <f t="shared" si="516"/>
        <v>x</v>
      </c>
      <c r="JA86" s="111"/>
      <c r="JB86" s="112" t="str">
        <f t="shared" si="517"/>
        <v>x</v>
      </c>
      <c r="JC86" s="111"/>
      <c r="JD86" s="112"/>
      <c r="JE86" s="112"/>
      <c r="JF86" s="112" t="str">
        <f t="shared" si="518"/>
        <v>x</v>
      </c>
      <c r="JG86" s="112" t="str">
        <f t="shared" si="519"/>
        <v>x</v>
      </c>
      <c r="JH86" s="112" t="str">
        <f t="shared" si="520"/>
        <v>x</v>
      </c>
      <c r="JI86" s="112"/>
      <c r="JJ86" s="112" t="str">
        <f t="shared" si="521"/>
        <v>x</v>
      </c>
      <c r="JK86" s="112" t="str">
        <f t="shared" si="551"/>
        <v>x</v>
      </c>
      <c r="JL86" s="112" t="str">
        <f t="shared" si="522"/>
        <v>x</v>
      </c>
      <c r="JM86" s="112"/>
      <c r="JN86" s="112"/>
      <c r="JO86" s="112"/>
      <c r="JP86" s="112"/>
      <c r="JQ86" s="112" t="str">
        <f t="shared" si="523"/>
        <v>x</v>
      </c>
      <c r="JR86" s="112"/>
      <c r="JS86" s="112" t="str">
        <f t="shared" si="524"/>
        <v>x</v>
      </c>
      <c r="JT86" s="111"/>
      <c r="JU86" s="111"/>
      <c r="JV86" s="112"/>
      <c r="JW86" s="112" t="str">
        <f t="shared" si="525"/>
        <v>x</v>
      </c>
      <c r="JX86" s="112"/>
      <c r="JY86" s="112"/>
      <c r="JZ86" s="112"/>
      <c r="KA86" s="112" t="str">
        <f t="shared" si="526"/>
        <v>x</v>
      </c>
      <c r="KB86" s="112" t="str">
        <f t="shared" si="527"/>
        <v>x</v>
      </c>
      <c r="KC86" s="112" t="str">
        <f t="shared" si="528"/>
        <v>x</v>
      </c>
      <c r="KD86" s="112" t="str">
        <f t="shared" si="529"/>
        <v>x</v>
      </c>
      <c r="KE86" s="112" t="str">
        <f t="shared" si="530"/>
        <v>x</v>
      </c>
      <c r="KF86" s="112"/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  <c r="KY86" s="112"/>
      <c r="KZ86" s="112"/>
      <c r="LA86" s="112"/>
      <c r="LB86" s="111"/>
      <c r="LC86" s="112"/>
      <c r="LD86" s="112"/>
      <c r="LE86" s="112"/>
      <c r="LF86" s="112"/>
      <c r="LG86" s="112"/>
      <c r="LH86" s="112"/>
      <c r="LI86" s="112"/>
      <c r="LJ86" s="112"/>
      <c r="LK86" s="112"/>
      <c r="LL86" s="112"/>
      <c r="LM86" s="112"/>
      <c r="LN86" s="112"/>
      <c r="LO86" s="112"/>
      <c r="LP86" s="112"/>
      <c r="LQ86" s="112"/>
      <c r="LR86" s="112"/>
      <c r="LS86" s="112"/>
      <c r="LT86" s="112"/>
      <c r="LU86" s="112"/>
      <c r="LV86" s="112"/>
      <c r="LW86" s="112"/>
      <c r="LX86" s="112"/>
      <c r="LY86" s="112"/>
      <c r="LZ86" s="112"/>
      <c r="MA86" s="112"/>
      <c r="MB86" s="111"/>
      <c r="MC86" s="112" t="str">
        <f t="shared" si="531"/>
        <v>x</v>
      </c>
      <c r="MD86" s="112"/>
      <c r="ME86" s="112" t="str">
        <f t="shared" si="532"/>
        <v>x</v>
      </c>
      <c r="MF86" s="112" t="str">
        <f t="shared" si="533"/>
        <v>x</v>
      </c>
      <c r="MG86" s="112" t="str">
        <f t="shared" si="552"/>
        <v>x</v>
      </c>
      <c r="MH86" s="112" t="str">
        <f t="shared" si="534"/>
        <v>x</v>
      </c>
    </row>
    <row r="87" spans="1:346" x14ac:dyDescent="0.25">
      <c r="A87" s="110" t="s">
        <v>4</v>
      </c>
      <c r="B87" s="101" t="s">
        <v>139</v>
      </c>
      <c r="C87" s="102"/>
      <c r="D87" s="102"/>
      <c r="E87" s="102"/>
      <c r="F87" s="102"/>
      <c r="G87" s="102"/>
      <c r="H87" s="102"/>
      <c r="I87" s="102"/>
      <c r="J87" s="103"/>
      <c r="K87" s="111"/>
      <c r="L87" s="111"/>
      <c r="M87" s="112" t="str">
        <f t="shared" si="390"/>
        <v>x</v>
      </c>
      <c r="N87" s="112" t="str">
        <f t="shared" si="391"/>
        <v>x</v>
      </c>
      <c r="O87" s="112" t="str">
        <f t="shared" si="535"/>
        <v>x</v>
      </c>
      <c r="P87" s="112" t="str">
        <f t="shared" si="392"/>
        <v>x</v>
      </c>
      <c r="Q87" s="112" t="str">
        <f t="shared" si="393"/>
        <v>x</v>
      </c>
      <c r="R87" s="112"/>
      <c r="S87" s="112" t="str">
        <f t="shared" si="394"/>
        <v>x</v>
      </c>
      <c r="T87" s="112" t="str">
        <f t="shared" si="395"/>
        <v>x</v>
      </c>
      <c r="U87" s="112"/>
      <c r="V87" s="112"/>
      <c r="W87" s="112" t="str">
        <f t="shared" si="396"/>
        <v>x</v>
      </c>
      <c r="X87" s="112" t="str">
        <f t="shared" si="397"/>
        <v>x</v>
      </c>
      <c r="Y87" s="112"/>
      <c r="Z87" s="112"/>
      <c r="AA87" s="112"/>
      <c r="AB87" s="112" t="str">
        <f t="shared" si="398"/>
        <v>x</v>
      </c>
      <c r="AC87" s="112" t="str">
        <f t="shared" si="399"/>
        <v>x</v>
      </c>
      <c r="AD87" s="112" t="str">
        <f t="shared" si="400"/>
        <v>x</v>
      </c>
      <c r="AE87" s="112" t="str">
        <f t="shared" si="536"/>
        <v>x</v>
      </c>
      <c r="AF87" s="112" t="str">
        <f t="shared" si="401"/>
        <v>x</v>
      </c>
      <c r="AG87" s="112" t="str">
        <f t="shared" si="402"/>
        <v>x</v>
      </c>
      <c r="AH87" s="112" t="str">
        <f t="shared" si="403"/>
        <v>x</v>
      </c>
      <c r="AI87" s="112" t="str">
        <f t="shared" si="404"/>
        <v>x</v>
      </c>
      <c r="AJ87" s="112" t="str">
        <f t="shared" si="405"/>
        <v>x</v>
      </c>
      <c r="AK87" s="112" t="str">
        <f t="shared" si="406"/>
        <v>x</v>
      </c>
      <c r="AL87" s="112"/>
      <c r="AM87" s="112" t="str">
        <f t="shared" si="537"/>
        <v>x</v>
      </c>
      <c r="AN87" s="112"/>
      <c r="AO87" s="112"/>
      <c r="AP87" s="112"/>
      <c r="AQ87" s="112"/>
      <c r="AR87" s="112"/>
      <c r="AS87" s="112"/>
      <c r="AT87" s="112" t="str">
        <f t="shared" si="407"/>
        <v>x</v>
      </c>
      <c r="AU87" s="113"/>
      <c r="AV87" s="114" t="str">
        <f t="shared" si="408"/>
        <v>x</v>
      </c>
      <c r="AW87" s="114" t="str">
        <f t="shared" si="409"/>
        <v>x</v>
      </c>
      <c r="AX87" s="112" t="str">
        <f t="shared" si="410"/>
        <v>x</v>
      </c>
      <c r="AY87" s="111"/>
      <c r="AZ87" s="112" t="str">
        <f t="shared" si="411"/>
        <v>x</v>
      </c>
      <c r="BA87" s="112" t="str">
        <f t="shared" si="412"/>
        <v>x</v>
      </c>
      <c r="BB87" s="111"/>
      <c r="BC87" s="111"/>
      <c r="BD87" s="112" t="str">
        <f t="shared" si="413"/>
        <v>x</v>
      </c>
      <c r="BE87" s="112"/>
      <c r="BF87" s="111"/>
      <c r="BG87" s="112" t="str">
        <f t="shared" si="414"/>
        <v>x</v>
      </c>
      <c r="BH87" s="112" t="str">
        <f t="shared" si="538"/>
        <v>x</v>
      </c>
      <c r="BI87" s="112" t="str">
        <f t="shared" si="415"/>
        <v>x</v>
      </c>
      <c r="BJ87" s="111"/>
      <c r="BK87" s="112" t="str">
        <f t="shared" si="416"/>
        <v>x</v>
      </c>
      <c r="BL87" s="112" t="str">
        <f t="shared" si="417"/>
        <v>x</v>
      </c>
      <c r="BM87" s="112" t="str">
        <f t="shared" si="418"/>
        <v>x</v>
      </c>
      <c r="BN87" s="112" t="str">
        <f t="shared" si="419"/>
        <v>x</v>
      </c>
      <c r="BO87" s="111"/>
      <c r="BP87" s="111"/>
      <c r="BQ87" s="111"/>
      <c r="BR87" s="112" t="str">
        <f t="shared" si="420"/>
        <v>x</v>
      </c>
      <c r="BS87" s="112"/>
      <c r="BT87" s="111"/>
      <c r="BU87" s="112" t="str">
        <f t="shared" si="421"/>
        <v>x</v>
      </c>
      <c r="BV87" s="112" t="str">
        <f t="shared" si="422"/>
        <v>x</v>
      </c>
      <c r="BW87" s="112"/>
      <c r="BX87" s="112"/>
      <c r="BY87" s="112"/>
      <c r="BZ87" s="112" t="str">
        <f t="shared" si="423"/>
        <v>x</v>
      </c>
      <c r="CA87" s="112" t="str">
        <f t="shared" si="424"/>
        <v>x</v>
      </c>
      <c r="CB87" s="112" t="str">
        <f t="shared" si="425"/>
        <v>x</v>
      </c>
      <c r="CC87" s="112"/>
      <c r="CD87" s="112"/>
      <c r="CE87" s="111"/>
      <c r="CF87" s="112" t="str">
        <f t="shared" si="426"/>
        <v>x</v>
      </c>
      <c r="CG87" s="112" t="str">
        <f t="shared" si="539"/>
        <v>x</v>
      </c>
      <c r="CH87" s="112" t="str">
        <f t="shared" si="427"/>
        <v>x</v>
      </c>
      <c r="CI87" s="112" t="str">
        <f t="shared" si="428"/>
        <v>x</v>
      </c>
      <c r="CJ87" s="112" t="str">
        <f t="shared" si="429"/>
        <v>x</v>
      </c>
      <c r="CK87" s="112" t="str">
        <f t="shared" si="430"/>
        <v>x</v>
      </c>
      <c r="CL87" s="112" t="str">
        <f t="shared" si="431"/>
        <v>x</v>
      </c>
      <c r="CM87" s="112"/>
      <c r="CN87" s="112"/>
      <c r="CO87" s="112" t="str">
        <f t="shared" si="540"/>
        <v>x</v>
      </c>
      <c r="CP87" s="112"/>
      <c r="CQ87" s="112" t="str">
        <f t="shared" si="541"/>
        <v>x</v>
      </c>
      <c r="CR87" s="112" t="str">
        <f t="shared" si="432"/>
        <v>x</v>
      </c>
      <c r="CS87" s="112"/>
      <c r="CT87" s="112" t="str">
        <f t="shared" si="542"/>
        <v>x</v>
      </c>
      <c r="CU87" s="112" t="str">
        <f t="shared" si="433"/>
        <v>x</v>
      </c>
      <c r="CV87" s="112" t="str">
        <f t="shared" si="434"/>
        <v>x</v>
      </c>
      <c r="CW87" s="112" t="str">
        <f t="shared" si="435"/>
        <v>x</v>
      </c>
      <c r="CX87" s="112" t="str">
        <f t="shared" si="436"/>
        <v>x</v>
      </c>
      <c r="CY87" s="112" t="str">
        <f t="shared" si="543"/>
        <v>x</v>
      </c>
      <c r="CZ87" s="112"/>
      <c r="DA87" s="112"/>
      <c r="DB87" s="115" t="str">
        <f t="shared" si="437"/>
        <v>x</v>
      </c>
      <c r="DC87" s="112"/>
      <c r="DD87" s="112"/>
      <c r="DE87" s="112" t="str">
        <f t="shared" si="438"/>
        <v>x</v>
      </c>
      <c r="DF87" s="115" t="str">
        <f t="shared" si="439"/>
        <v>x</v>
      </c>
      <c r="DG87" s="112" t="str">
        <f t="shared" si="440"/>
        <v>x</v>
      </c>
      <c r="DH87" s="112" t="str">
        <f t="shared" si="441"/>
        <v>x</v>
      </c>
      <c r="DI87" s="112"/>
      <c r="DJ87" s="112"/>
      <c r="DK87" s="112"/>
      <c r="DL87" s="112"/>
      <c r="DM87" s="112"/>
      <c r="DN87" s="112" t="str">
        <f t="shared" si="442"/>
        <v>x</v>
      </c>
      <c r="DO87" s="111"/>
      <c r="DP87" s="111"/>
      <c r="DQ87" s="112" t="str">
        <f t="shared" si="443"/>
        <v>x</v>
      </c>
      <c r="DR87" s="112" t="str">
        <f t="shared" si="544"/>
        <v>x</v>
      </c>
      <c r="DS87" s="112" t="str">
        <f t="shared" si="545"/>
        <v>x</v>
      </c>
      <c r="DT87" s="112"/>
      <c r="DU87" s="112" t="str">
        <f t="shared" si="444"/>
        <v>x</v>
      </c>
      <c r="DV87" s="112"/>
      <c r="DW87" s="112" t="str">
        <f t="shared" si="546"/>
        <v>x</v>
      </c>
      <c r="DX87" s="112" t="str">
        <f t="shared" si="445"/>
        <v>x</v>
      </c>
      <c r="DY87" s="112" t="str">
        <f t="shared" si="446"/>
        <v>x</v>
      </c>
      <c r="DZ87" s="112" t="str">
        <f t="shared" si="447"/>
        <v>x</v>
      </c>
      <c r="EA87" s="112" t="str">
        <f t="shared" si="448"/>
        <v>x</v>
      </c>
      <c r="EB87" s="112" t="str">
        <f t="shared" si="449"/>
        <v>x</v>
      </c>
      <c r="EC87" s="111"/>
      <c r="ED87" s="111"/>
      <c r="EE87" s="111"/>
      <c r="EF87" s="111"/>
      <c r="EG87" s="111"/>
      <c r="EH87" s="111"/>
      <c r="EI87" s="112"/>
      <c r="EJ87" s="112" t="str">
        <f t="shared" si="450"/>
        <v>x</v>
      </c>
      <c r="EK87" s="112" t="str">
        <f t="shared" si="451"/>
        <v>x</v>
      </c>
      <c r="EL87" s="112" t="str">
        <f t="shared" si="452"/>
        <v>x</v>
      </c>
      <c r="EM87" s="112" t="str">
        <f t="shared" si="453"/>
        <v>x</v>
      </c>
      <c r="EN87" s="112" t="str">
        <f t="shared" si="454"/>
        <v>x</v>
      </c>
      <c r="EO87" s="117" t="str">
        <f t="shared" si="455"/>
        <v>x</v>
      </c>
      <c r="EP87" s="117" t="str">
        <f t="shared" si="456"/>
        <v>x</v>
      </c>
      <c r="EQ87" s="112" t="str">
        <f t="shared" si="457"/>
        <v>x</v>
      </c>
      <c r="ER87" s="111"/>
      <c r="ES87" s="111"/>
      <c r="ET87" s="112" t="str">
        <f t="shared" si="458"/>
        <v>x</v>
      </c>
      <c r="EU87" s="112" t="str">
        <f t="shared" si="459"/>
        <v>x</v>
      </c>
      <c r="EV87" s="112" t="str">
        <f t="shared" si="460"/>
        <v>x</v>
      </c>
      <c r="EW87" s="112" t="str">
        <f t="shared" si="461"/>
        <v>x</v>
      </c>
      <c r="EX87" s="112" t="str">
        <f t="shared" si="462"/>
        <v>x</v>
      </c>
      <c r="EY87" s="112" t="str">
        <f t="shared" si="463"/>
        <v>x</v>
      </c>
      <c r="EZ87" s="112"/>
      <c r="FA87" s="112" t="str">
        <f t="shared" si="464"/>
        <v>x</v>
      </c>
      <c r="FB87" s="112" t="str">
        <f t="shared" si="465"/>
        <v>x</v>
      </c>
      <c r="FC87" s="112" t="str">
        <f t="shared" si="466"/>
        <v>x</v>
      </c>
      <c r="FD87" s="112" t="str">
        <f t="shared" si="467"/>
        <v>x</v>
      </c>
      <c r="FE87" s="112" t="str">
        <f t="shared" si="468"/>
        <v>x</v>
      </c>
      <c r="FF87" s="112" t="str">
        <f t="shared" si="469"/>
        <v>x</v>
      </c>
      <c r="FG87" s="111"/>
      <c r="FH87" s="111"/>
      <c r="FI87" s="112" t="str">
        <f t="shared" si="470"/>
        <v>x</v>
      </c>
      <c r="FJ87" s="112" t="str">
        <f t="shared" si="471"/>
        <v>x</v>
      </c>
      <c r="FK87" s="112" t="str">
        <f t="shared" si="472"/>
        <v>x</v>
      </c>
      <c r="FL87" s="112"/>
      <c r="FM87" s="112" t="str">
        <f t="shared" si="473"/>
        <v>x</v>
      </c>
      <c r="FN87" s="112" t="str">
        <f t="shared" si="547"/>
        <v>x</v>
      </c>
      <c r="FO87" s="112" t="str">
        <f t="shared" si="474"/>
        <v>x</v>
      </c>
      <c r="FP87" s="112" t="str">
        <f t="shared" si="475"/>
        <v>x</v>
      </c>
      <c r="FQ87" s="112" t="str">
        <f t="shared" si="476"/>
        <v>x</v>
      </c>
      <c r="FR87" s="112" t="str">
        <f t="shared" si="477"/>
        <v>x</v>
      </c>
      <c r="FS87" s="112" t="str">
        <f t="shared" si="478"/>
        <v>x</v>
      </c>
      <c r="FT87" s="112" t="str">
        <f t="shared" si="479"/>
        <v>x</v>
      </c>
      <c r="FU87" s="112" t="str">
        <f t="shared" si="480"/>
        <v>x</v>
      </c>
      <c r="FV87" s="112" t="str">
        <f t="shared" si="481"/>
        <v>x</v>
      </c>
      <c r="FW87" s="111"/>
      <c r="FX87" s="112"/>
      <c r="FY87" s="112"/>
      <c r="FZ87" s="111"/>
      <c r="GA87" s="111"/>
      <c r="GB87" s="111"/>
      <c r="GC87" s="112" t="str">
        <f t="shared" si="482"/>
        <v>x</v>
      </c>
      <c r="GD87" s="111"/>
      <c r="GE87" s="111"/>
      <c r="GF87" s="111"/>
      <c r="GG87" s="112"/>
      <c r="GH87" s="111"/>
      <c r="GI87" s="111"/>
      <c r="GJ87" s="112" t="str">
        <f t="shared" si="483"/>
        <v>x</v>
      </c>
      <c r="GK87" s="111"/>
      <c r="GL87" s="112" t="str">
        <f t="shared" si="484"/>
        <v>x</v>
      </c>
      <c r="GM87" s="111"/>
      <c r="GN87" s="112" t="str">
        <f t="shared" si="485"/>
        <v>x</v>
      </c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2" t="str">
        <f t="shared" si="48"/>
        <v>x</v>
      </c>
      <c r="HC87" s="112" t="str">
        <f t="shared" si="486"/>
        <v>x</v>
      </c>
      <c r="HD87" s="112" t="str">
        <f t="shared" si="487"/>
        <v>x</v>
      </c>
      <c r="HE87" s="112" t="str">
        <f t="shared" si="488"/>
        <v>x</v>
      </c>
      <c r="HF87" s="112" t="str">
        <f t="shared" si="489"/>
        <v>x</v>
      </c>
      <c r="HG87" s="112"/>
      <c r="HH87" s="112" t="str">
        <f t="shared" si="548"/>
        <v>x</v>
      </c>
      <c r="HI87" s="112"/>
      <c r="HJ87" s="112" t="str">
        <f t="shared" si="490"/>
        <v>x</v>
      </c>
      <c r="HK87" s="111"/>
      <c r="HL87" s="112" t="str">
        <f t="shared" si="491"/>
        <v>x</v>
      </c>
      <c r="HM87" s="112" t="str">
        <f t="shared" si="492"/>
        <v>x</v>
      </c>
      <c r="HN87" s="112" t="str">
        <f t="shared" si="493"/>
        <v>x</v>
      </c>
      <c r="HO87" s="112" t="str">
        <f t="shared" si="494"/>
        <v>x</v>
      </c>
      <c r="HP87" s="112" t="str">
        <f t="shared" si="495"/>
        <v>x</v>
      </c>
      <c r="HQ87" s="112" t="str">
        <f t="shared" si="496"/>
        <v>x</v>
      </c>
      <c r="HR87" s="112" t="str">
        <f t="shared" si="497"/>
        <v>x</v>
      </c>
      <c r="HS87" s="112" t="str">
        <f t="shared" si="498"/>
        <v>x</v>
      </c>
      <c r="HT87" s="112"/>
      <c r="HU87" s="112" t="str">
        <f t="shared" si="499"/>
        <v>x</v>
      </c>
      <c r="HV87" s="112"/>
      <c r="HW87" s="112" t="str">
        <f t="shared" si="549"/>
        <v>x</v>
      </c>
      <c r="HX87" s="112" t="str">
        <f t="shared" si="500"/>
        <v>x</v>
      </c>
      <c r="HY87" s="112" t="str">
        <f t="shared" si="501"/>
        <v>x</v>
      </c>
      <c r="HZ87" s="112" t="str">
        <f t="shared" si="502"/>
        <v>x</v>
      </c>
      <c r="IA87" s="112"/>
      <c r="IB87" s="112"/>
      <c r="IC87" s="112" t="str">
        <f t="shared" si="550"/>
        <v>x</v>
      </c>
      <c r="ID87" s="112" t="str">
        <f t="shared" si="503"/>
        <v>x</v>
      </c>
      <c r="IE87" s="112"/>
      <c r="IF87" s="112"/>
      <c r="IG87" s="111"/>
      <c r="IH87" s="112" t="str">
        <f t="shared" si="504"/>
        <v>x</v>
      </c>
      <c r="II87" s="112" t="str">
        <f t="shared" si="505"/>
        <v>x</v>
      </c>
      <c r="IJ87" s="112" t="str">
        <f t="shared" si="506"/>
        <v>x</v>
      </c>
      <c r="IK87" s="115" t="str">
        <f t="shared" si="507"/>
        <v>x</v>
      </c>
      <c r="IL87" s="112" t="str">
        <f t="shared" si="508"/>
        <v>x</v>
      </c>
      <c r="IM87" s="112" t="str">
        <f t="shared" si="509"/>
        <v>x</v>
      </c>
      <c r="IN87" s="112"/>
      <c r="IO87" s="112"/>
      <c r="IP87" s="112" t="str">
        <f t="shared" si="510"/>
        <v>x</v>
      </c>
      <c r="IQ87" s="112" t="str">
        <f t="shared" si="511"/>
        <v>x</v>
      </c>
      <c r="IR87" s="111"/>
      <c r="IS87" s="112" t="str">
        <f t="shared" si="512"/>
        <v>x</v>
      </c>
      <c r="IT87" s="111"/>
      <c r="IU87" s="112" t="str">
        <f t="shared" si="513"/>
        <v>x</v>
      </c>
      <c r="IV87" s="112"/>
      <c r="IW87" s="112" t="str">
        <f t="shared" si="514"/>
        <v>x</v>
      </c>
      <c r="IX87" s="112" t="str">
        <f t="shared" si="515"/>
        <v>x</v>
      </c>
      <c r="IY87" s="111"/>
      <c r="IZ87" s="112" t="str">
        <f t="shared" si="516"/>
        <v>x</v>
      </c>
      <c r="JA87" s="111"/>
      <c r="JB87" s="112" t="str">
        <f t="shared" si="517"/>
        <v>x</v>
      </c>
      <c r="JC87" s="111"/>
      <c r="JD87" s="112"/>
      <c r="JE87" s="112"/>
      <c r="JF87" s="112" t="str">
        <f t="shared" si="518"/>
        <v>x</v>
      </c>
      <c r="JG87" s="112" t="str">
        <f t="shared" si="519"/>
        <v>x</v>
      </c>
      <c r="JH87" s="112" t="str">
        <f t="shared" si="520"/>
        <v>x</v>
      </c>
      <c r="JI87" s="112"/>
      <c r="JJ87" s="112" t="str">
        <f t="shared" si="521"/>
        <v>x</v>
      </c>
      <c r="JK87" s="112" t="str">
        <f t="shared" si="551"/>
        <v>x</v>
      </c>
      <c r="JL87" s="112" t="str">
        <f t="shared" si="522"/>
        <v>x</v>
      </c>
      <c r="JM87" s="112"/>
      <c r="JN87" s="112"/>
      <c r="JO87" s="112"/>
      <c r="JP87" s="112"/>
      <c r="JQ87" s="112" t="str">
        <f t="shared" si="523"/>
        <v>x</v>
      </c>
      <c r="JR87" s="112"/>
      <c r="JS87" s="112" t="str">
        <f t="shared" si="524"/>
        <v>x</v>
      </c>
      <c r="JT87" s="111"/>
      <c r="JU87" s="111"/>
      <c r="JV87" s="112"/>
      <c r="JW87" s="112" t="str">
        <f t="shared" si="525"/>
        <v>x</v>
      </c>
      <c r="JX87" s="112"/>
      <c r="JY87" s="112"/>
      <c r="JZ87" s="112"/>
      <c r="KA87" s="112" t="str">
        <f t="shared" si="526"/>
        <v>x</v>
      </c>
      <c r="KB87" s="112" t="str">
        <f t="shared" si="527"/>
        <v>x</v>
      </c>
      <c r="KC87" s="112" t="str">
        <f t="shared" si="528"/>
        <v>x</v>
      </c>
      <c r="KD87" s="112" t="str">
        <f t="shared" si="529"/>
        <v>x</v>
      </c>
      <c r="KE87" s="112" t="str">
        <f t="shared" si="530"/>
        <v>x</v>
      </c>
      <c r="KF87" s="112"/>
      <c r="KG87" s="112"/>
      <c r="KH87" s="112"/>
      <c r="KI87" s="112"/>
      <c r="KJ87" s="112"/>
      <c r="KK87" s="112"/>
      <c r="KL87" s="112"/>
      <c r="KM87" s="112"/>
      <c r="KN87" s="112"/>
      <c r="KO87" s="112"/>
      <c r="KP87" s="112"/>
      <c r="KQ87" s="112"/>
      <c r="KR87" s="112"/>
      <c r="KS87" s="112"/>
      <c r="KT87" s="112"/>
      <c r="KU87" s="112"/>
      <c r="KV87" s="112"/>
      <c r="KW87" s="112"/>
      <c r="KX87" s="112"/>
      <c r="KY87" s="112"/>
      <c r="KZ87" s="112"/>
      <c r="LA87" s="112"/>
      <c r="LB87" s="111"/>
      <c r="LC87" s="112"/>
      <c r="LD87" s="112"/>
      <c r="LE87" s="112"/>
      <c r="LF87" s="112"/>
      <c r="LG87" s="112"/>
      <c r="LH87" s="112"/>
      <c r="LI87" s="112"/>
      <c r="LJ87" s="112"/>
      <c r="LK87" s="112"/>
      <c r="LL87" s="112"/>
      <c r="LM87" s="112"/>
      <c r="LN87" s="112"/>
      <c r="LO87" s="112"/>
      <c r="LP87" s="112"/>
      <c r="LQ87" s="112"/>
      <c r="LR87" s="112"/>
      <c r="LS87" s="112"/>
      <c r="LT87" s="112"/>
      <c r="LU87" s="112"/>
      <c r="LV87" s="112"/>
      <c r="LW87" s="112"/>
      <c r="LX87" s="112"/>
      <c r="LY87" s="112"/>
      <c r="LZ87" s="112"/>
      <c r="MA87" s="112"/>
      <c r="MB87" s="111"/>
      <c r="MC87" s="112" t="str">
        <f t="shared" si="531"/>
        <v>x</v>
      </c>
      <c r="MD87" s="112"/>
      <c r="ME87" s="112" t="str">
        <f t="shared" si="532"/>
        <v>x</v>
      </c>
      <c r="MF87" s="112" t="str">
        <f t="shared" si="533"/>
        <v>x</v>
      </c>
      <c r="MG87" s="112" t="str">
        <f t="shared" si="552"/>
        <v>x</v>
      </c>
      <c r="MH87" s="112" t="str">
        <f t="shared" si="534"/>
        <v>x</v>
      </c>
    </row>
    <row r="88" spans="1:346" x14ac:dyDescent="0.25">
      <c r="A88" s="110" t="s">
        <v>4</v>
      </c>
      <c r="B88" s="101" t="s">
        <v>54</v>
      </c>
      <c r="C88" s="102"/>
      <c r="D88" s="102"/>
      <c r="E88" s="102"/>
      <c r="F88" s="102"/>
      <c r="G88" s="102"/>
      <c r="H88" s="102"/>
      <c r="I88" s="102"/>
      <c r="J88" s="103"/>
      <c r="K88" s="111"/>
      <c r="L88" s="111"/>
      <c r="M88" s="112" t="str">
        <f t="shared" si="390"/>
        <v>x</v>
      </c>
      <c r="N88" s="112" t="str">
        <f t="shared" si="391"/>
        <v>x</v>
      </c>
      <c r="O88" s="112" t="str">
        <f t="shared" si="535"/>
        <v>x</v>
      </c>
      <c r="P88" s="112" t="str">
        <f t="shared" si="392"/>
        <v>x</v>
      </c>
      <c r="Q88" s="112" t="str">
        <f t="shared" si="393"/>
        <v>x</v>
      </c>
      <c r="R88" s="112"/>
      <c r="S88" s="112" t="str">
        <f t="shared" si="394"/>
        <v>x</v>
      </c>
      <c r="T88" s="112" t="str">
        <f t="shared" si="395"/>
        <v>x</v>
      </c>
      <c r="U88" s="112"/>
      <c r="V88" s="112"/>
      <c r="W88" s="112" t="str">
        <f t="shared" si="396"/>
        <v>x</v>
      </c>
      <c r="X88" s="112" t="str">
        <f t="shared" si="397"/>
        <v>x</v>
      </c>
      <c r="Y88" s="112"/>
      <c r="Z88" s="112"/>
      <c r="AA88" s="112"/>
      <c r="AB88" s="112" t="str">
        <f t="shared" si="398"/>
        <v>x</v>
      </c>
      <c r="AC88" s="112" t="str">
        <f t="shared" si="399"/>
        <v>x</v>
      </c>
      <c r="AD88" s="112" t="str">
        <f t="shared" si="400"/>
        <v>x</v>
      </c>
      <c r="AE88" s="112" t="str">
        <f t="shared" si="536"/>
        <v>x</v>
      </c>
      <c r="AF88" s="112" t="str">
        <f t="shared" si="401"/>
        <v>x</v>
      </c>
      <c r="AG88" s="112" t="str">
        <f t="shared" si="402"/>
        <v>x</v>
      </c>
      <c r="AH88" s="112" t="str">
        <f t="shared" si="403"/>
        <v>x</v>
      </c>
      <c r="AI88" s="112" t="str">
        <f t="shared" si="404"/>
        <v>x</v>
      </c>
      <c r="AJ88" s="112" t="str">
        <f t="shared" si="405"/>
        <v>x</v>
      </c>
      <c r="AK88" s="112" t="str">
        <f t="shared" si="406"/>
        <v>x</v>
      </c>
      <c r="AL88" s="112"/>
      <c r="AM88" s="112" t="str">
        <f t="shared" si="537"/>
        <v>x</v>
      </c>
      <c r="AN88" s="112"/>
      <c r="AO88" s="112"/>
      <c r="AP88" s="112"/>
      <c r="AQ88" s="112"/>
      <c r="AR88" s="112"/>
      <c r="AS88" s="112"/>
      <c r="AT88" s="112" t="str">
        <f t="shared" si="407"/>
        <v>x</v>
      </c>
      <c r="AU88" s="113"/>
      <c r="AV88" s="114" t="str">
        <f t="shared" si="408"/>
        <v>x</v>
      </c>
      <c r="AW88" s="114" t="str">
        <f t="shared" si="409"/>
        <v>x</v>
      </c>
      <c r="AX88" s="112" t="str">
        <f t="shared" si="410"/>
        <v>x</v>
      </c>
      <c r="AY88" s="111"/>
      <c r="AZ88" s="112" t="str">
        <f t="shared" si="411"/>
        <v>x</v>
      </c>
      <c r="BA88" s="112" t="str">
        <f t="shared" si="412"/>
        <v>x</v>
      </c>
      <c r="BB88" s="111"/>
      <c r="BC88" s="111"/>
      <c r="BD88" s="112" t="str">
        <f t="shared" si="413"/>
        <v>x</v>
      </c>
      <c r="BE88" s="112"/>
      <c r="BF88" s="111"/>
      <c r="BG88" s="112" t="str">
        <f t="shared" si="414"/>
        <v>x</v>
      </c>
      <c r="BH88" s="112" t="str">
        <f t="shared" si="538"/>
        <v>x</v>
      </c>
      <c r="BI88" s="112" t="str">
        <f t="shared" si="415"/>
        <v>x</v>
      </c>
      <c r="BJ88" s="111"/>
      <c r="BK88" s="112" t="str">
        <f t="shared" si="416"/>
        <v>x</v>
      </c>
      <c r="BL88" s="112" t="str">
        <f t="shared" si="417"/>
        <v>x</v>
      </c>
      <c r="BM88" s="112" t="str">
        <f t="shared" si="418"/>
        <v>x</v>
      </c>
      <c r="BN88" s="112" t="str">
        <f t="shared" si="419"/>
        <v>x</v>
      </c>
      <c r="BO88" s="111"/>
      <c r="BP88" s="111"/>
      <c r="BQ88" s="111"/>
      <c r="BR88" s="112" t="str">
        <f t="shared" si="420"/>
        <v>x</v>
      </c>
      <c r="BS88" s="112"/>
      <c r="BT88" s="111"/>
      <c r="BU88" s="112" t="str">
        <f t="shared" si="421"/>
        <v>x</v>
      </c>
      <c r="BV88" s="112" t="str">
        <f t="shared" si="422"/>
        <v>x</v>
      </c>
      <c r="BW88" s="112"/>
      <c r="BX88" s="112"/>
      <c r="BY88" s="112"/>
      <c r="BZ88" s="112" t="str">
        <f t="shared" si="423"/>
        <v>x</v>
      </c>
      <c r="CA88" s="112" t="str">
        <f t="shared" si="424"/>
        <v>x</v>
      </c>
      <c r="CB88" s="112" t="str">
        <f t="shared" si="425"/>
        <v>x</v>
      </c>
      <c r="CC88" s="112"/>
      <c r="CD88" s="112"/>
      <c r="CE88" s="111"/>
      <c r="CF88" s="112" t="str">
        <f t="shared" si="426"/>
        <v>x</v>
      </c>
      <c r="CG88" s="112" t="str">
        <f t="shared" si="539"/>
        <v>x</v>
      </c>
      <c r="CH88" s="112" t="str">
        <f t="shared" si="427"/>
        <v>x</v>
      </c>
      <c r="CI88" s="112" t="str">
        <f t="shared" si="428"/>
        <v>x</v>
      </c>
      <c r="CJ88" s="112" t="str">
        <f t="shared" si="429"/>
        <v>x</v>
      </c>
      <c r="CK88" s="112" t="str">
        <f t="shared" si="430"/>
        <v>x</v>
      </c>
      <c r="CL88" s="112" t="str">
        <f t="shared" si="431"/>
        <v>x</v>
      </c>
      <c r="CM88" s="112"/>
      <c r="CN88" s="112"/>
      <c r="CO88" s="112" t="str">
        <f t="shared" si="540"/>
        <v>x</v>
      </c>
      <c r="CP88" s="112"/>
      <c r="CQ88" s="112" t="str">
        <f t="shared" si="541"/>
        <v>x</v>
      </c>
      <c r="CR88" s="112" t="str">
        <f t="shared" si="432"/>
        <v>x</v>
      </c>
      <c r="CS88" s="112"/>
      <c r="CT88" s="112" t="str">
        <f t="shared" si="542"/>
        <v>x</v>
      </c>
      <c r="CU88" s="112" t="str">
        <f t="shared" si="433"/>
        <v>x</v>
      </c>
      <c r="CV88" s="112" t="str">
        <f t="shared" si="434"/>
        <v>x</v>
      </c>
      <c r="CW88" s="112" t="str">
        <f t="shared" si="435"/>
        <v>x</v>
      </c>
      <c r="CX88" s="112" t="str">
        <f t="shared" si="436"/>
        <v>x</v>
      </c>
      <c r="CY88" s="112" t="str">
        <f t="shared" si="543"/>
        <v>x</v>
      </c>
      <c r="CZ88" s="112"/>
      <c r="DA88" s="112"/>
      <c r="DB88" s="115" t="str">
        <f t="shared" si="437"/>
        <v>x</v>
      </c>
      <c r="DC88" s="112"/>
      <c r="DD88" s="112"/>
      <c r="DE88" s="112" t="str">
        <f t="shared" si="438"/>
        <v>x</v>
      </c>
      <c r="DF88" s="115" t="str">
        <f t="shared" si="439"/>
        <v>x</v>
      </c>
      <c r="DG88" s="112" t="str">
        <f t="shared" si="440"/>
        <v>x</v>
      </c>
      <c r="DH88" s="112" t="str">
        <f t="shared" si="441"/>
        <v>x</v>
      </c>
      <c r="DI88" s="112"/>
      <c r="DJ88" s="112"/>
      <c r="DK88" s="112"/>
      <c r="DL88" s="112"/>
      <c r="DM88" s="112"/>
      <c r="DN88" s="112" t="str">
        <f t="shared" si="442"/>
        <v>x</v>
      </c>
      <c r="DO88" s="111"/>
      <c r="DP88" s="111"/>
      <c r="DQ88" s="112" t="str">
        <f t="shared" si="443"/>
        <v>x</v>
      </c>
      <c r="DR88" s="112" t="str">
        <f t="shared" si="544"/>
        <v>x</v>
      </c>
      <c r="DS88" s="112" t="str">
        <f t="shared" si="545"/>
        <v>x</v>
      </c>
      <c r="DT88" s="112"/>
      <c r="DU88" s="112" t="str">
        <f t="shared" si="444"/>
        <v>x</v>
      </c>
      <c r="DV88" s="112"/>
      <c r="DW88" s="112" t="str">
        <f t="shared" si="546"/>
        <v>x</v>
      </c>
      <c r="DX88" s="112" t="str">
        <f t="shared" si="445"/>
        <v>x</v>
      </c>
      <c r="DY88" s="112" t="str">
        <f t="shared" si="446"/>
        <v>x</v>
      </c>
      <c r="DZ88" s="112" t="str">
        <f t="shared" si="447"/>
        <v>x</v>
      </c>
      <c r="EA88" s="112" t="str">
        <f t="shared" si="448"/>
        <v>x</v>
      </c>
      <c r="EB88" s="112" t="str">
        <f t="shared" si="449"/>
        <v>x</v>
      </c>
      <c r="EC88" s="111"/>
      <c r="ED88" s="111"/>
      <c r="EE88" s="111"/>
      <c r="EF88" s="111"/>
      <c r="EG88" s="111"/>
      <c r="EH88" s="111"/>
      <c r="EI88" s="112"/>
      <c r="EJ88" s="112" t="str">
        <f t="shared" si="450"/>
        <v>x</v>
      </c>
      <c r="EK88" s="112" t="str">
        <f t="shared" si="451"/>
        <v>x</v>
      </c>
      <c r="EL88" s="112" t="str">
        <f t="shared" si="452"/>
        <v>x</v>
      </c>
      <c r="EM88" s="112" t="str">
        <f t="shared" si="453"/>
        <v>x</v>
      </c>
      <c r="EN88" s="112" t="str">
        <f t="shared" si="454"/>
        <v>x</v>
      </c>
      <c r="EO88" s="117" t="str">
        <f t="shared" si="455"/>
        <v>x</v>
      </c>
      <c r="EP88" s="117" t="str">
        <f t="shared" si="456"/>
        <v>x</v>
      </c>
      <c r="EQ88" s="112" t="str">
        <f t="shared" si="457"/>
        <v>x</v>
      </c>
      <c r="ER88" s="111"/>
      <c r="ES88" s="111"/>
      <c r="ET88" s="112" t="str">
        <f t="shared" si="458"/>
        <v>x</v>
      </c>
      <c r="EU88" s="112" t="str">
        <f t="shared" si="459"/>
        <v>x</v>
      </c>
      <c r="EV88" s="112" t="str">
        <f t="shared" si="460"/>
        <v>x</v>
      </c>
      <c r="EW88" s="112" t="str">
        <f t="shared" si="461"/>
        <v>x</v>
      </c>
      <c r="EX88" s="112" t="str">
        <f t="shared" si="462"/>
        <v>x</v>
      </c>
      <c r="EY88" s="112" t="str">
        <f t="shared" si="463"/>
        <v>x</v>
      </c>
      <c r="EZ88" s="112"/>
      <c r="FA88" s="112" t="str">
        <f t="shared" si="464"/>
        <v>x</v>
      </c>
      <c r="FB88" s="112" t="str">
        <f t="shared" si="465"/>
        <v>x</v>
      </c>
      <c r="FC88" s="112" t="str">
        <f t="shared" si="466"/>
        <v>x</v>
      </c>
      <c r="FD88" s="112" t="str">
        <f t="shared" si="467"/>
        <v>x</v>
      </c>
      <c r="FE88" s="112" t="str">
        <f t="shared" si="468"/>
        <v>x</v>
      </c>
      <c r="FF88" s="112" t="str">
        <f t="shared" si="469"/>
        <v>x</v>
      </c>
      <c r="FG88" s="111"/>
      <c r="FH88" s="111"/>
      <c r="FI88" s="112" t="str">
        <f t="shared" si="470"/>
        <v>x</v>
      </c>
      <c r="FJ88" s="112" t="str">
        <f t="shared" si="471"/>
        <v>x</v>
      </c>
      <c r="FK88" s="112" t="str">
        <f t="shared" si="472"/>
        <v>x</v>
      </c>
      <c r="FL88" s="112"/>
      <c r="FM88" s="112" t="str">
        <f t="shared" si="473"/>
        <v>x</v>
      </c>
      <c r="FN88" s="112" t="str">
        <f t="shared" si="547"/>
        <v>x</v>
      </c>
      <c r="FO88" s="112" t="str">
        <f t="shared" si="474"/>
        <v>x</v>
      </c>
      <c r="FP88" s="112" t="str">
        <f t="shared" si="475"/>
        <v>x</v>
      </c>
      <c r="FQ88" s="112" t="str">
        <f t="shared" si="476"/>
        <v>x</v>
      </c>
      <c r="FR88" s="112" t="str">
        <f t="shared" si="477"/>
        <v>x</v>
      </c>
      <c r="FS88" s="112" t="str">
        <f t="shared" si="478"/>
        <v>x</v>
      </c>
      <c r="FT88" s="112" t="str">
        <f t="shared" si="479"/>
        <v>x</v>
      </c>
      <c r="FU88" s="112" t="str">
        <f t="shared" si="480"/>
        <v>x</v>
      </c>
      <c r="FV88" s="112" t="str">
        <f t="shared" si="481"/>
        <v>x</v>
      </c>
      <c r="FW88" s="111"/>
      <c r="FX88" s="112"/>
      <c r="FY88" s="112"/>
      <c r="FZ88" s="111"/>
      <c r="GA88" s="111"/>
      <c r="GB88" s="111"/>
      <c r="GC88" s="112" t="str">
        <f t="shared" si="482"/>
        <v>x</v>
      </c>
      <c r="GD88" s="111"/>
      <c r="GE88" s="111"/>
      <c r="GF88" s="111"/>
      <c r="GG88" s="112"/>
      <c r="GH88" s="111"/>
      <c r="GI88" s="111"/>
      <c r="GJ88" s="112" t="str">
        <f t="shared" si="483"/>
        <v>x</v>
      </c>
      <c r="GK88" s="111"/>
      <c r="GL88" s="112" t="str">
        <f t="shared" si="484"/>
        <v>x</v>
      </c>
      <c r="GM88" s="111"/>
      <c r="GN88" s="112" t="str">
        <f t="shared" si="485"/>
        <v>x</v>
      </c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2" t="str">
        <f t="shared" si="48"/>
        <v>x</v>
      </c>
      <c r="HC88" s="112" t="str">
        <f t="shared" si="486"/>
        <v>x</v>
      </c>
      <c r="HD88" s="112" t="str">
        <f t="shared" si="487"/>
        <v>x</v>
      </c>
      <c r="HE88" s="112" t="str">
        <f t="shared" si="488"/>
        <v>x</v>
      </c>
      <c r="HF88" s="112" t="str">
        <f t="shared" si="489"/>
        <v>x</v>
      </c>
      <c r="HG88" s="112"/>
      <c r="HH88" s="112" t="str">
        <f t="shared" si="548"/>
        <v>x</v>
      </c>
      <c r="HI88" s="112"/>
      <c r="HJ88" s="112" t="str">
        <f t="shared" si="490"/>
        <v>x</v>
      </c>
      <c r="HK88" s="111"/>
      <c r="HL88" s="112" t="str">
        <f t="shared" si="491"/>
        <v>x</v>
      </c>
      <c r="HM88" s="112" t="str">
        <f t="shared" si="492"/>
        <v>x</v>
      </c>
      <c r="HN88" s="112" t="str">
        <f t="shared" si="493"/>
        <v>x</v>
      </c>
      <c r="HO88" s="112" t="str">
        <f t="shared" si="494"/>
        <v>x</v>
      </c>
      <c r="HP88" s="112" t="str">
        <f t="shared" si="495"/>
        <v>x</v>
      </c>
      <c r="HQ88" s="112" t="str">
        <f t="shared" si="496"/>
        <v>x</v>
      </c>
      <c r="HR88" s="112" t="str">
        <f t="shared" si="497"/>
        <v>x</v>
      </c>
      <c r="HS88" s="112" t="str">
        <f t="shared" si="498"/>
        <v>x</v>
      </c>
      <c r="HT88" s="112"/>
      <c r="HU88" s="112" t="str">
        <f t="shared" si="499"/>
        <v>x</v>
      </c>
      <c r="HV88" s="112"/>
      <c r="HW88" s="112" t="str">
        <f t="shared" si="549"/>
        <v>x</v>
      </c>
      <c r="HX88" s="112" t="str">
        <f t="shared" si="500"/>
        <v>x</v>
      </c>
      <c r="HY88" s="112" t="str">
        <f t="shared" si="501"/>
        <v>x</v>
      </c>
      <c r="HZ88" s="112" t="str">
        <f t="shared" si="502"/>
        <v>x</v>
      </c>
      <c r="IA88" s="112"/>
      <c r="IB88" s="112"/>
      <c r="IC88" s="112" t="str">
        <f t="shared" si="550"/>
        <v>x</v>
      </c>
      <c r="ID88" s="112" t="str">
        <f t="shared" si="503"/>
        <v>x</v>
      </c>
      <c r="IE88" s="112"/>
      <c r="IF88" s="112"/>
      <c r="IG88" s="111"/>
      <c r="IH88" s="112" t="str">
        <f t="shared" si="504"/>
        <v>x</v>
      </c>
      <c r="II88" s="112" t="str">
        <f t="shared" si="505"/>
        <v>x</v>
      </c>
      <c r="IJ88" s="112" t="str">
        <f t="shared" si="506"/>
        <v>x</v>
      </c>
      <c r="IK88" s="115" t="str">
        <f t="shared" si="507"/>
        <v>x</v>
      </c>
      <c r="IL88" s="112" t="str">
        <f t="shared" si="508"/>
        <v>x</v>
      </c>
      <c r="IM88" s="112" t="str">
        <f t="shared" si="509"/>
        <v>x</v>
      </c>
      <c r="IN88" s="112"/>
      <c r="IO88" s="112"/>
      <c r="IP88" s="112" t="str">
        <f t="shared" si="510"/>
        <v>x</v>
      </c>
      <c r="IQ88" s="112" t="str">
        <f t="shared" si="511"/>
        <v>x</v>
      </c>
      <c r="IR88" s="111"/>
      <c r="IS88" s="112" t="str">
        <f t="shared" si="512"/>
        <v>x</v>
      </c>
      <c r="IT88" s="111"/>
      <c r="IU88" s="112" t="str">
        <f t="shared" si="513"/>
        <v>x</v>
      </c>
      <c r="IV88" s="112"/>
      <c r="IW88" s="112" t="str">
        <f t="shared" si="514"/>
        <v>x</v>
      </c>
      <c r="IX88" s="112" t="str">
        <f t="shared" si="515"/>
        <v>x</v>
      </c>
      <c r="IY88" s="111"/>
      <c r="IZ88" s="112" t="str">
        <f t="shared" si="516"/>
        <v>x</v>
      </c>
      <c r="JA88" s="111"/>
      <c r="JB88" s="112" t="str">
        <f t="shared" si="517"/>
        <v>x</v>
      </c>
      <c r="JC88" s="111"/>
      <c r="JD88" s="112"/>
      <c r="JE88" s="112"/>
      <c r="JF88" s="112" t="str">
        <f t="shared" si="518"/>
        <v>x</v>
      </c>
      <c r="JG88" s="112" t="str">
        <f t="shared" si="519"/>
        <v>x</v>
      </c>
      <c r="JH88" s="112" t="str">
        <f t="shared" si="520"/>
        <v>x</v>
      </c>
      <c r="JI88" s="112"/>
      <c r="JJ88" s="112" t="str">
        <f t="shared" si="521"/>
        <v>x</v>
      </c>
      <c r="JK88" s="112" t="str">
        <f t="shared" si="551"/>
        <v>x</v>
      </c>
      <c r="JL88" s="112" t="str">
        <f t="shared" si="522"/>
        <v>x</v>
      </c>
      <c r="JM88" s="112"/>
      <c r="JN88" s="112"/>
      <c r="JO88" s="112"/>
      <c r="JP88" s="112"/>
      <c r="JQ88" s="112" t="str">
        <f t="shared" si="523"/>
        <v>x</v>
      </c>
      <c r="JR88" s="112"/>
      <c r="JS88" s="112" t="str">
        <f t="shared" si="524"/>
        <v>x</v>
      </c>
      <c r="JT88" s="111"/>
      <c r="JU88" s="111"/>
      <c r="JV88" s="112"/>
      <c r="JW88" s="112" t="str">
        <f t="shared" si="525"/>
        <v>x</v>
      </c>
      <c r="JX88" s="112" t="str">
        <f>HYPERLINK("http://www.deutschlandinzahlen.de/fileadmin/diz/content_data/Startseite/Printversion/Deutschland_in_Zahlen_08_2015.pdf","x")</f>
        <v>x</v>
      </c>
      <c r="JY88" s="112"/>
      <c r="JZ88" s="112"/>
      <c r="KA88" s="112" t="str">
        <f t="shared" si="526"/>
        <v>x</v>
      </c>
      <c r="KB88" s="112" t="str">
        <f t="shared" si="527"/>
        <v>x</v>
      </c>
      <c r="KC88" s="112" t="str">
        <f t="shared" si="528"/>
        <v>x</v>
      </c>
      <c r="KD88" s="112" t="str">
        <f t="shared" si="529"/>
        <v>x</v>
      </c>
      <c r="KE88" s="112" t="str">
        <f t="shared" si="530"/>
        <v>x</v>
      </c>
      <c r="KF88" s="112"/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1"/>
      <c r="LC88" s="112"/>
      <c r="LD88" s="112"/>
      <c r="LE88" s="112"/>
      <c r="LF88" s="112"/>
      <c r="LG88" s="112"/>
      <c r="LH88" s="112"/>
      <c r="LI88" s="112"/>
      <c r="LJ88" s="112"/>
      <c r="LK88" s="112"/>
      <c r="LL88" s="112"/>
      <c r="LM88" s="112"/>
      <c r="LN88" s="112"/>
      <c r="LO88" s="112"/>
      <c r="LP88" s="112"/>
      <c r="LQ88" s="112"/>
      <c r="LR88" s="112"/>
      <c r="LS88" s="112"/>
      <c r="LT88" s="112"/>
      <c r="LU88" s="112"/>
      <c r="LV88" s="112"/>
      <c r="LW88" s="112"/>
      <c r="LX88" s="112"/>
      <c r="LY88" s="112"/>
      <c r="LZ88" s="112"/>
      <c r="MA88" s="112"/>
      <c r="MB88" s="111"/>
      <c r="MC88" s="112" t="str">
        <f t="shared" si="531"/>
        <v>x</v>
      </c>
      <c r="MD88" s="112"/>
      <c r="ME88" s="112" t="str">
        <f t="shared" si="532"/>
        <v>x</v>
      </c>
      <c r="MF88" s="112" t="str">
        <f t="shared" si="533"/>
        <v>x</v>
      </c>
      <c r="MG88" s="112" t="str">
        <f t="shared" si="552"/>
        <v>x</v>
      </c>
      <c r="MH88" s="112" t="str">
        <f t="shared" si="534"/>
        <v>x</v>
      </c>
    </row>
    <row r="89" spans="1:346" x14ac:dyDescent="0.25">
      <c r="A89" s="110" t="s">
        <v>4</v>
      </c>
      <c r="B89" s="101" t="s">
        <v>384</v>
      </c>
      <c r="C89" s="102"/>
      <c r="D89" s="102"/>
      <c r="E89" s="102"/>
      <c r="F89" s="102"/>
      <c r="G89" s="102"/>
      <c r="H89" s="102"/>
      <c r="I89" s="102"/>
      <c r="J89" s="103"/>
      <c r="K89" s="111"/>
      <c r="L89" s="111"/>
      <c r="M89" s="112" t="str">
        <f t="shared" si="390"/>
        <v>x</v>
      </c>
      <c r="N89" s="112" t="str">
        <f t="shared" si="391"/>
        <v>x</v>
      </c>
      <c r="O89" s="112" t="str">
        <f t="shared" si="535"/>
        <v>x</v>
      </c>
      <c r="P89" s="112" t="str">
        <f t="shared" si="392"/>
        <v>x</v>
      </c>
      <c r="Q89" s="112" t="str">
        <f t="shared" si="393"/>
        <v>x</v>
      </c>
      <c r="R89" s="112"/>
      <c r="S89" s="112" t="str">
        <f t="shared" si="394"/>
        <v>x</v>
      </c>
      <c r="T89" s="112" t="str">
        <f t="shared" si="395"/>
        <v>x</v>
      </c>
      <c r="U89" s="112"/>
      <c r="V89" s="112"/>
      <c r="W89" s="112" t="str">
        <f t="shared" si="396"/>
        <v>x</v>
      </c>
      <c r="X89" s="112" t="str">
        <f t="shared" si="397"/>
        <v>x</v>
      </c>
      <c r="Y89" s="112"/>
      <c r="Z89" s="112"/>
      <c r="AA89" s="112"/>
      <c r="AB89" s="112" t="str">
        <f t="shared" si="398"/>
        <v>x</v>
      </c>
      <c r="AC89" s="112" t="str">
        <f t="shared" si="399"/>
        <v>x</v>
      </c>
      <c r="AD89" s="112" t="str">
        <f t="shared" si="400"/>
        <v>x</v>
      </c>
      <c r="AE89" s="112" t="str">
        <f t="shared" si="536"/>
        <v>x</v>
      </c>
      <c r="AF89" s="112" t="str">
        <f t="shared" si="401"/>
        <v>x</v>
      </c>
      <c r="AG89" s="112" t="str">
        <f t="shared" si="402"/>
        <v>x</v>
      </c>
      <c r="AH89" s="112" t="str">
        <f t="shared" si="403"/>
        <v>x</v>
      </c>
      <c r="AI89" s="112" t="str">
        <f t="shared" si="404"/>
        <v>x</v>
      </c>
      <c r="AJ89" s="112" t="str">
        <f t="shared" si="405"/>
        <v>x</v>
      </c>
      <c r="AK89" s="112" t="str">
        <f t="shared" si="406"/>
        <v>x</v>
      </c>
      <c r="AL89" s="112"/>
      <c r="AM89" s="112" t="str">
        <f t="shared" si="537"/>
        <v>x</v>
      </c>
      <c r="AN89" s="112"/>
      <c r="AO89" s="112"/>
      <c r="AP89" s="112"/>
      <c r="AQ89" s="112"/>
      <c r="AR89" s="112"/>
      <c r="AS89" s="112"/>
      <c r="AT89" s="112" t="str">
        <f t="shared" si="407"/>
        <v>x</v>
      </c>
      <c r="AU89" s="113"/>
      <c r="AV89" s="114" t="str">
        <f t="shared" si="408"/>
        <v>x</v>
      </c>
      <c r="AW89" s="114" t="str">
        <f t="shared" si="409"/>
        <v>x</v>
      </c>
      <c r="AX89" s="112" t="str">
        <f t="shared" si="410"/>
        <v>x</v>
      </c>
      <c r="AY89" s="111"/>
      <c r="AZ89" s="112" t="str">
        <f t="shared" si="411"/>
        <v>x</v>
      </c>
      <c r="BA89" s="112" t="str">
        <f t="shared" si="412"/>
        <v>x</v>
      </c>
      <c r="BB89" s="111"/>
      <c r="BC89" s="111"/>
      <c r="BD89" s="112" t="str">
        <f t="shared" si="413"/>
        <v>x</v>
      </c>
      <c r="BE89" s="112"/>
      <c r="BF89" s="111"/>
      <c r="BG89" s="112" t="str">
        <f t="shared" si="414"/>
        <v>x</v>
      </c>
      <c r="BH89" s="112" t="str">
        <f t="shared" si="538"/>
        <v>x</v>
      </c>
      <c r="BI89" s="112" t="str">
        <f t="shared" si="415"/>
        <v>x</v>
      </c>
      <c r="BJ89" s="111"/>
      <c r="BK89" s="112" t="str">
        <f t="shared" si="416"/>
        <v>x</v>
      </c>
      <c r="BL89" s="112" t="str">
        <f t="shared" si="417"/>
        <v>x</v>
      </c>
      <c r="BM89" s="112" t="str">
        <f t="shared" si="418"/>
        <v>x</v>
      </c>
      <c r="BN89" s="112" t="str">
        <f t="shared" si="419"/>
        <v>x</v>
      </c>
      <c r="BO89" s="111"/>
      <c r="BP89" s="111"/>
      <c r="BQ89" s="111"/>
      <c r="BR89" s="112" t="str">
        <f t="shared" si="420"/>
        <v>x</v>
      </c>
      <c r="BS89" s="112"/>
      <c r="BT89" s="111"/>
      <c r="BU89" s="112" t="str">
        <f t="shared" si="421"/>
        <v>x</v>
      </c>
      <c r="BV89" s="112" t="str">
        <f t="shared" si="422"/>
        <v>x</v>
      </c>
      <c r="BW89" s="112"/>
      <c r="BX89" s="112"/>
      <c r="BY89" s="112"/>
      <c r="BZ89" s="112" t="str">
        <f t="shared" si="423"/>
        <v>x</v>
      </c>
      <c r="CA89" s="112" t="str">
        <f t="shared" si="424"/>
        <v>x</v>
      </c>
      <c r="CB89" s="112" t="str">
        <f t="shared" si="425"/>
        <v>x</v>
      </c>
      <c r="CC89" s="112"/>
      <c r="CD89" s="112"/>
      <c r="CE89" s="111"/>
      <c r="CF89" s="112" t="str">
        <f t="shared" si="426"/>
        <v>x</v>
      </c>
      <c r="CG89" s="112" t="str">
        <f t="shared" si="539"/>
        <v>x</v>
      </c>
      <c r="CH89" s="112" t="str">
        <f t="shared" si="427"/>
        <v>x</v>
      </c>
      <c r="CI89" s="112" t="str">
        <f t="shared" si="428"/>
        <v>x</v>
      </c>
      <c r="CJ89" s="112" t="str">
        <f t="shared" si="429"/>
        <v>x</v>
      </c>
      <c r="CK89" s="112" t="str">
        <f t="shared" si="430"/>
        <v>x</v>
      </c>
      <c r="CL89" s="112" t="str">
        <f t="shared" si="431"/>
        <v>x</v>
      </c>
      <c r="CM89" s="112"/>
      <c r="CN89" s="112"/>
      <c r="CO89" s="112" t="str">
        <f t="shared" si="540"/>
        <v>x</v>
      </c>
      <c r="CP89" s="112"/>
      <c r="CQ89" s="112" t="str">
        <f t="shared" si="541"/>
        <v>x</v>
      </c>
      <c r="CR89" s="112" t="str">
        <f t="shared" si="432"/>
        <v>x</v>
      </c>
      <c r="CS89" s="112"/>
      <c r="CT89" s="112" t="str">
        <f t="shared" si="542"/>
        <v>x</v>
      </c>
      <c r="CU89" s="112" t="str">
        <f t="shared" si="433"/>
        <v>x</v>
      </c>
      <c r="CV89" s="112" t="str">
        <f t="shared" si="434"/>
        <v>x</v>
      </c>
      <c r="CW89" s="112" t="str">
        <f t="shared" si="435"/>
        <v>x</v>
      </c>
      <c r="CX89" s="112" t="str">
        <f t="shared" si="436"/>
        <v>x</v>
      </c>
      <c r="CY89" s="112" t="str">
        <f t="shared" si="543"/>
        <v>x</v>
      </c>
      <c r="CZ89" s="112"/>
      <c r="DA89" s="112"/>
      <c r="DB89" s="115" t="str">
        <f t="shared" si="437"/>
        <v>x</v>
      </c>
      <c r="DC89" s="112"/>
      <c r="DD89" s="112"/>
      <c r="DE89" s="112" t="str">
        <f t="shared" si="438"/>
        <v>x</v>
      </c>
      <c r="DF89" s="115" t="str">
        <f t="shared" si="439"/>
        <v>x</v>
      </c>
      <c r="DG89" s="112" t="str">
        <f t="shared" si="440"/>
        <v>x</v>
      </c>
      <c r="DH89" s="112" t="str">
        <f t="shared" si="441"/>
        <v>x</v>
      </c>
      <c r="DI89" s="112"/>
      <c r="DJ89" s="112"/>
      <c r="DK89" s="112"/>
      <c r="DL89" s="112"/>
      <c r="DM89" s="112"/>
      <c r="DN89" s="112" t="str">
        <f t="shared" si="442"/>
        <v>x</v>
      </c>
      <c r="DO89" s="111"/>
      <c r="DP89" s="111"/>
      <c r="DQ89" s="112" t="str">
        <f t="shared" si="443"/>
        <v>x</v>
      </c>
      <c r="DR89" s="112" t="str">
        <f t="shared" si="544"/>
        <v>x</v>
      </c>
      <c r="DS89" s="112" t="str">
        <f t="shared" si="545"/>
        <v>x</v>
      </c>
      <c r="DT89" s="112"/>
      <c r="DU89" s="112" t="str">
        <f t="shared" si="444"/>
        <v>x</v>
      </c>
      <c r="DV89" s="112"/>
      <c r="DW89" s="112" t="str">
        <f t="shared" si="546"/>
        <v>x</v>
      </c>
      <c r="DX89" s="112" t="str">
        <f t="shared" si="445"/>
        <v>x</v>
      </c>
      <c r="DY89" s="112" t="str">
        <f t="shared" si="446"/>
        <v>x</v>
      </c>
      <c r="DZ89" s="112" t="str">
        <f t="shared" si="447"/>
        <v>x</v>
      </c>
      <c r="EA89" s="112" t="str">
        <f t="shared" si="448"/>
        <v>x</v>
      </c>
      <c r="EB89" s="112" t="str">
        <f t="shared" si="449"/>
        <v>x</v>
      </c>
      <c r="EC89" s="111"/>
      <c r="ED89" s="111"/>
      <c r="EE89" s="111"/>
      <c r="EF89" s="111"/>
      <c r="EG89" s="111"/>
      <c r="EH89" s="111"/>
      <c r="EI89" s="112"/>
      <c r="EJ89" s="112" t="str">
        <f t="shared" si="450"/>
        <v>x</v>
      </c>
      <c r="EK89" s="112" t="str">
        <f t="shared" si="451"/>
        <v>x</v>
      </c>
      <c r="EL89" s="112" t="str">
        <f t="shared" si="452"/>
        <v>x</v>
      </c>
      <c r="EM89" s="112" t="str">
        <f t="shared" si="453"/>
        <v>x</v>
      </c>
      <c r="EN89" s="112" t="str">
        <f t="shared" si="454"/>
        <v>x</v>
      </c>
      <c r="EO89" s="117" t="str">
        <f t="shared" si="455"/>
        <v>x</v>
      </c>
      <c r="EP89" s="117" t="str">
        <f t="shared" si="456"/>
        <v>x</v>
      </c>
      <c r="EQ89" s="112" t="str">
        <f t="shared" si="457"/>
        <v>x</v>
      </c>
      <c r="ER89" s="111"/>
      <c r="ES89" s="111"/>
      <c r="ET89" s="112" t="str">
        <f t="shared" si="458"/>
        <v>x</v>
      </c>
      <c r="EU89" s="112" t="str">
        <f t="shared" si="459"/>
        <v>x</v>
      </c>
      <c r="EV89" s="112" t="str">
        <f t="shared" si="460"/>
        <v>x</v>
      </c>
      <c r="EW89" s="112" t="str">
        <f t="shared" si="461"/>
        <v>x</v>
      </c>
      <c r="EX89" s="112" t="str">
        <f t="shared" si="462"/>
        <v>x</v>
      </c>
      <c r="EY89" s="112" t="str">
        <f t="shared" si="463"/>
        <v>x</v>
      </c>
      <c r="EZ89" s="112"/>
      <c r="FA89" s="112" t="str">
        <f t="shared" si="464"/>
        <v>x</v>
      </c>
      <c r="FB89" s="112" t="str">
        <f t="shared" si="465"/>
        <v>x</v>
      </c>
      <c r="FC89" s="112" t="str">
        <f t="shared" si="466"/>
        <v>x</v>
      </c>
      <c r="FD89" s="112" t="str">
        <f t="shared" si="467"/>
        <v>x</v>
      </c>
      <c r="FE89" s="112" t="str">
        <f t="shared" si="468"/>
        <v>x</v>
      </c>
      <c r="FF89" s="112" t="str">
        <f t="shared" si="469"/>
        <v>x</v>
      </c>
      <c r="FG89" s="111"/>
      <c r="FH89" s="111"/>
      <c r="FI89" s="112" t="str">
        <f t="shared" si="470"/>
        <v>x</v>
      </c>
      <c r="FJ89" s="112" t="str">
        <f t="shared" si="471"/>
        <v>x</v>
      </c>
      <c r="FK89" s="112" t="str">
        <f t="shared" si="472"/>
        <v>x</v>
      </c>
      <c r="FL89" s="112"/>
      <c r="FM89" s="112" t="str">
        <f t="shared" si="473"/>
        <v>x</v>
      </c>
      <c r="FN89" s="112" t="str">
        <f t="shared" si="547"/>
        <v>x</v>
      </c>
      <c r="FO89" s="112" t="str">
        <f t="shared" si="474"/>
        <v>x</v>
      </c>
      <c r="FP89" s="112" t="str">
        <f t="shared" si="475"/>
        <v>x</v>
      </c>
      <c r="FQ89" s="112" t="str">
        <f t="shared" si="476"/>
        <v>x</v>
      </c>
      <c r="FR89" s="112" t="str">
        <f t="shared" si="477"/>
        <v>x</v>
      </c>
      <c r="FS89" s="112" t="str">
        <f t="shared" si="478"/>
        <v>x</v>
      </c>
      <c r="FT89" s="112" t="str">
        <f t="shared" si="479"/>
        <v>x</v>
      </c>
      <c r="FU89" s="112" t="str">
        <f t="shared" si="480"/>
        <v>x</v>
      </c>
      <c r="FV89" s="112" t="str">
        <f t="shared" si="481"/>
        <v>x</v>
      </c>
      <c r="FW89" s="111"/>
      <c r="FX89" s="112"/>
      <c r="FY89" s="112"/>
      <c r="FZ89" s="111"/>
      <c r="GA89" s="111"/>
      <c r="GB89" s="111"/>
      <c r="GC89" s="112" t="str">
        <f t="shared" si="482"/>
        <v>x</v>
      </c>
      <c r="GD89" s="111"/>
      <c r="GE89" s="111"/>
      <c r="GF89" s="111"/>
      <c r="GG89" s="112"/>
      <c r="GH89" s="111"/>
      <c r="GI89" s="111"/>
      <c r="GJ89" s="112" t="str">
        <f t="shared" si="483"/>
        <v>x</v>
      </c>
      <c r="GK89" s="111"/>
      <c r="GL89" s="112" t="str">
        <f t="shared" si="484"/>
        <v>x</v>
      </c>
      <c r="GM89" s="111"/>
      <c r="GN89" s="112" t="str">
        <f t="shared" si="485"/>
        <v>x</v>
      </c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2" t="str">
        <f t="shared" si="48"/>
        <v>x</v>
      </c>
      <c r="HC89" s="112" t="str">
        <f t="shared" si="486"/>
        <v>x</v>
      </c>
      <c r="HD89" s="112" t="str">
        <f t="shared" si="487"/>
        <v>x</v>
      </c>
      <c r="HE89" s="112" t="str">
        <f t="shared" si="488"/>
        <v>x</v>
      </c>
      <c r="HF89" s="112" t="str">
        <f t="shared" si="489"/>
        <v>x</v>
      </c>
      <c r="HG89" s="112"/>
      <c r="HH89" s="112" t="str">
        <f t="shared" si="548"/>
        <v>x</v>
      </c>
      <c r="HI89" s="112"/>
      <c r="HJ89" s="112" t="str">
        <f t="shared" si="490"/>
        <v>x</v>
      </c>
      <c r="HK89" s="111"/>
      <c r="HL89" s="112" t="str">
        <f t="shared" si="491"/>
        <v>x</v>
      </c>
      <c r="HM89" s="112" t="str">
        <f t="shared" si="492"/>
        <v>x</v>
      </c>
      <c r="HN89" s="112" t="str">
        <f t="shared" si="493"/>
        <v>x</v>
      </c>
      <c r="HO89" s="112" t="str">
        <f t="shared" si="494"/>
        <v>x</v>
      </c>
      <c r="HP89" s="112" t="str">
        <f t="shared" si="495"/>
        <v>x</v>
      </c>
      <c r="HQ89" s="112" t="str">
        <f t="shared" si="496"/>
        <v>x</v>
      </c>
      <c r="HR89" s="112" t="str">
        <f t="shared" si="497"/>
        <v>x</v>
      </c>
      <c r="HS89" s="112" t="str">
        <f t="shared" si="498"/>
        <v>x</v>
      </c>
      <c r="HT89" s="112"/>
      <c r="HU89" s="112" t="str">
        <f t="shared" si="499"/>
        <v>x</v>
      </c>
      <c r="HV89" s="112"/>
      <c r="HW89" s="112" t="str">
        <f t="shared" si="549"/>
        <v>x</v>
      </c>
      <c r="HX89" s="112" t="str">
        <f t="shared" si="500"/>
        <v>x</v>
      </c>
      <c r="HY89" s="112" t="str">
        <f t="shared" si="501"/>
        <v>x</v>
      </c>
      <c r="HZ89" s="112" t="str">
        <f t="shared" si="502"/>
        <v>x</v>
      </c>
      <c r="IA89" s="112"/>
      <c r="IB89" s="112"/>
      <c r="IC89" s="112" t="str">
        <f t="shared" si="550"/>
        <v>x</v>
      </c>
      <c r="ID89" s="112" t="str">
        <f t="shared" si="503"/>
        <v>x</v>
      </c>
      <c r="IE89" s="112"/>
      <c r="IF89" s="112"/>
      <c r="IG89" s="111"/>
      <c r="IH89" s="112" t="str">
        <f t="shared" si="504"/>
        <v>x</v>
      </c>
      <c r="II89" s="112" t="str">
        <f t="shared" si="505"/>
        <v>x</v>
      </c>
      <c r="IJ89" s="112" t="str">
        <f t="shared" si="506"/>
        <v>x</v>
      </c>
      <c r="IK89" s="115" t="str">
        <f t="shared" si="507"/>
        <v>x</v>
      </c>
      <c r="IL89" s="112" t="str">
        <f t="shared" si="508"/>
        <v>x</v>
      </c>
      <c r="IM89" s="112" t="str">
        <f t="shared" si="509"/>
        <v>x</v>
      </c>
      <c r="IN89" s="112"/>
      <c r="IO89" s="112"/>
      <c r="IP89" s="112" t="str">
        <f t="shared" si="510"/>
        <v>x</v>
      </c>
      <c r="IQ89" s="112" t="str">
        <f t="shared" si="511"/>
        <v>x</v>
      </c>
      <c r="IR89" s="111"/>
      <c r="IS89" s="112" t="str">
        <f t="shared" si="512"/>
        <v>x</v>
      </c>
      <c r="IT89" s="111"/>
      <c r="IU89" s="112" t="str">
        <f t="shared" si="513"/>
        <v>x</v>
      </c>
      <c r="IV89" s="112"/>
      <c r="IW89" s="112" t="str">
        <f t="shared" si="514"/>
        <v>x</v>
      </c>
      <c r="IX89" s="112" t="str">
        <f t="shared" si="515"/>
        <v>x</v>
      </c>
      <c r="IY89" s="111"/>
      <c r="IZ89" s="112" t="str">
        <f t="shared" si="516"/>
        <v>x</v>
      </c>
      <c r="JA89" s="111"/>
      <c r="JB89" s="112" t="str">
        <f t="shared" si="517"/>
        <v>x</v>
      </c>
      <c r="JC89" s="111"/>
      <c r="JD89" s="112"/>
      <c r="JE89" s="112"/>
      <c r="JF89" s="112" t="str">
        <f t="shared" si="518"/>
        <v>x</v>
      </c>
      <c r="JG89" s="112" t="str">
        <f t="shared" si="519"/>
        <v>x</v>
      </c>
      <c r="JH89" s="112" t="str">
        <f t="shared" si="520"/>
        <v>x</v>
      </c>
      <c r="JI89" s="112"/>
      <c r="JJ89" s="112" t="str">
        <f t="shared" si="521"/>
        <v>x</v>
      </c>
      <c r="JK89" s="112" t="str">
        <f t="shared" si="551"/>
        <v>x</v>
      </c>
      <c r="JL89" s="112" t="str">
        <f t="shared" si="522"/>
        <v>x</v>
      </c>
      <c r="JM89" s="112"/>
      <c r="JN89" s="112"/>
      <c r="JO89" s="112"/>
      <c r="JP89" s="112"/>
      <c r="JQ89" s="112" t="str">
        <f t="shared" si="523"/>
        <v>x</v>
      </c>
      <c r="JR89" s="112"/>
      <c r="JS89" s="112" t="str">
        <f t="shared" si="524"/>
        <v>x</v>
      </c>
      <c r="JT89" s="111"/>
      <c r="JU89" s="111"/>
      <c r="JV89" s="112"/>
      <c r="JW89" s="112" t="str">
        <f t="shared" si="525"/>
        <v>x</v>
      </c>
      <c r="JX89" s="112"/>
      <c r="JY89" s="112"/>
      <c r="JZ89" s="112"/>
      <c r="KA89" s="112" t="str">
        <f t="shared" si="526"/>
        <v>x</v>
      </c>
      <c r="KB89" s="112" t="str">
        <f t="shared" si="527"/>
        <v>x</v>
      </c>
      <c r="KC89" s="112" t="str">
        <f t="shared" si="528"/>
        <v>x</v>
      </c>
      <c r="KD89" s="112" t="str">
        <f t="shared" si="529"/>
        <v>x</v>
      </c>
      <c r="KE89" s="112" t="str">
        <f t="shared" si="530"/>
        <v>x</v>
      </c>
      <c r="KF89" s="112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1"/>
      <c r="LC89" s="112"/>
      <c r="LD89" s="112"/>
      <c r="LE89" s="112"/>
      <c r="LF89" s="112"/>
      <c r="LG89" s="112"/>
      <c r="LH89" s="112"/>
      <c r="LI89" s="112"/>
      <c r="LJ89" s="112"/>
      <c r="LK89" s="112"/>
      <c r="LL89" s="112"/>
      <c r="LM89" s="112"/>
      <c r="LN89" s="112"/>
      <c r="LO89" s="112"/>
      <c r="LP89" s="112"/>
      <c r="LQ89" s="112"/>
      <c r="LR89" s="112"/>
      <c r="LS89" s="112"/>
      <c r="LT89" s="112"/>
      <c r="LU89" s="112"/>
      <c r="LV89" s="112"/>
      <c r="LW89" s="112"/>
      <c r="LX89" s="112"/>
      <c r="LY89" s="112"/>
      <c r="LZ89" s="112"/>
      <c r="MA89" s="112"/>
      <c r="MB89" s="111"/>
      <c r="MC89" s="112" t="str">
        <f t="shared" si="531"/>
        <v>x</v>
      </c>
      <c r="MD89" s="112"/>
      <c r="ME89" s="112" t="str">
        <f t="shared" si="532"/>
        <v>x</v>
      </c>
      <c r="MF89" s="112" t="str">
        <f t="shared" si="533"/>
        <v>x</v>
      </c>
      <c r="MG89" s="112" t="str">
        <f t="shared" si="552"/>
        <v>x</v>
      </c>
      <c r="MH89" s="112" t="str">
        <f t="shared" si="534"/>
        <v>x</v>
      </c>
    </row>
    <row r="90" spans="1:346" x14ac:dyDescent="0.25">
      <c r="A90" s="110" t="s">
        <v>4</v>
      </c>
      <c r="B90" s="101" t="s">
        <v>88</v>
      </c>
      <c r="C90" s="102"/>
      <c r="D90" s="102"/>
      <c r="E90" s="102"/>
      <c r="F90" s="102"/>
      <c r="G90" s="102"/>
      <c r="H90" s="102"/>
      <c r="I90" s="102"/>
      <c r="J90" s="103"/>
      <c r="K90" s="111"/>
      <c r="L90" s="111"/>
      <c r="M90" s="112" t="str">
        <f t="shared" si="390"/>
        <v>x</v>
      </c>
      <c r="N90" s="112" t="str">
        <f t="shared" si="391"/>
        <v>x</v>
      </c>
      <c r="O90" s="112" t="str">
        <f t="shared" si="535"/>
        <v>x</v>
      </c>
      <c r="P90" s="112" t="str">
        <f t="shared" si="392"/>
        <v>x</v>
      </c>
      <c r="Q90" s="112" t="str">
        <f t="shared" si="393"/>
        <v>x</v>
      </c>
      <c r="R90" s="112"/>
      <c r="S90" s="112" t="str">
        <f t="shared" si="394"/>
        <v>x</v>
      </c>
      <c r="T90" s="112" t="str">
        <f t="shared" si="395"/>
        <v>x</v>
      </c>
      <c r="U90" s="112"/>
      <c r="V90" s="112"/>
      <c r="W90" s="112" t="str">
        <f t="shared" si="396"/>
        <v>x</v>
      </c>
      <c r="X90" s="112" t="str">
        <f t="shared" si="397"/>
        <v>x</v>
      </c>
      <c r="Y90" s="112"/>
      <c r="Z90" s="112"/>
      <c r="AA90" s="112"/>
      <c r="AB90" s="112" t="str">
        <f t="shared" si="398"/>
        <v>x</v>
      </c>
      <c r="AC90" s="112" t="str">
        <f t="shared" si="399"/>
        <v>x</v>
      </c>
      <c r="AD90" s="112" t="str">
        <f t="shared" si="400"/>
        <v>x</v>
      </c>
      <c r="AE90" s="112" t="str">
        <f t="shared" si="536"/>
        <v>x</v>
      </c>
      <c r="AF90" s="112" t="str">
        <f t="shared" si="401"/>
        <v>x</v>
      </c>
      <c r="AG90" s="112" t="str">
        <f t="shared" si="402"/>
        <v>x</v>
      </c>
      <c r="AH90" s="112" t="str">
        <f t="shared" si="403"/>
        <v>x</v>
      </c>
      <c r="AI90" s="112" t="str">
        <f t="shared" si="404"/>
        <v>x</v>
      </c>
      <c r="AJ90" s="112" t="str">
        <f t="shared" si="405"/>
        <v>x</v>
      </c>
      <c r="AK90" s="112" t="str">
        <f t="shared" si="406"/>
        <v>x</v>
      </c>
      <c r="AL90" s="112"/>
      <c r="AM90" s="112" t="str">
        <f t="shared" si="537"/>
        <v>x</v>
      </c>
      <c r="AN90" s="112"/>
      <c r="AO90" s="112"/>
      <c r="AP90" s="112"/>
      <c r="AQ90" s="112"/>
      <c r="AR90" s="112"/>
      <c r="AS90" s="112"/>
      <c r="AT90" s="112" t="str">
        <f t="shared" si="407"/>
        <v>x</v>
      </c>
      <c r="AU90" s="113"/>
      <c r="AV90" s="114" t="str">
        <f t="shared" si="408"/>
        <v>x</v>
      </c>
      <c r="AW90" s="114" t="str">
        <f t="shared" si="409"/>
        <v>x</v>
      </c>
      <c r="AX90" s="112" t="str">
        <f t="shared" si="410"/>
        <v>x</v>
      </c>
      <c r="AY90" s="111"/>
      <c r="AZ90" s="112" t="str">
        <f t="shared" si="411"/>
        <v>x</v>
      </c>
      <c r="BA90" s="112" t="str">
        <f t="shared" si="412"/>
        <v>x</v>
      </c>
      <c r="BB90" s="111"/>
      <c r="BC90" s="111"/>
      <c r="BD90" s="112" t="str">
        <f t="shared" si="413"/>
        <v>x</v>
      </c>
      <c r="BE90" s="112"/>
      <c r="BF90" s="111"/>
      <c r="BG90" s="112" t="str">
        <f t="shared" si="414"/>
        <v>x</v>
      </c>
      <c r="BH90" s="112" t="str">
        <f t="shared" si="538"/>
        <v>x</v>
      </c>
      <c r="BI90" s="112" t="str">
        <f t="shared" si="415"/>
        <v>x</v>
      </c>
      <c r="BJ90" s="111"/>
      <c r="BK90" s="112" t="str">
        <f t="shared" si="416"/>
        <v>x</v>
      </c>
      <c r="BL90" s="112" t="str">
        <f t="shared" si="417"/>
        <v>x</v>
      </c>
      <c r="BM90" s="112" t="str">
        <f t="shared" si="418"/>
        <v>x</v>
      </c>
      <c r="BN90" s="112" t="str">
        <f t="shared" si="419"/>
        <v>x</v>
      </c>
      <c r="BO90" s="111"/>
      <c r="BP90" s="111"/>
      <c r="BQ90" s="111"/>
      <c r="BR90" s="112" t="str">
        <f t="shared" si="420"/>
        <v>x</v>
      </c>
      <c r="BS90" s="112"/>
      <c r="BT90" s="111"/>
      <c r="BU90" s="112" t="str">
        <f t="shared" si="421"/>
        <v>x</v>
      </c>
      <c r="BV90" s="112" t="str">
        <f t="shared" si="422"/>
        <v>x</v>
      </c>
      <c r="BW90" s="112"/>
      <c r="BX90" s="112"/>
      <c r="BY90" s="112"/>
      <c r="BZ90" s="112" t="str">
        <f t="shared" si="423"/>
        <v>x</v>
      </c>
      <c r="CA90" s="112" t="str">
        <f t="shared" si="424"/>
        <v>x</v>
      </c>
      <c r="CB90" s="112" t="str">
        <f t="shared" si="425"/>
        <v>x</v>
      </c>
      <c r="CC90" s="112"/>
      <c r="CD90" s="112"/>
      <c r="CE90" s="111"/>
      <c r="CF90" s="112" t="str">
        <f t="shared" si="426"/>
        <v>x</v>
      </c>
      <c r="CG90" s="112" t="str">
        <f t="shared" si="539"/>
        <v>x</v>
      </c>
      <c r="CH90" s="112" t="str">
        <f t="shared" si="427"/>
        <v>x</v>
      </c>
      <c r="CI90" s="112" t="str">
        <f t="shared" si="428"/>
        <v>x</v>
      </c>
      <c r="CJ90" s="112" t="str">
        <f t="shared" si="429"/>
        <v>x</v>
      </c>
      <c r="CK90" s="112" t="str">
        <f t="shared" si="430"/>
        <v>x</v>
      </c>
      <c r="CL90" s="112" t="str">
        <f t="shared" si="431"/>
        <v>x</v>
      </c>
      <c r="CM90" s="112"/>
      <c r="CN90" s="112"/>
      <c r="CO90" s="112" t="str">
        <f t="shared" si="540"/>
        <v>x</v>
      </c>
      <c r="CP90" s="112"/>
      <c r="CQ90" s="112" t="str">
        <f t="shared" si="541"/>
        <v>x</v>
      </c>
      <c r="CR90" s="112" t="str">
        <f t="shared" si="432"/>
        <v>x</v>
      </c>
      <c r="CS90" s="112"/>
      <c r="CT90" s="112" t="str">
        <f t="shared" si="542"/>
        <v>x</v>
      </c>
      <c r="CU90" s="112" t="str">
        <f t="shared" si="433"/>
        <v>x</v>
      </c>
      <c r="CV90" s="112" t="str">
        <f t="shared" si="434"/>
        <v>x</v>
      </c>
      <c r="CW90" s="112" t="str">
        <f t="shared" si="435"/>
        <v>x</v>
      </c>
      <c r="CX90" s="112" t="str">
        <f t="shared" si="436"/>
        <v>x</v>
      </c>
      <c r="CY90" s="112" t="str">
        <f t="shared" si="543"/>
        <v>x</v>
      </c>
      <c r="CZ90" s="112"/>
      <c r="DA90" s="112"/>
      <c r="DB90" s="115" t="str">
        <f t="shared" si="437"/>
        <v>x</v>
      </c>
      <c r="DC90" s="112"/>
      <c r="DD90" s="112"/>
      <c r="DE90" s="112" t="str">
        <f t="shared" si="438"/>
        <v>x</v>
      </c>
      <c r="DF90" s="115" t="str">
        <f t="shared" si="439"/>
        <v>x</v>
      </c>
      <c r="DG90" s="112" t="str">
        <f t="shared" si="440"/>
        <v>x</v>
      </c>
      <c r="DH90" s="112" t="str">
        <f t="shared" si="441"/>
        <v>x</v>
      </c>
      <c r="DI90" s="112"/>
      <c r="DJ90" s="112"/>
      <c r="DK90" s="112"/>
      <c r="DL90" s="112"/>
      <c r="DM90" s="112"/>
      <c r="DN90" s="112" t="str">
        <f t="shared" si="442"/>
        <v>x</v>
      </c>
      <c r="DO90" s="111"/>
      <c r="DP90" s="111"/>
      <c r="DQ90" s="112" t="str">
        <f t="shared" si="443"/>
        <v>x</v>
      </c>
      <c r="DR90" s="112" t="str">
        <f t="shared" si="544"/>
        <v>x</v>
      </c>
      <c r="DS90" s="112" t="str">
        <f t="shared" si="545"/>
        <v>x</v>
      </c>
      <c r="DT90" s="112"/>
      <c r="DU90" s="112" t="str">
        <f t="shared" si="444"/>
        <v>x</v>
      </c>
      <c r="DV90" s="112"/>
      <c r="DW90" s="112" t="str">
        <f t="shared" si="546"/>
        <v>x</v>
      </c>
      <c r="DX90" s="112" t="str">
        <f t="shared" si="445"/>
        <v>x</v>
      </c>
      <c r="DY90" s="112" t="str">
        <f t="shared" si="446"/>
        <v>x</v>
      </c>
      <c r="DZ90" s="112" t="str">
        <f t="shared" si="447"/>
        <v>x</v>
      </c>
      <c r="EA90" s="112" t="str">
        <f t="shared" si="448"/>
        <v>x</v>
      </c>
      <c r="EB90" s="112" t="str">
        <f t="shared" si="449"/>
        <v>x</v>
      </c>
      <c r="EC90" s="111"/>
      <c r="ED90" s="111"/>
      <c r="EE90" s="111"/>
      <c r="EF90" s="111"/>
      <c r="EG90" s="111"/>
      <c r="EH90" s="111"/>
      <c r="EI90" s="112"/>
      <c r="EJ90" s="112" t="str">
        <f t="shared" si="450"/>
        <v>x</v>
      </c>
      <c r="EK90" s="112" t="str">
        <f t="shared" si="451"/>
        <v>x</v>
      </c>
      <c r="EL90" s="112" t="str">
        <f t="shared" si="452"/>
        <v>x</v>
      </c>
      <c r="EM90" s="112" t="str">
        <f t="shared" si="453"/>
        <v>x</v>
      </c>
      <c r="EN90" s="112" t="str">
        <f t="shared" si="454"/>
        <v>x</v>
      </c>
      <c r="EO90" s="117" t="str">
        <f t="shared" si="455"/>
        <v>x</v>
      </c>
      <c r="EP90" s="117" t="str">
        <f t="shared" si="456"/>
        <v>x</v>
      </c>
      <c r="EQ90" s="112" t="str">
        <f t="shared" si="457"/>
        <v>x</v>
      </c>
      <c r="ER90" s="111"/>
      <c r="ES90" s="111"/>
      <c r="ET90" s="112" t="str">
        <f t="shared" si="458"/>
        <v>x</v>
      </c>
      <c r="EU90" s="112" t="str">
        <f t="shared" si="459"/>
        <v>x</v>
      </c>
      <c r="EV90" s="112" t="str">
        <f t="shared" si="460"/>
        <v>x</v>
      </c>
      <c r="EW90" s="112" t="str">
        <f t="shared" si="461"/>
        <v>x</v>
      </c>
      <c r="EX90" s="112" t="str">
        <f t="shared" si="462"/>
        <v>x</v>
      </c>
      <c r="EY90" s="112" t="str">
        <f t="shared" si="463"/>
        <v>x</v>
      </c>
      <c r="EZ90" s="112"/>
      <c r="FA90" s="112" t="str">
        <f t="shared" si="464"/>
        <v>x</v>
      </c>
      <c r="FB90" s="112" t="str">
        <f t="shared" si="465"/>
        <v>x</v>
      </c>
      <c r="FC90" s="112" t="str">
        <f t="shared" si="466"/>
        <v>x</v>
      </c>
      <c r="FD90" s="112" t="str">
        <f t="shared" si="467"/>
        <v>x</v>
      </c>
      <c r="FE90" s="112" t="str">
        <f t="shared" si="468"/>
        <v>x</v>
      </c>
      <c r="FF90" s="112" t="str">
        <f t="shared" si="469"/>
        <v>x</v>
      </c>
      <c r="FG90" s="111"/>
      <c r="FH90" s="111"/>
      <c r="FI90" s="112" t="str">
        <f t="shared" si="470"/>
        <v>x</v>
      </c>
      <c r="FJ90" s="112" t="str">
        <f t="shared" si="471"/>
        <v>x</v>
      </c>
      <c r="FK90" s="112" t="str">
        <f t="shared" si="472"/>
        <v>x</v>
      </c>
      <c r="FL90" s="112"/>
      <c r="FM90" s="112" t="str">
        <f t="shared" si="473"/>
        <v>x</v>
      </c>
      <c r="FN90" s="112" t="str">
        <f t="shared" si="547"/>
        <v>x</v>
      </c>
      <c r="FO90" s="112" t="str">
        <f t="shared" si="474"/>
        <v>x</v>
      </c>
      <c r="FP90" s="112" t="str">
        <f t="shared" si="475"/>
        <v>x</v>
      </c>
      <c r="FQ90" s="112" t="str">
        <f t="shared" si="476"/>
        <v>x</v>
      </c>
      <c r="FR90" s="112" t="str">
        <f t="shared" si="477"/>
        <v>x</v>
      </c>
      <c r="FS90" s="112" t="str">
        <f t="shared" si="478"/>
        <v>x</v>
      </c>
      <c r="FT90" s="112" t="str">
        <f t="shared" si="479"/>
        <v>x</v>
      </c>
      <c r="FU90" s="112" t="str">
        <f t="shared" si="480"/>
        <v>x</v>
      </c>
      <c r="FV90" s="112" t="str">
        <f t="shared" si="481"/>
        <v>x</v>
      </c>
      <c r="FW90" s="111"/>
      <c r="FX90" s="112"/>
      <c r="FY90" s="112"/>
      <c r="FZ90" s="111"/>
      <c r="GA90" s="111"/>
      <c r="GB90" s="111"/>
      <c r="GC90" s="112" t="str">
        <f t="shared" si="482"/>
        <v>x</v>
      </c>
      <c r="GD90" s="111"/>
      <c r="GE90" s="111"/>
      <c r="GF90" s="111"/>
      <c r="GG90" s="112"/>
      <c r="GH90" s="111"/>
      <c r="GI90" s="111"/>
      <c r="GJ90" s="112" t="str">
        <f t="shared" si="483"/>
        <v>x</v>
      </c>
      <c r="GK90" s="111"/>
      <c r="GL90" s="112" t="str">
        <f t="shared" si="484"/>
        <v>x</v>
      </c>
      <c r="GM90" s="111"/>
      <c r="GN90" s="112" t="str">
        <f t="shared" si="485"/>
        <v>x</v>
      </c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2" t="str">
        <f t="shared" si="48"/>
        <v>x</v>
      </c>
      <c r="HC90" s="112" t="str">
        <f t="shared" si="486"/>
        <v>x</v>
      </c>
      <c r="HD90" s="112" t="str">
        <f t="shared" si="487"/>
        <v>x</v>
      </c>
      <c r="HE90" s="112" t="str">
        <f t="shared" si="488"/>
        <v>x</v>
      </c>
      <c r="HF90" s="112" t="str">
        <f t="shared" si="489"/>
        <v>x</v>
      </c>
      <c r="HG90" s="112"/>
      <c r="HH90" s="112" t="str">
        <f t="shared" si="548"/>
        <v>x</v>
      </c>
      <c r="HI90" s="112"/>
      <c r="HJ90" s="112" t="str">
        <f t="shared" si="490"/>
        <v>x</v>
      </c>
      <c r="HK90" s="111"/>
      <c r="HL90" s="112" t="str">
        <f t="shared" si="491"/>
        <v>x</v>
      </c>
      <c r="HM90" s="112" t="str">
        <f t="shared" si="492"/>
        <v>x</v>
      </c>
      <c r="HN90" s="112" t="str">
        <f t="shared" si="493"/>
        <v>x</v>
      </c>
      <c r="HO90" s="112" t="str">
        <f t="shared" si="494"/>
        <v>x</v>
      </c>
      <c r="HP90" s="112" t="str">
        <f t="shared" si="495"/>
        <v>x</v>
      </c>
      <c r="HQ90" s="112" t="str">
        <f t="shared" si="496"/>
        <v>x</v>
      </c>
      <c r="HR90" s="112" t="str">
        <f t="shared" si="497"/>
        <v>x</v>
      </c>
      <c r="HS90" s="112" t="str">
        <f t="shared" si="498"/>
        <v>x</v>
      </c>
      <c r="HT90" s="112"/>
      <c r="HU90" s="112" t="str">
        <f t="shared" si="499"/>
        <v>x</v>
      </c>
      <c r="HV90" s="112"/>
      <c r="HW90" s="112" t="str">
        <f t="shared" si="549"/>
        <v>x</v>
      </c>
      <c r="HX90" s="112" t="str">
        <f t="shared" si="500"/>
        <v>x</v>
      </c>
      <c r="HY90" s="112" t="str">
        <f t="shared" si="501"/>
        <v>x</v>
      </c>
      <c r="HZ90" s="112" t="str">
        <f t="shared" si="502"/>
        <v>x</v>
      </c>
      <c r="IA90" s="112"/>
      <c r="IB90" s="112"/>
      <c r="IC90" s="112" t="str">
        <f t="shared" si="550"/>
        <v>x</v>
      </c>
      <c r="ID90" s="112" t="str">
        <f t="shared" si="503"/>
        <v>x</v>
      </c>
      <c r="IE90" s="112"/>
      <c r="IF90" s="112"/>
      <c r="IG90" s="111"/>
      <c r="IH90" s="112" t="str">
        <f t="shared" si="504"/>
        <v>x</v>
      </c>
      <c r="II90" s="112" t="str">
        <f t="shared" si="505"/>
        <v>x</v>
      </c>
      <c r="IJ90" s="112" t="str">
        <f t="shared" si="506"/>
        <v>x</v>
      </c>
      <c r="IK90" s="115" t="str">
        <f t="shared" si="507"/>
        <v>x</v>
      </c>
      <c r="IL90" s="112" t="str">
        <f t="shared" si="508"/>
        <v>x</v>
      </c>
      <c r="IM90" s="112" t="str">
        <f t="shared" si="509"/>
        <v>x</v>
      </c>
      <c r="IN90" s="112"/>
      <c r="IO90" s="112"/>
      <c r="IP90" s="112" t="str">
        <f t="shared" si="510"/>
        <v>x</v>
      </c>
      <c r="IQ90" s="112" t="str">
        <f t="shared" si="511"/>
        <v>x</v>
      </c>
      <c r="IR90" s="111"/>
      <c r="IS90" s="112" t="str">
        <f t="shared" si="512"/>
        <v>x</v>
      </c>
      <c r="IT90" s="111"/>
      <c r="IU90" s="112" t="str">
        <f t="shared" si="513"/>
        <v>x</v>
      </c>
      <c r="IV90" s="112"/>
      <c r="IW90" s="112" t="str">
        <f t="shared" si="514"/>
        <v>x</v>
      </c>
      <c r="IX90" s="112" t="str">
        <f t="shared" si="515"/>
        <v>x</v>
      </c>
      <c r="IY90" s="111"/>
      <c r="IZ90" s="112" t="str">
        <f t="shared" si="516"/>
        <v>x</v>
      </c>
      <c r="JA90" s="111"/>
      <c r="JB90" s="112" t="str">
        <f t="shared" si="517"/>
        <v>x</v>
      </c>
      <c r="JC90" s="111"/>
      <c r="JD90" s="112"/>
      <c r="JE90" s="112"/>
      <c r="JF90" s="112" t="str">
        <f t="shared" si="518"/>
        <v>x</v>
      </c>
      <c r="JG90" s="112" t="str">
        <f t="shared" si="519"/>
        <v>x</v>
      </c>
      <c r="JH90" s="112" t="str">
        <f t="shared" si="520"/>
        <v>x</v>
      </c>
      <c r="JI90" s="112"/>
      <c r="JJ90" s="112" t="str">
        <f t="shared" si="521"/>
        <v>x</v>
      </c>
      <c r="JK90" s="112" t="str">
        <f t="shared" si="551"/>
        <v>x</v>
      </c>
      <c r="JL90" s="112" t="str">
        <f t="shared" si="522"/>
        <v>x</v>
      </c>
      <c r="JM90" s="112"/>
      <c r="JN90" s="112"/>
      <c r="JO90" s="112"/>
      <c r="JP90" s="112"/>
      <c r="JQ90" s="112" t="str">
        <f t="shared" si="523"/>
        <v>x</v>
      </c>
      <c r="JR90" s="112"/>
      <c r="JS90" s="112" t="str">
        <f t="shared" si="524"/>
        <v>x</v>
      </c>
      <c r="JT90" s="111"/>
      <c r="JU90" s="111"/>
      <c r="JV90" s="112"/>
      <c r="JW90" s="112" t="str">
        <f t="shared" si="525"/>
        <v>x</v>
      </c>
      <c r="JX90" s="112"/>
      <c r="JY90" s="112"/>
      <c r="JZ90" s="112"/>
      <c r="KA90" s="112" t="str">
        <f t="shared" si="526"/>
        <v>x</v>
      </c>
      <c r="KB90" s="112" t="str">
        <f t="shared" si="527"/>
        <v>x</v>
      </c>
      <c r="KC90" s="112" t="str">
        <f t="shared" si="528"/>
        <v>x</v>
      </c>
      <c r="KD90" s="112" t="str">
        <f t="shared" si="529"/>
        <v>x</v>
      </c>
      <c r="KE90" s="112" t="str">
        <f t="shared" si="530"/>
        <v>x</v>
      </c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1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1"/>
      <c r="MC90" s="112" t="str">
        <f t="shared" si="531"/>
        <v>x</v>
      </c>
      <c r="MD90" s="112"/>
      <c r="ME90" s="112" t="str">
        <f t="shared" si="532"/>
        <v>x</v>
      </c>
      <c r="MF90" s="112" t="str">
        <f t="shared" si="533"/>
        <v>x</v>
      </c>
      <c r="MG90" s="112" t="str">
        <f t="shared" si="552"/>
        <v>x</v>
      </c>
      <c r="MH90" s="112" t="str">
        <f t="shared" si="534"/>
        <v>x</v>
      </c>
    </row>
    <row r="91" spans="1:346" x14ac:dyDescent="0.25">
      <c r="A91" s="110" t="s">
        <v>4</v>
      </c>
      <c r="B91" s="101" t="s">
        <v>385</v>
      </c>
      <c r="C91" s="102"/>
      <c r="D91" s="102"/>
      <c r="E91" s="102"/>
      <c r="F91" s="102"/>
      <c r="G91" s="102"/>
      <c r="H91" s="102"/>
      <c r="I91" s="102"/>
      <c r="J91" s="103"/>
      <c r="K91" s="111"/>
      <c r="L91" s="111"/>
      <c r="M91" s="112" t="str">
        <f t="shared" si="390"/>
        <v>x</v>
      </c>
      <c r="N91" s="112" t="str">
        <f t="shared" si="391"/>
        <v>x</v>
      </c>
      <c r="O91" s="112" t="str">
        <f t="shared" si="535"/>
        <v>x</v>
      </c>
      <c r="P91" s="112" t="str">
        <f t="shared" si="392"/>
        <v>x</v>
      </c>
      <c r="Q91" s="112" t="str">
        <f t="shared" si="393"/>
        <v>x</v>
      </c>
      <c r="R91" s="112"/>
      <c r="S91" s="112" t="str">
        <f t="shared" si="394"/>
        <v>x</v>
      </c>
      <c r="T91" s="112" t="str">
        <f t="shared" si="395"/>
        <v>x</v>
      </c>
      <c r="U91" s="112"/>
      <c r="V91" s="112"/>
      <c r="W91" s="112" t="str">
        <f t="shared" si="396"/>
        <v>x</v>
      </c>
      <c r="X91" s="112" t="str">
        <f t="shared" si="397"/>
        <v>x</v>
      </c>
      <c r="Y91" s="112"/>
      <c r="Z91" s="112"/>
      <c r="AA91" s="112"/>
      <c r="AB91" s="112" t="str">
        <f t="shared" si="398"/>
        <v>x</v>
      </c>
      <c r="AC91" s="112" t="str">
        <f t="shared" si="399"/>
        <v>x</v>
      </c>
      <c r="AD91" s="112" t="str">
        <f t="shared" si="400"/>
        <v>x</v>
      </c>
      <c r="AE91" s="112" t="str">
        <f t="shared" si="536"/>
        <v>x</v>
      </c>
      <c r="AF91" s="112" t="str">
        <f t="shared" si="401"/>
        <v>x</v>
      </c>
      <c r="AG91" s="112" t="str">
        <f t="shared" si="402"/>
        <v>x</v>
      </c>
      <c r="AH91" s="112" t="str">
        <f t="shared" si="403"/>
        <v>x</v>
      </c>
      <c r="AI91" s="112" t="str">
        <f t="shared" si="404"/>
        <v>x</v>
      </c>
      <c r="AJ91" s="112" t="str">
        <f t="shared" si="405"/>
        <v>x</v>
      </c>
      <c r="AK91" s="112" t="str">
        <f t="shared" si="406"/>
        <v>x</v>
      </c>
      <c r="AL91" s="112"/>
      <c r="AM91" s="112" t="str">
        <f t="shared" si="537"/>
        <v>x</v>
      </c>
      <c r="AN91" s="112"/>
      <c r="AO91" s="112"/>
      <c r="AP91" s="112"/>
      <c r="AQ91" s="112"/>
      <c r="AR91" s="112"/>
      <c r="AS91" s="112"/>
      <c r="AT91" s="112" t="str">
        <f t="shared" si="407"/>
        <v>x</v>
      </c>
      <c r="AU91" s="113"/>
      <c r="AV91" s="114" t="str">
        <f t="shared" si="408"/>
        <v>x</v>
      </c>
      <c r="AW91" s="114" t="str">
        <f t="shared" si="409"/>
        <v>x</v>
      </c>
      <c r="AX91" s="112" t="str">
        <f t="shared" si="410"/>
        <v>x</v>
      </c>
      <c r="AY91" s="111"/>
      <c r="AZ91" s="112" t="str">
        <f t="shared" si="411"/>
        <v>x</v>
      </c>
      <c r="BA91" s="112" t="str">
        <f t="shared" si="412"/>
        <v>x</v>
      </c>
      <c r="BB91" s="111"/>
      <c r="BC91" s="111"/>
      <c r="BD91" s="112" t="str">
        <f t="shared" si="413"/>
        <v>x</v>
      </c>
      <c r="BE91" s="112"/>
      <c r="BF91" s="111"/>
      <c r="BG91" s="112" t="str">
        <f t="shared" si="414"/>
        <v>x</v>
      </c>
      <c r="BH91" s="112" t="str">
        <f t="shared" si="538"/>
        <v>x</v>
      </c>
      <c r="BI91" s="112" t="str">
        <f t="shared" si="415"/>
        <v>x</v>
      </c>
      <c r="BJ91" s="111"/>
      <c r="BK91" s="112" t="str">
        <f t="shared" si="416"/>
        <v>x</v>
      </c>
      <c r="BL91" s="112" t="str">
        <f t="shared" si="417"/>
        <v>x</v>
      </c>
      <c r="BM91" s="112" t="str">
        <f t="shared" si="418"/>
        <v>x</v>
      </c>
      <c r="BN91" s="112" t="str">
        <f t="shared" si="419"/>
        <v>x</v>
      </c>
      <c r="BO91" s="111"/>
      <c r="BP91" s="111"/>
      <c r="BQ91" s="111"/>
      <c r="BR91" s="112" t="str">
        <f t="shared" si="420"/>
        <v>x</v>
      </c>
      <c r="BS91" s="112"/>
      <c r="BT91" s="111"/>
      <c r="BU91" s="112" t="str">
        <f t="shared" si="421"/>
        <v>x</v>
      </c>
      <c r="BV91" s="112" t="str">
        <f t="shared" si="422"/>
        <v>x</v>
      </c>
      <c r="BW91" s="112"/>
      <c r="BX91" s="112"/>
      <c r="BY91" s="112"/>
      <c r="BZ91" s="112" t="str">
        <f t="shared" si="423"/>
        <v>x</v>
      </c>
      <c r="CA91" s="112" t="str">
        <f t="shared" si="424"/>
        <v>x</v>
      </c>
      <c r="CB91" s="112" t="str">
        <f t="shared" si="425"/>
        <v>x</v>
      </c>
      <c r="CC91" s="112"/>
      <c r="CD91" s="112"/>
      <c r="CE91" s="111"/>
      <c r="CF91" s="112" t="str">
        <f t="shared" si="426"/>
        <v>x</v>
      </c>
      <c r="CG91" s="112" t="str">
        <f t="shared" si="539"/>
        <v>x</v>
      </c>
      <c r="CH91" s="112" t="str">
        <f t="shared" si="427"/>
        <v>x</v>
      </c>
      <c r="CI91" s="112" t="str">
        <f t="shared" si="428"/>
        <v>x</v>
      </c>
      <c r="CJ91" s="112" t="str">
        <f t="shared" si="429"/>
        <v>x</v>
      </c>
      <c r="CK91" s="112" t="str">
        <f t="shared" si="430"/>
        <v>x</v>
      </c>
      <c r="CL91" s="112" t="str">
        <f t="shared" si="431"/>
        <v>x</v>
      </c>
      <c r="CM91" s="112"/>
      <c r="CN91" s="112"/>
      <c r="CO91" s="112" t="str">
        <f t="shared" si="540"/>
        <v>x</v>
      </c>
      <c r="CP91" s="112"/>
      <c r="CQ91" s="112" t="str">
        <f t="shared" si="541"/>
        <v>x</v>
      </c>
      <c r="CR91" s="112" t="str">
        <f t="shared" si="432"/>
        <v>x</v>
      </c>
      <c r="CS91" s="112"/>
      <c r="CT91" s="112" t="str">
        <f t="shared" si="542"/>
        <v>x</v>
      </c>
      <c r="CU91" s="112" t="str">
        <f t="shared" si="433"/>
        <v>x</v>
      </c>
      <c r="CV91" s="112" t="str">
        <f t="shared" si="434"/>
        <v>x</v>
      </c>
      <c r="CW91" s="112" t="str">
        <f t="shared" si="435"/>
        <v>x</v>
      </c>
      <c r="CX91" s="112" t="str">
        <f t="shared" si="436"/>
        <v>x</v>
      </c>
      <c r="CY91" s="112" t="str">
        <f t="shared" si="543"/>
        <v>x</v>
      </c>
      <c r="CZ91" s="112"/>
      <c r="DA91" s="112"/>
      <c r="DB91" s="115" t="str">
        <f t="shared" si="437"/>
        <v>x</v>
      </c>
      <c r="DC91" s="112"/>
      <c r="DD91" s="112"/>
      <c r="DE91" s="112" t="str">
        <f t="shared" si="438"/>
        <v>x</v>
      </c>
      <c r="DF91" s="115" t="str">
        <f t="shared" si="439"/>
        <v>x</v>
      </c>
      <c r="DG91" s="112" t="str">
        <f t="shared" si="440"/>
        <v>x</v>
      </c>
      <c r="DH91" s="112" t="str">
        <f t="shared" si="441"/>
        <v>x</v>
      </c>
      <c r="DI91" s="112"/>
      <c r="DJ91" s="112"/>
      <c r="DK91" s="112"/>
      <c r="DL91" s="112"/>
      <c r="DM91" s="112"/>
      <c r="DN91" s="112" t="str">
        <f t="shared" si="442"/>
        <v>x</v>
      </c>
      <c r="DO91" s="111"/>
      <c r="DP91" s="111"/>
      <c r="DQ91" s="112" t="str">
        <f t="shared" si="443"/>
        <v>x</v>
      </c>
      <c r="DR91" s="112" t="str">
        <f t="shared" si="544"/>
        <v>x</v>
      </c>
      <c r="DS91" s="112" t="str">
        <f t="shared" si="545"/>
        <v>x</v>
      </c>
      <c r="DT91" s="112"/>
      <c r="DU91" s="112" t="str">
        <f t="shared" si="444"/>
        <v>x</v>
      </c>
      <c r="DV91" s="112"/>
      <c r="DW91" s="112" t="str">
        <f t="shared" si="546"/>
        <v>x</v>
      </c>
      <c r="DX91" s="112" t="str">
        <f t="shared" si="445"/>
        <v>x</v>
      </c>
      <c r="DY91" s="112" t="str">
        <f t="shared" si="446"/>
        <v>x</v>
      </c>
      <c r="DZ91" s="112" t="str">
        <f t="shared" si="447"/>
        <v>x</v>
      </c>
      <c r="EA91" s="112" t="str">
        <f t="shared" si="448"/>
        <v>x</v>
      </c>
      <c r="EB91" s="112" t="str">
        <f t="shared" si="449"/>
        <v>x</v>
      </c>
      <c r="EC91" s="111"/>
      <c r="ED91" s="111"/>
      <c r="EE91" s="111"/>
      <c r="EF91" s="111"/>
      <c r="EG91" s="111"/>
      <c r="EH91" s="111"/>
      <c r="EI91" s="112"/>
      <c r="EJ91" s="112" t="str">
        <f t="shared" si="450"/>
        <v>x</v>
      </c>
      <c r="EK91" s="112" t="str">
        <f t="shared" si="451"/>
        <v>x</v>
      </c>
      <c r="EL91" s="112" t="str">
        <f t="shared" si="452"/>
        <v>x</v>
      </c>
      <c r="EM91" s="112" t="str">
        <f t="shared" si="453"/>
        <v>x</v>
      </c>
      <c r="EN91" s="112" t="str">
        <f t="shared" si="454"/>
        <v>x</v>
      </c>
      <c r="EO91" s="117" t="str">
        <f t="shared" si="455"/>
        <v>x</v>
      </c>
      <c r="EP91" s="117" t="str">
        <f t="shared" si="456"/>
        <v>x</v>
      </c>
      <c r="EQ91" s="112" t="str">
        <f t="shared" si="457"/>
        <v>x</v>
      </c>
      <c r="ER91" s="111"/>
      <c r="ES91" s="111"/>
      <c r="ET91" s="112" t="str">
        <f t="shared" si="458"/>
        <v>x</v>
      </c>
      <c r="EU91" s="112" t="str">
        <f t="shared" si="459"/>
        <v>x</v>
      </c>
      <c r="EV91" s="112" t="str">
        <f t="shared" si="460"/>
        <v>x</v>
      </c>
      <c r="EW91" s="112" t="str">
        <f t="shared" si="461"/>
        <v>x</v>
      </c>
      <c r="EX91" s="112" t="str">
        <f t="shared" si="462"/>
        <v>x</v>
      </c>
      <c r="EY91" s="112" t="str">
        <f t="shared" si="463"/>
        <v>x</v>
      </c>
      <c r="EZ91" s="112"/>
      <c r="FA91" s="112" t="str">
        <f t="shared" si="464"/>
        <v>x</v>
      </c>
      <c r="FB91" s="112" t="str">
        <f t="shared" si="465"/>
        <v>x</v>
      </c>
      <c r="FC91" s="112" t="str">
        <f t="shared" si="466"/>
        <v>x</v>
      </c>
      <c r="FD91" s="112" t="str">
        <f t="shared" si="467"/>
        <v>x</v>
      </c>
      <c r="FE91" s="112" t="str">
        <f t="shared" si="468"/>
        <v>x</v>
      </c>
      <c r="FF91" s="112" t="str">
        <f t="shared" si="469"/>
        <v>x</v>
      </c>
      <c r="FG91" s="111"/>
      <c r="FH91" s="111"/>
      <c r="FI91" s="112" t="str">
        <f t="shared" si="470"/>
        <v>x</v>
      </c>
      <c r="FJ91" s="112" t="str">
        <f t="shared" si="471"/>
        <v>x</v>
      </c>
      <c r="FK91" s="112" t="str">
        <f t="shared" si="472"/>
        <v>x</v>
      </c>
      <c r="FL91" s="112"/>
      <c r="FM91" s="112" t="str">
        <f t="shared" si="473"/>
        <v>x</v>
      </c>
      <c r="FN91" s="112" t="str">
        <f t="shared" si="547"/>
        <v>x</v>
      </c>
      <c r="FO91" s="112" t="str">
        <f t="shared" si="474"/>
        <v>x</v>
      </c>
      <c r="FP91" s="112" t="str">
        <f t="shared" si="475"/>
        <v>x</v>
      </c>
      <c r="FQ91" s="112" t="str">
        <f t="shared" si="476"/>
        <v>x</v>
      </c>
      <c r="FR91" s="112" t="str">
        <f t="shared" si="477"/>
        <v>x</v>
      </c>
      <c r="FS91" s="112" t="str">
        <f t="shared" si="478"/>
        <v>x</v>
      </c>
      <c r="FT91" s="112" t="str">
        <f t="shared" si="479"/>
        <v>x</v>
      </c>
      <c r="FU91" s="112" t="str">
        <f t="shared" si="480"/>
        <v>x</v>
      </c>
      <c r="FV91" s="112" t="str">
        <f t="shared" si="481"/>
        <v>x</v>
      </c>
      <c r="FW91" s="111"/>
      <c r="FX91" s="112"/>
      <c r="FY91" s="112"/>
      <c r="FZ91" s="111"/>
      <c r="GA91" s="111"/>
      <c r="GB91" s="111"/>
      <c r="GC91" s="112" t="str">
        <f t="shared" si="482"/>
        <v>x</v>
      </c>
      <c r="GD91" s="111"/>
      <c r="GE91" s="111"/>
      <c r="GF91" s="111"/>
      <c r="GG91" s="112"/>
      <c r="GH91" s="111"/>
      <c r="GI91" s="111"/>
      <c r="GJ91" s="112" t="str">
        <f t="shared" si="483"/>
        <v>x</v>
      </c>
      <c r="GK91" s="111"/>
      <c r="GL91" s="112" t="str">
        <f t="shared" si="484"/>
        <v>x</v>
      </c>
      <c r="GM91" s="111"/>
      <c r="GN91" s="112" t="str">
        <f t="shared" si="485"/>
        <v>x</v>
      </c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2" t="str">
        <f t="shared" si="48"/>
        <v>x</v>
      </c>
      <c r="HC91" s="112" t="str">
        <f t="shared" si="486"/>
        <v>x</v>
      </c>
      <c r="HD91" s="112" t="str">
        <f t="shared" si="487"/>
        <v>x</v>
      </c>
      <c r="HE91" s="112" t="str">
        <f t="shared" si="488"/>
        <v>x</v>
      </c>
      <c r="HF91" s="112" t="str">
        <f t="shared" si="489"/>
        <v>x</v>
      </c>
      <c r="HG91" s="112"/>
      <c r="HH91" s="112" t="str">
        <f t="shared" si="548"/>
        <v>x</v>
      </c>
      <c r="HI91" s="112"/>
      <c r="HJ91" s="112" t="str">
        <f t="shared" si="490"/>
        <v>x</v>
      </c>
      <c r="HK91" s="111"/>
      <c r="HL91" s="112" t="str">
        <f t="shared" si="491"/>
        <v>x</v>
      </c>
      <c r="HM91" s="112" t="str">
        <f t="shared" si="492"/>
        <v>x</v>
      </c>
      <c r="HN91" s="112" t="str">
        <f t="shared" si="493"/>
        <v>x</v>
      </c>
      <c r="HO91" s="112" t="str">
        <f t="shared" si="494"/>
        <v>x</v>
      </c>
      <c r="HP91" s="112" t="str">
        <f t="shared" si="495"/>
        <v>x</v>
      </c>
      <c r="HQ91" s="112" t="str">
        <f t="shared" si="496"/>
        <v>x</v>
      </c>
      <c r="HR91" s="112" t="str">
        <f t="shared" si="497"/>
        <v>x</v>
      </c>
      <c r="HS91" s="112" t="str">
        <f t="shared" si="498"/>
        <v>x</v>
      </c>
      <c r="HT91" s="112"/>
      <c r="HU91" s="112" t="str">
        <f t="shared" si="499"/>
        <v>x</v>
      </c>
      <c r="HV91" s="112"/>
      <c r="HW91" s="112" t="str">
        <f t="shared" si="549"/>
        <v>x</v>
      </c>
      <c r="HX91" s="112" t="str">
        <f t="shared" si="500"/>
        <v>x</v>
      </c>
      <c r="HY91" s="112" t="str">
        <f t="shared" si="501"/>
        <v>x</v>
      </c>
      <c r="HZ91" s="112" t="str">
        <f t="shared" si="502"/>
        <v>x</v>
      </c>
      <c r="IA91" s="112"/>
      <c r="IB91" s="112"/>
      <c r="IC91" s="112" t="str">
        <f t="shared" si="550"/>
        <v>x</v>
      </c>
      <c r="ID91" s="112" t="str">
        <f t="shared" si="503"/>
        <v>x</v>
      </c>
      <c r="IE91" s="112"/>
      <c r="IF91" s="112"/>
      <c r="IG91" s="111"/>
      <c r="IH91" s="112" t="str">
        <f t="shared" si="504"/>
        <v>x</v>
      </c>
      <c r="II91" s="112" t="str">
        <f t="shared" si="505"/>
        <v>x</v>
      </c>
      <c r="IJ91" s="112" t="str">
        <f t="shared" si="506"/>
        <v>x</v>
      </c>
      <c r="IK91" s="115" t="str">
        <f t="shared" si="507"/>
        <v>x</v>
      </c>
      <c r="IL91" s="112" t="str">
        <f t="shared" si="508"/>
        <v>x</v>
      </c>
      <c r="IM91" s="112" t="str">
        <f t="shared" si="509"/>
        <v>x</v>
      </c>
      <c r="IN91" s="112"/>
      <c r="IO91" s="112"/>
      <c r="IP91" s="112" t="str">
        <f t="shared" si="510"/>
        <v>x</v>
      </c>
      <c r="IQ91" s="112" t="str">
        <f t="shared" si="511"/>
        <v>x</v>
      </c>
      <c r="IR91" s="111"/>
      <c r="IS91" s="112" t="str">
        <f t="shared" si="512"/>
        <v>x</v>
      </c>
      <c r="IT91" s="111"/>
      <c r="IU91" s="112" t="str">
        <f t="shared" si="513"/>
        <v>x</v>
      </c>
      <c r="IV91" s="112"/>
      <c r="IW91" s="112" t="str">
        <f t="shared" si="514"/>
        <v>x</v>
      </c>
      <c r="IX91" s="112" t="str">
        <f t="shared" si="515"/>
        <v>x</v>
      </c>
      <c r="IY91" s="111"/>
      <c r="IZ91" s="112" t="str">
        <f t="shared" si="516"/>
        <v>x</v>
      </c>
      <c r="JA91" s="111"/>
      <c r="JB91" s="112" t="str">
        <f t="shared" si="517"/>
        <v>x</v>
      </c>
      <c r="JC91" s="111"/>
      <c r="JD91" s="112"/>
      <c r="JE91" s="112"/>
      <c r="JF91" s="112" t="str">
        <f t="shared" si="518"/>
        <v>x</v>
      </c>
      <c r="JG91" s="112" t="str">
        <f t="shared" si="519"/>
        <v>x</v>
      </c>
      <c r="JH91" s="112" t="str">
        <f t="shared" si="520"/>
        <v>x</v>
      </c>
      <c r="JI91" s="112"/>
      <c r="JJ91" s="112" t="str">
        <f t="shared" si="521"/>
        <v>x</v>
      </c>
      <c r="JK91" s="112" t="str">
        <f t="shared" si="551"/>
        <v>x</v>
      </c>
      <c r="JL91" s="112" t="str">
        <f t="shared" si="522"/>
        <v>x</v>
      </c>
      <c r="JM91" s="112"/>
      <c r="JN91" s="112"/>
      <c r="JO91" s="112"/>
      <c r="JP91" s="112"/>
      <c r="JQ91" s="112" t="str">
        <f t="shared" si="523"/>
        <v>x</v>
      </c>
      <c r="JR91" s="112"/>
      <c r="JS91" s="112" t="str">
        <f t="shared" si="524"/>
        <v>x</v>
      </c>
      <c r="JT91" s="111"/>
      <c r="JU91" s="111"/>
      <c r="JV91" s="112"/>
      <c r="JW91" s="112" t="str">
        <f t="shared" si="525"/>
        <v>x</v>
      </c>
      <c r="JX91" s="112"/>
      <c r="JY91" s="112"/>
      <c r="JZ91" s="112"/>
      <c r="KA91" s="112" t="str">
        <f t="shared" si="526"/>
        <v>x</v>
      </c>
      <c r="KB91" s="112" t="str">
        <f t="shared" si="527"/>
        <v>x</v>
      </c>
      <c r="KC91" s="112" t="str">
        <f t="shared" si="528"/>
        <v>x</v>
      </c>
      <c r="KD91" s="112" t="str">
        <f t="shared" si="529"/>
        <v>x</v>
      </c>
      <c r="KE91" s="112" t="str">
        <f t="shared" si="530"/>
        <v>x</v>
      </c>
      <c r="KF91" s="112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1"/>
      <c r="LC91" s="112"/>
      <c r="LD91" s="112"/>
      <c r="LE91" s="112"/>
      <c r="LF91" s="112"/>
      <c r="LG91" s="112"/>
      <c r="LH91" s="112"/>
      <c r="LI91" s="112"/>
      <c r="LJ91" s="112"/>
      <c r="LK91" s="112"/>
      <c r="LL91" s="112"/>
      <c r="LM91" s="112"/>
      <c r="LN91" s="112"/>
      <c r="LO91" s="112"/>
      <c r="LP91" s="112"/>
      <c r="LQ91" s="112"/>
      <c r="LR91" s="112"/>
      <c r="LS91" s="112"/>
      <c r="LT91" s="112"/>
      <c r="LU91" s="112"/>
      <c r="LV91" s="112"/>
      <c r="LW91" s="112"/>
      <c r="LX91" s="112"/>
      <c r="LY91" s="112"/>
      <c r="LZ91" s="112"/>
      <c r="MA91" s="112"/>
      <c r="MB91" s="111"/>
      <c r="MC91" s="112" t="str">
        <f t="shared" si="531"/>
        <v>x</v>
      </c>
      <c r="MD91" s="112"/>
      <c r="ME91" s="112" t="str">
        <f t="shared" si="532"/>
        <v>x</v>
      </c>
      <c r="MF91" s="112" t="str">
        <f t="shared" si="533"/>
        <v>x</v>
      </c>
      <c r="MG91" s="112" t="str">
        <f t="shared" si="552"/>
        <v>x</v>
      </c>
      <c r="MH91" s="112" t="str">
        <f t="shared" si="534"/>
        <v>x</v>
      </c>
    </row>
    <row r="92" spans="1:346" x14ac:dyDescent="0.25">
      <c r="A92" s="110" t="s">
        <v>4</v>
      </c>
      <c r="B92" s="101" t="s">
        <v>386</v>
      </c>
      <c r="C92" s="102"/>
      <c r="D92" s="102"/>
      <c r="E92" s="102"/>
      <c r="F92" s="102"/>
      <c r="G92" s="102"/>
      <c r="H92" s="102"/>
      <c r="I92" s="102"/>
      <c r="J92" s="103"/>
      <c r="K92" s="111"/>
      <c r="L92" s="111"/>
      <c r="M92" s="112" t="str">
        <f t="shared" si="390"/>
        <v>x</v>
      </c>
      <c r="N92" s="112" t="str">
        <f t="shared" si="391"/>
        <v>x</v>
      </c>
      <c r="O92" s="112" t="str">
        <f t="shared" si="535"/>
        <v>x</v>
      </c>
      <c r="P92" s="112" t="str">
        <f t="shared" si="392"/>
        <v>x</v>
      </c>
      <c r="Q92" s="112" t="str">
        <f t="shared" si="393"/>
        <v>x</v>
      </c>
      <c r="R92" s="112"/>
      <c r="S92" s="112" t="str">
        <f t="shared" si="394"/>
        <v>x</v>
      </c>
      <c r="T92" s="112" t="str">
        <f t="shared" si="395"/>
        <v>x</v>
      </c>
      <c r="U92" s="112"/>
      <c r="V92" s="112"/>
      <c r="W92" s="112" t="str">
        <f t="shared" si="396"/>
        <v>x</v>
      </c>
      <c r="X92" s="112" t="str">
        <f t="shared" si="397"/>
        <v>x</v>
      </c>
      <c r="Y92" s="112"/>
      <c r="Z92" s="112"/>
      <c r="AA92" s="112"/>
      <c r="AB92" s="112" t="str">
        <f t="shared" si="398"/>
        <v>x</v>
      </c>
      <c r="AC92" s="112" t="str">
        <f t="shared" si="399"/>
        <v>x</v>
      </c>
      <c r="AD92" s="112" t="str">
        <f t="shared" si="400"/>
        <v>x</v>
      </c>
      <c r="AE92" s="112" t="str">
        <f t="shared" si="536"/>
        <v>x</v>
      </c>
      <c r="AF92" s="112" t="str">
        <f t="shared" si="401"/>
        <v>x</v>
      </c>
      <c r="AG92" s="112" t="str">
        <f t="shared" si="402"/>
        <v>x</v>
      </c>
      <c r="AH92" s="112" t="str">
        <f t="shared" si="403"/>
        <v>x</v>
      </c>
      <c r="AI92" s="112" t="str">
        <f t="shared" si="404"/>
        <v>x</v>
      </c>
      <c r="AJ92" s="112" t="str">
        <f t="shared" si="405"/>
        <v>x</v>
      </c>
      <c r="AK92" s="112" t="str">
        <f t="shared" si="406"/>
        <v>x</v>
      </c>
      <c r="AL92" s="112"/>
      <c r="AM92" s="112" t="str">
        <f t="shared" si="537"/>
        <v>x</v>
      </c>
      <c r="AN92" s="112"/>
      <c r="AO92" s="112"/>
      <c r="AP92" s="112"/>
      <c r="AQ92" s="112"/>
      <c r="AR92" s="112"/>
      <c r="AS92" s="112"/>
      <c r="AT92" s="112" t="str">
        <f t="shared" si="407"/>
        <v>x</v>
      </c>
      <c r="AU92" s="113"/>
      <c r="AV92" s="114" t="str">
        <f t="shared" si="408"/>
        <v>x</v>
      </c>
      <c r="AW92" s="114" t="str">
        <f t="shared" si="409"/>
        <v>x</v>
      </c>
      <c r="AX92" s="112" t="str">
        <f t="shared" si="410"/>
        <v>x</v>
      </c>
      <c r="AY92" s="111"/>
      <c r="AZ92" s="112" t="str">
        <f t="shared" si="411"/>
        <v>x</v>
      </c>
      <c r="BA92" s="112" t="str">
        <f t="shared" si="412"/>
        <v>x</v>
      </c>
      <c r="BB92" s="111"/>
      <c r="BC92" s="111"/>
      <c r="BD92" s="112" t="str">
        <f t="shared" si="413"/>
        <v>x</v>
      </c>
      <c r="BE92" s="112"/>
      <c r="BF92" s="111"/>
      <c r="BG92" s="112" t="str">
        <f t="shared" si="414"/>
        <v>x</v>
      </c>
      <c r="BH92" s="112" t="str">
        <f t="shared" si="538"/>
        <v>x</v>
      </c>
      <c r="BI92" s="112" t="str">
        <f t="shared" si="415"/>
        <v>x</v>
      </c>
      <c r="BJ92" s="111"/>
      <c r="BK92" s="112" t="str">
        <f t="shared" si="416"/>
        <v>x</v>
      </c>
      <c r="BL92" s="112" t="str">
        <f t="shared" si="417"/>
        <v>x</v>
      </c>
      <c r="BM92" s="112" t="str">
        <f t="shared" si="418"/>
        <v>x</v>
      </c>
      <c r="BN92" s="112" t="str">
        <f t="shared" si="419"/>
        <v>x</v>
      </c>
      <c r="BO92" s="111"/>
      <c r="BP92" s="111"/>
      <c r="BQ92" s="111"/>
      <c r="BR92" s="112" t="str">
        <f t="shared" si="420"/>
        <v>x</v>
      </c>
      <c r="BS92" s="112"/>
      <c r="BT92" s="111"/>
      <c r="BU92" s="112" t="str">
        <f t="shared" si="421"/>
        <v>x</v>
      </c>
      <c r="BV92" s="112" t="str">
        <f t="shared" si="422"/>
        <v>x</v>
      </c>
      <c r="BW92" s="112"/>
      <c r="BX92" s="112"/>
      <c r="BY92" s="112"/>
      <c r="BZ92" s="112" t="str">
        <f t="shared" si="423"/>
        <v>x</v>
      </c>
      <c r="CA92" s="112" t="str">
        <f t="shared" si="424"/>
        <v>x</v>
      </c>
      <c r="CB92" s="112" t="str">
        <f t="shared" si="425"/>
        <v>x</v>
      </c>
      <c r="CC92" s="112"/>
      <c r="CD92" s="112"/>
      <c r="CE92" s="111"/>
      <c r="CF92" s="112" t="str">
        <f t="shared" si="426"/>
        <v>x</v>
      </c>
      <c r="CG92" s="112" t="str">
        <f t="shared" si="539"/>
        <v>x</v>
      </c>
      <c r="CH92" s="112" t="str">
        <f t="shared" si="427"/>
        <v>x</v>
      </c>
      <c r="CI92" s="112" t="str">
        <f t="shared" si="428"/>
        <v>x</v>
      </c>
      <c r="CJ92" s="112" t="str">
        <f t="shared" si="429"/>
        <v>x</v>
      </c>
      <c r="CK92" s="112" t="str">
        <f t="shared" si="430"/>
        <v>x</v>
      </c>
      <c r="CL92" s="112" t="str">
        <f t="shared" si="431"/>
        <v>x</v>
      </c>
      <c r="CM92" s="112"/>
      <c r="CN92" s="112"/>
      <c r="CO92" s="112" t="str">
        <f t="shared" si="540"/>
        <v>x</v>
      </c>
      <c r="CP92" s="112"/>
      <c r="CQ92" s="112" t="str">
        <f t="shared" si="541"/>
        <v>x</v>
      </c>
      <c r="CR92" s="112" t="str">
        <f t="shared" si="432"/>
        <v>x</v>
      </c>
      <c r="CS92" s="112"/>
      <c r="CT92" s="112" t="str">
        <f t="shared" si="542"/>
        <v>x</v>
      </c>
      <c r="CU92" s="112" t="str">
        <f t="shared" si="433"/>
        <v>x</v>
      </c>
      <c r="CV92" s="112" t="str">
        <f t="shared" si="434"/>
        <v>x</v>
      </c>
      <c r="CW92" s="112" t="str">
        <f t="shared" si="435"/>
        <v>x</v>
      </c>
      <c r="CX92" s="112" t="str">
        <f t="shared" si="436"/>
        <v>x</v>
      </c>
      <c r="CY92" s="112" t="str">
        <f t="shared" si="543"/>
        <v>x</v>
      </c>
      <c r="CZ92" s="112"/>
      <c r="DA92" s="112"/>
      <c r="DB92" s="115" t="str">
        <f t="shared" si="437"/>
        <v>x</v>
      </c>
      <c r="DC92" s="112"/>
      <c r="DD92" s="112"/>
      <c r="DE92" s="112" t="str">
        <f t="shared" si="438"/>
        <v>x</v>
      </c>
      <c r="DF92" s="115" t="str">
        <f t="shared" si="439"/>
        <v>x</v>
      </c>
      <c r="DG92" s="112" t="str">
        <f t="shared" si="440"/>
        <v>x</v>
      </c>
      <c r="DH92" s="112" t="str">
        <f t="shared" si="441"/>
        <v>x</v>
      </c>
      <c r="DI92" s="112"/>
      <c r="DJ92" s="112"/>
      <c r="DK92" s="112"/>
      <c r="DL92" s="112"/>
      <c r="DM92" s="112"/>
      <c r="DN92" s="112" t="str">
        <f t="shared" si="442"/>
        <v>x</v>
      </c>
      <c r="DO92" s="111"/>
      <c r="DP92" s="111"/>
      <c r="DQ92" s="112" t="str">
        <f t="shared" si="443"/>
        <v>x</v>
      </c>
      <c r="DR92" s="112" t="str">
        <f t="shared" si="544"/>
        <v>x</v>
      </c>
      <c r="DS92" s="112" t="str">
        <f t="shared" si="545"/>
        <v>x</v>
      </c>
      <c r="DT92" s="112"/>
      <c r="DU92" s="112" t="str">
        <f t="shared" si="444"/>
        <v>x</v>
      </c>
      <c r="DV92" s="112"/>
      <c r="DW92" s="112" t="str">
        <f t="shared" si="546"/>
        <v>x</v>
      </c>
      <c r="DX92" s="112" t="str">
        <f t="shared" si="445"/>
        <v>x</v>
      </c>
      <c r="DY92" s="112" t="str">
        <f t="shared" si="446"/>
        <v>x</v>
      </c>
      <c r="DZ92" s="112" t="str">
        <f t="shared" si="447"/>
        <v>x</v>
      </c>
      <c r="EA92" s="112" t="str">
        <f t="shared" si="448"/>
        <v>x</v>
      </c>
      <c r="EB92" s="112" t="str">
        <f t="shared" si="449"/>
        <v>x</v>
      </c>
      <c r="EC92" s="111"/>
      <c r="ED92" s="111"/>
      <c r="EE92" s="111"/>
      <c r="EF92" s="111"/>
      <c r="EG92" s="111"/>
      <c r="EH92" s="111"/>
      <c r="EI92" s="112"/>
      <c r="EJ92" s="112" t="str">
        <f t="shared" si="450"/>
        <v>x</v>
      </c>
      <c r="EK92" s="112" t="str">
        <f t="shared" si="451"/>
        <v>x</v>
      </c>
      <c r="EL92" s="112" t="str">
        <f t="shared" si="452"/>
        <v>x</v>
      </c>
      <c r="EM92" s="112" t="str">
        <f t="shared" si="453"/>
        <v>x</v>
      </c>
      <c r="EN92" s="112" t="str">
        <f t="shared" si="454"/>
        <v>x</v>
      </c>
      <c r="EO92" s="117" t="str">
        <f t="shared" si="455"/>
        <v>x</v>
      </c>
      <c r="EP92" s="117" t="str">
        <f t="shared" si="456"/>
        <v>x</v>
      </c>
      <c r="EQ92" s="112" t="str">
        <f t="shared" si="457"/>
        <v>x</v>
      </c>
      <c r="ER92" s="111"/>
      <c r="ES92" s="111"/>
      <c r="ET92" s="112" t="str">
        <f t="shared" si="458"/>
        <v>x</v>
      </c>
      <c r="EU92" s="112" t="str">
        <f t="shared" si="459"/>
        <v>x</v>
      </c>
      <c r="EV92" s="112" t="str">
        <f t="shared" si="460"/>
        <v>x</v>
      </c>
      <c r="EW92" s="112" t="str">
        <f t="shared" si="461"/>
        <v>x</v>
      </c>
      <c r="EX92" s="112" t="str">
        <f t="shared" si="462"/>
        <v>x</v>
      </c>
      <c r="EY92" s="112" t="str">
        <f t="shared" si="463"/>
        <v>x</v>
      </c>
      <c r="EZ92" s="112"/>
      <c r="FA92" s="112" t="str">
        <f t="shared" si="464"/>
        <v>x</v>
      </c>
      <c r="FB92" s="112" t="str">
        <f t="shared" si="465"/>
        <v>x</v>
      </c>
      <c r="FC92" s="112" t="str">
        <f t="shared" si="466"/>
        <v>x</v>
      </c>
      <c r="FD92" s="112" t="str">
        <f t="shared" si="467"/>
        <v>x</v>
      </c>
      <c r="FE92" s="112" t="str">
        <f t="shared" si="468"/>
        <v>x</v>
      </c>
      <c r="FF92" s="112" t="str">
        <f t="shared" si="469"/>
        <v>x</v>
      </c>
      <c r="FG92" s="111"/>
      <c r="FH92" s="111"/>
      <c r="FI92" s="112" t="str">
        <f t="shared" si="470"/>
        <v>x</v>
      </c>
      <c r="FJ92" s="112" t="str">
        <f t="shared" si="471"/>
        <v>x</v>
      </c>
      <c r="FK92" s="112" t="str">
        <f t="shared" si="472"/>
        <v>x</v>
      </c>
      <c r="FL92" s="112"/>
      <c r="FM92" s="112" t="str">
        <f t="shared" si="473"/>
        <v>x</v>
      </c>
      <c r="FN92" s="112" t="str">
        <f t="shared" si="547"/>
        <v>x</v>
      </c>
      <c r="FO92" s="112" t="str">
        <f t="shared" si="474"/>
        <v>x</v>
      </c>
      <c r="FP92" s="112" t="str">
        <f t="shared" si="475"/>
        <v>x</v>
      </c>
      <c r="FQ92" s="112" t="str">
        <f t="shared" si="476"/>
        <v>x</v>
      </c>
      <c r="FR92" s="112" t="str">
        <f t="shared" si="477"/>
        <v>x</v>
      </c>
      <c r="FS92" s="112" t="str">
        <f t="shared" si="478"/>
        <v>x</v>
      </c>
      <c r="FT92" s="112" t="str">
        <f t="shared" si="479"/>
        <v>x</v>
      </c>
      <c r="FU92" s="112" t="str">
        <f t="shared" si="480"/>
        <v>x</v>
      </c>
      <c r="FV92" s="112" t="str">
        <f t="shared" si="481"/>
        <v>x</v>
      </c>
      <c r="FW92" s="111"/>
      <c r="FX92" s="112"/>
      <c r="FY92" s="112"/>
      <c r="FZ92" s="111"/>
      <c r="GA92" s="111"/>
      <c r="GB92" s="111"/>
      <c r="GC92" s="112" t="str">
        <f t="shared" si="482"/>
        <v>x</v>
      </c>
      <c r="GD92" s="111"/>
      <c r="GE92" s="111"/>
      <c r="GF92" s="111"/>
      <c r="GG92" s="112"/>
      <c r="GH92" s="111"/>
      <c r="GI92" s="111"/>
      <c r="GJ92" s="112" t="str">
        <f t="shared" si="483"/>
        <v>x</v>
      </c>
      <c r="GK92" s="111"/>
      <c r="GL92" s="112" t="str">
        <f t="shared" si="484"/>
        <v>x</v>
      </c>
      <c r="GM92" s="111"/>
      <c r="GN92" s="112" t="str">
        <f t="shared" si="485"/>
        <v>x</v>
      </c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2" t="str">
        <f t="shared" si="48"/>
        <v>x</v>
      </c>
      <c r="HC92" s="112" t="str">
        <f t="shared" si="486"/>
        <v>x</v>
      </c>
      <c r="HD92" s="112" t="str">
        <f t="shared" si="487"/>
        <v>x</v>
      </c>
      <c r="HE92" s="112" t="str">
        <f t="shared" si="488"/>
        <v>x</v>
      </c>
      <c r="HF92" s="112" t="str">
        <f t="shared" si="489"/>
        <v>x</v>
      </c>
      <c r="HG92" s="112"/>
      <c r="HH92" s="112" t="str">
        <f t="shared" si="548"/>
        <v>x</v>
      </c>
      <c r="HI92" s="112"/>
      <c r="HJ92" s="112" t="str">
        <f t="shared" si="490"/>
        <v>x</v>
      </c>
      <c r="HK92" s="111"/>
      <c r="HL92" s="112" t="str">
        <f t="shared" si="491"/>
        <v>x</v>
      </c>
      <c r="HM92" s="112" t="str">
        <f t="shared" si="492"/>
        <v>x</v>
      </c>
      <c r="HN92" s="112" t="str">
        <f t="shared" si="493"/>
        <v>x</v>
      </c>
      <c r="HO92" s="112" t="str">
        <f t="shared" si="494"/>
        <v>x</v>
      </c>
      <c r="HP92" s="112" t="str">
        <f t="shared" si="495"/>
        <v>x</v>
      </c>
      <c r="HQ92" s="112" t="str">
        <f t="shared" si="496"/>
        <v>x</v>
      </c>
      <c r="HR92" s="112" t="str">
        <f t="shared" si="497"/>
        <v>x</v>
      </c>
      <c r="HS92" s="112" t="str">
        <f t="shared" si="498"/>
        <v>x</v>
      </c>
      <c r="HT92" s="112"/>
      <c r="HU92" s="112" t="str">
        <f t="shared" si="499"/>
        <v>x</v>
      </c>
      <c r="HV92" s="112"/>
      <c r="HW92" s="112" t="str">
        <f t="shared" si="549"/>
        <v>x</v>
      </c>
      <c r="HX92" s="112" t="str">
        <f t="shared" si="500"/>
        <v>x</v>
      </c>
      <c r="HY92" s="112" t="str">
        <f t="shared" si="501"/>
        <v>x</v>
      </c>
      <c r="HZ92" s="112" t="str">
        <f t="shared" si="502"/>
        <v>x</v>
      </c>
      <c r="IA92" s="112"/>
      <c r="IB92" s="112"/>
      <c r="IC92" s="112" t="str">
        <f t="shared" si="550"/>
        <v>x</v>
      </c>
      <c r="ID92" s="112" t="str">
        <f t="shared" si="503"/>
        <v>x</v>
      </c>
      <c r="IE92" s="112"/>
      <c r="IF92" s="112"/>
      <c r="IG92" s="111"/>
      <c r="IH92" s="112" t="str">
        <f t="shared" si="504"/>
        <v>x</v>
      </c>
      <c r="II92" s="112" t="str">
        <f t="shared" si="505"/>
        <v>x</v>
      </c>
      <c r="IJ92" s="112" t="str">
        <f t="shared" si="506"/>
        <v>x</v>
      </c>
      <c r="IK92" s="115" t="str">
        <f t="shared" si="507"/>
        <v>x</v>
      </c>
      <c r="IL92" s="112" t="str">
        <f t="shared" si="508"/>
        <v>x</v>
      </c>
      <c r="IM92" s="112" t="str">
        <f t="shared" si="509"/>
        <v>x</v>
      </c>
      <c r="IN92" s="112"/>
      <c r="IO92" s="112"/>
      <c r="IP92" s="112" t="str">
        <f t="shared" si="510"/>
        <v>x</v>
      </c>
      <c r="IQ92" s="112" t="str">
        <f t="shared" si="511"/>
        <v>x</v>
      </c>
      <c r="IR92" s="111"/>
      <c r="IS92" s="112" t="str">
        <f t="shared" si="512"/>
        <v>x</v>
      </c>
      <c r="IT92" s="111"/>
      <c r="IU92" s="112" t="str">
        <f t="shared" si="513"/>
        <v>x</v>
      </c>
      <c r="IV92" s="112"/>
      <c r="IW92" s="112" t="str">
        <f t="shared" si="514"/>
        <v>x</v>
      </c>
      <c r="IX92" s="112" t="str">
        <f t="shared" si="515"/>
        <v>x</v>
      </c>
      <c r="IY92" s="111"/>
      <c r="IZ92" s="112" t="str">
        <f t="shared" si="516"/>
        <v>x</v>
      </c>
      <c r="JA92" s="111"/>
      <c r="JB92" s="112" t="str">
        <f t="shared" si="517"/>
        <v>x</v>
      </c>
      <c r="JC92" s="111"/>
      <c r="JD92" s="112"/>
      <c r="JE92" s="112"/>
      <c r="JF92" s="112" t="str">
        <f t="shared" si="518"/>
        <v>x</v>
      </c>
      <c r="JG92" s="112" t="str">
        <f t="shared" si="519"/>
        <v>x</v>
      </c>
      <c r="JH92" s="112" t="str">
        <f t="shared" si="520"/>
        <v>x</v>
      </c>
      <c r="JI92" s="112"/>
      <c r="JJ92" s="112" t="str">
        <f t="shared" si="521"/>
        <v>x</v>
      </c>
      <c r="JK92" s="112" t="str">
        <f t="shared" si="551"/>
        <v>x</v>
      </c>
      <c r="JL92" s="112" t="str">
        <f t="shared" si="522"/>
        <v>x</v>
      </c>
      <c r="JM92" s="112"/>
      <c r="JN92" s="112"/>
      <c r="JO92" s="112"/>
      <c r="JP92" s="112"/>
      <c r="JQ92" s="112" t="str">
        <f t="shared" si="523"/>
        <v>x</v>
      </c>
      <c r="JR92" s="112"/>
      <c r="JS92" s="112" t="str">
        <f t="shared" si="524"/>
        <v>x</v>
      </c>
      <c r="JT92" s="111"/>
      <c r="JU92" s="111"/>
      <c r="JV92" s="112"/>
      <c r="JW92" s="112" t="str">
        <f t="shared" si="525"/>
        <v>x</v>
      </c>
      <c r="JX92" s="112"/>
      <c r="JY92" s="112"/>
      <c r="JZ92" s="112"/>
      <c r="KA92" s="112" t="str">
        <f t="shared" si="526"/>
        <v>x</v>
      </c>
      <c r="KB92" s="112" t="str">
        <f t="shared" si="527"/>
        <v>x</v>
      </c>
      <c r="KC92" s="112" t="str">
        <f t="shared" si="528"/>
        <v>x</v>
      </c>
      <c r="KD92" s="112" t="str">
        <f t="shared" si="529"/>
        <v>x</v>
      </c>
      <c r="KE92" s="112" t="str">
        <f t="shared" si="530"/>
        <v>x</v>
      </c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1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1"/>
      <c r="MC92" s="112" t="str">
        <f t="shared" si="531"/>
        <v>x</v>
      </c>
      <c r="MD92" s="112"/>
      <c r="ME92" s="112" t="str">
        <f t="shared" si="532"/>
        <v>x</v>
      </c>
      <c r="MF92" s="112" t="str">
        <f t="shared" si="533"/>
        <v>x</v>
      </c>
      <c r="MG92" s="112" t="str">
        <f t="shared" si="552"/>
        <v>x</v>
      </c>
      <c r="MH92" s="112" t="str">
        <f t="shared" si="534"/>
        <v>x</v>
      </c>
    </row>
    <row r="93" spans="1:346" x14ac:dyDescent="0.25">
      <c r="A93" s="110" t="s">
        <v>4</v>
      </c>
      <c r="B93" s="101" t="s">
        <v>387</v>
      </c>
      <c r="C93" s="102"/>
      <c r="D93" s="102"/>
      <c r="E93" s="102"/>
      <c r="F93" s="102"/>
      <c r="G93" s="102"/>
      <c r="H93" s="102"/>
      <c r="I93" s="102"/>
      <c r="J93" s="103"/>
      <c r="K93" s="111"/>
      <c r="L93" s="111"/>
      <c r="M93" s="112" t="str">
        <f t="shared" si="390"/>
        <v>x</v>
      </c>
      <c r="N93" s="112" t="str">
        <f t="shared" si="391"/>
        <v>x</v>
      </c>
      <c r="O93" s="112" t="str">
        <f t="shared" si="535"/>
        <v>x</v>
      </c>
      <c r="P93" s="112" t="str">
        <f t="shared" si="392"/>
        <v>x</v>
      </c>
      <c r="Q93" s="112" t="str">
        <f t="shared" si="393"/>
        <v>x</v>
      </c>
      <c r="R93" s="112"/>
      <c r="S93" s="112" t="str">
        <f t="shared" si="394"/>
        <v>x</v>
      </c>
      <c r="T93" s="112" t="str">
        <f t="shared" si="395"/>
        <v>x</v>
      </c>
      <c r="U93" s="112"/>
      <c r="V93" s="112"/>
      <c r="W93" s="112" t="str">
        <f t="shared" si="396"/>
        <v>x</v>
      </c>
      <c r="X93" s="112" t="str">
        <f t="shared" si="397"/>
        <v>x</v>
      </c>
      <c r="Y93" s="112"/>
      <c r="Z93" s="112"/>
      <c r="AA93" s="112"/>
      <c r="AB93" s="112" t="str">
        <f t="shared" si="398"/>
        <v>x</v>
      </c>
      <c r="AC93" s="112" t="str">
        <f t="shared" si="399"/>
        <v>x</v>
      </c>
      <c r="AD93" s="112" t="str">
        <f t="shared" si="400"/>
        <v>x</v>
      </c>
      <c r="AE93" s="112" t="str">
        <f t="shared" si="536"/>
        <v>x</v>
      </c>
      <c r="AF93" s="112" t="str">
        <f t="shared" si="401"/>
        <v>x</v>
      </c>
      <c r="AG93" s="112" t="str">
        <f t="shared" si="402"/>
        <v>x</v>
      </c>
      <c r="AH93" s="112" t="str">
        <f t="shared" si="403"/>
        <v>x</v>
      </c>
      <c r="AI93" s="112" t="str">
        <f t="shared" si="404"/>
        <v>x</v>
      </c>
      <c r="AJ93" s="112" t="str">
        <f t="shared" si="405"/>
        <v>x</v>
      </c>
      <c r="AK93" s="112" t="str">
        <f t="shared" si="406"/>
        <v>x</v>
      </c>
      <c r="AL93" s="112"/>
      <c r="AM93" s="112" t="str">
        <f t="shared" si="537"/>
        <v>x</v>
      </c>
      <c r="AN93" s="112"/>
      <c r="AO93" s="112"/>
      <c r="AP93" s="112"/>
      <c r="AQ93" s="112"/>
      <c r="AR93" s="112"/>
      <c r="AS93" s="112"/>
      <c r="AT93" s="112" t="str">
        <f t="shared" si="407"/>
        <v>x</v>
      </c>
      <c r="AU93" s="113"/>
      <c r="AV93" s="114" t="str">
        <f t="shared" si="408"/>
        <v>x</v>
      </c>
      <c r="AW93" s="114" t="str">
        <f t="shared" si="409"/>
        <v>x</v>
      </c>
      <c r="AX93" s="112" t="str">
        <f t="shared" si="410"/>
        <v>x</v>
      </c>
      <c r="AY93" s="111"/>
      <c r="AZ93" s="112" t="str">
        <f t="shared" si="411"/>
        <v>x</v>
      </c>
      <c r="BA93" s="112" t="str">
        <f t="shared" si="412"/>
        <v>x</v>
      </c>
      <c r="BB93" s="111"/>
      <c r="BC93" s="111"/>
      <c r="BD93" s="112" t="str">
        <f t="shared" si="413"/>
        <v>x</v>
      </c>
      <c r="BE93" s="112"/>
      <c r="BF93" s="111"/>
      <c r="BG93" s="112" t="str">
        <f t="shared" si="414"/>
        <v>x</v>
      </c>
      <c r="BH93" s="112" t="str">
        <f t="shared" si="538"/>
        <v>x</v>
      </c>
      <c r="BI93" s="112" t="str">
        <f t="shared" si="415"/>
        <v>x</v>
      </c>
      <c r="BJ93" s="111"/>
      <c r="BK93" s="112" t="str">
        <f t="shared" si="416"/>
        <v>x</v>
      </c>
      <c r="BL93" s="112" t="str">
        <f t="shared" si="417"/>
        <v>x</v>
      </c>
      <c r="BM93" s="112" t="str">
        <f t="shared" si="418"/>
        <v>x</v>
      </c>
      <c r="BN93" s="112" t="str">
        <f t="shared" si="419"/>
        <v>x</v>
      </c>
      <c r="BO93" s="111"/>
      <c r="BP93" s="111"/>
      <c r="BQ93" s="111"/>
      <c r="BR93" s="112" t="str">
        <f t="shared" si="420"/>
        <v>x</v>
      </c>
      <c r="BS93" s="112"/>
      <c r="BT93" s="111"/>
      <c r="BU93" s="112" t="str">
        <f t="shared" si="421"/>
        <v>x</v>
      </c>
      <c r="BV93" s="112" t="str">
        <f t="shared" si="422"/>
        <v>x</v>
      </c>
      <c r="BW93" s="112"/>
      <c r="BX93" s="112"/>
      <c r="BY93" s="112"/>
      <c r="BZ93" s="112" t="str">
        <f t="shared" si="423"/>
        <v>x</v>
      </c>
      <c r="CA93" s="112" t="str">
        <f t="shared" si="424"/>
        <v>x</v>
      </c>
      <c r="CB93" s="112" t="str">
        <f t="shared" si="425"/>
        <v>x</v>
      </c>
      <c r="CC93" s="112"/>
      <c r="CD93" s="112"/>
      <c r="CE93" s="111"/>
      <c r="CF93" s="112" t="str">
        <f t="shared" si="426"/>
        <v>x</v>
      </c>
      <c r="CG93" s="112" t="str">
        <f t="shared" si="539"/>
        <v>x</v>
      </c>
      <c r="CH93" s="112" t="str">
        <f t="shared" si="427"/>
        <v>x</v>
      </c>
      <c r="CI93" s="112" t="str">
        <f t="shared" si="428"/>
        <v>x</v>
      </c>
      <c r="CJ93" s="112" t="str">
        <f t="shared" si="429"/>
        <v>x</v>
      </c>
      <c r="CK93" s="112" t="str">
        <f t="shared" si="430"/>
        <v>x</v>
      </c>
      <c r="CL93" s="112" t="str">
        <f t="shared" si="431"/>
        <v>x</v>
      </c>
      <c r="CM93" s="112"/>
      <c r="CN93" s="112"/>
      <c r="CO93" s="112" t="str">
        <f t="shared" si="540"/>
        <v>x</v>
      </c>
      <c r="CP93" s="112"/>
      <c r="CQ93" s="112" t="str">
        <f t="shared" si="541"/>
        <v>x</v>
      </c>
      <c r="CR93" s="112" t="str">
        <f t="shared" si="432"/>
        <v>x</v>
      </c>
      <c r="CS93" s="112"/>
      <c r="CT93" s="112" t="str">
        <f t="shared" si="542"/>
        <v>x</v>
      </c>
      <c r="CU93" s="112" t="str">
        <f t="shared" si="433"/>
        <v>x</v>
      </c>
      <c r="CV93" s="112" t="str">
        <f t="shared" si="434"/>
        <v>x</v>
      </c>
      <c r="CW93" s="112" t="str">
        <f t="shared" si="435"/>
        <v>x</v>
      </c>
      <c r="CX93" s="112" t="str">
        <f t="shared" si="436"/>
        <v>x</v>
      </c>
      <c r="CY93" s="112" t="str">
        <f t="shared" si="543"/>
        <v>x</v>
      </c>
      <c r="CZ93" s="112"/>
      <c r="DA93" s="112"/>
      <c r="DB93" s="115" t="str">
        <f t="shared" si="437"/>
        <v>x</v>
      </c>
      <c r="DC93" s="112"/>
      <c r="DD93" s="112"/>
      <c r="DE93" s="112" t="str">
        <f t="shared" si="438"/>
        <v>x</v>
      </c>
      <c r="DF93" s="115" t="str">
        <f t="shared" si="439"/>
        <v>x</v>
      </c>
      <c r="DG93" s="112" t="str">
        <f t="shared" si="440"/>
        <v>x</v>
      </c>
      <c r="DH93" s="112" t="str">
        <f t="shared" si="441"/>
        <v>x</v>
      </c>
      <c r="DI93" s="112"/>
      <c r="DJ93" s="112"/>
      <c r="DK93" s="112"/>
      <c r="DL93" s="112"/>
      <c r="DM93" s="112"/>
      <c r="DN93" s="112" t="str">
        <f t="shared" si="442"/>
        <v>x</v>
      </c>
      <c r="DO93" s="111"/>
      <c r="DP93" s="111"/>
      <c r="DQ93" s="112" t="str">
        <f t="shared" si="443"/>
        <v>x</v>
      </c>
      <c r="DR93" s="112" t="str">
        <f t="shared" si="544"/>
        <v>x</v>
      </c>
      <c r="DS93" s="112" t="str">
        <f t="shared" si="545"/>
        <v>x</v>
      </c>
      <c r="DT93" s="112"/>
      <c r="DU93" s="112" t="str">
        <f t="shared" si="444"/>
        <v>x</v>
      </c>
      <c r="DV93" s="112"/>
      <c r="DW93" s="112" t="str">
        <f t="shared" si="546"/>
        <v>x</v>
      </c>
      <c r="DX93" s="112" t="str">
        <f t="shared" si="445"/>
        <v>x</v>
      </c>
      <c r="DY93" s="112" t="str">
        <f t="shared" si="446"/>
        <v>x</v>
      </c>
      <c r="DZ93" s="112" t="str">
        <f t="shared" si="447"/>
        <v>x</v>
      </c>
      <c r="EA93" s="112" t="str">
        <f t="shared" si="448"/>
        <v>x</v>
      </c>
      <c r="EB93" s="112" t="str">
        <f t="shared" si="449"/>
        <v>x</v>
      </c>
      <c r="EC93" s="111"/>
      <c r="ED93" s="111"/>
      <c r="EE93" s="111"/>
      <c r="EF93" s="111"/>
      <c r="EG93" s="111"/>
      <c r="EH93" s="111"/>
      <c r="EI93" s="112"/>
      <c r="EJ93" s="112" t="str">
        <f t="shared" si="450"/>
        <v>x</v>
      </c>
      <c r="EK93" s="112" t="str">
        <f t="shared" si="451"/>
        <v>x</v>
      </c>
      <c r="EL93" s="112" t="str">
        <f t="shared" si="452"/>
        <v>x</v>
      </c>
      <c r="EM93" s="112" t="str">
        <f t="shared" si="453"/>
        <v>x</v>
      </c>
      <c r="EN93" s="112" t="str">
        <f t="shared" si="454"/>
        <v>x</v>
      </c>
      <c r="EO93" s="117" t="str">
        <f t="shared" si="455"/>
        <v>x</v>
      </c>
      <c r="EP93" s="117" t="str">
        <f t="shared" si="456"/>
        <v>x</v>
      </c>
      <c r="EQ93" s="112" t="str">
        <f t="shared" si="457"/>
        <v>x</v>
      </c>
      <c r="ER93" s="111"/>
      <c r="ES93" s="111"/>
      <c r="ET93" s="112" t="str">
        <f t="shared" si="458"/>
        <v>x</v>
      </c>
      <c r="EU93" s="112" t="str">
        <f t="shared" si="459"/>
        <v>x</v>
      </c>
      <c r="EV93" s="112" t="str">
        <f t="shared" si="460"/>
        <v>x</v>
      </c>
      <c r="EW93" s="112" t="str">
        <f t="shared" si="461"/>
        <v>x</v>
      </c>
      <c r="EX93" s="112" t="str">
        <f t="shared" si="462"/>
        <v>x</v>
      </c>
      <c r="EY93" s="112" t="str">
        <f t="shared" si="463"/>
        <v>x</v>
      </c>
      <c r="EZ93" s="112"/>
      <c r="FA93" s="112" t="str">
        <f t="shared" si="464"/>
        <v>x</v>
      </c>
      <c r="FB93" s="112" t="str">
        <f t="shared" si="465"/>
        <v>x</v>
      </c>
      <c r="FC93" s="112" t="str">
        <f t="shared" si="466"/>
        <v>x</v>
      </c>
      <c r="FD93" s="112" t="str">
        <f t="shared" si="467"/>
        <v>x</v>
      </c>
      <c r="FE93" s="112" t="str">
        <f t="shared" si="468"/>
        <v>x</v>
      </c>
      <c r="FF93" s="112" t="str">
        <f t="shared" si="469"/>
        <v>x</v>
      </c>
      <c r="FG93" s="111"/>
      <c r="FH93" s="111"/>
      <c r="FI93" s="112" t="str">
        <f t="shared" si="470"/>
        <v>x</v>
      </c>
      <c r="FJ93" s="112" t="str">
        <f t="shared" si="471"/>
        <v>x</v>
      </c>
      <c r="FK93" s="112" t="str">
        <f t="shared" si="472"/>
        <v>x</v>
      </c>
      <c r="FL93" s="112"/>
      <c r="FM93" s="112" t="str">
        <f t="shared" si="473"/>
        <v>x</v>
      </c>
      <c r="FN93" s="112" t="str">
        <f t="shared" si="547"/>
        <v>x</v>
      </c>
      <c r="FO93" s="112" t="str">
        <f t="shared" si="474"/>
        <v>x</v>
      </c>
      <c r="FP93" s="112" t="str">
        <f t="shared" si="475"/>
        <v>x</v>
      </c>
      <c r="FQ93" s="112" t="str">
        <f t="shared" si="476"/>
        <v>x</v>
      </c>
      <c r="FR93" s="112" t="str">
        <f t="shared" si="477"/>
        <v>x</v>
      </c>
      <c r="FS93" s="112" t="str">
        <f t="shared" si="478"/>
        <v>x</v>
      </c>
      <c r="FT93" s="112" t="str">
        <f t="shared" si="479"/>
        <v>x</v>
      </c>
      <c r="FU93" s="112" t="str">
        <f t="shared" si="480"/>
        <v>x</v>
      </c>
      <c r="FV93" s="112" t="str">
        <f t="shared" si="481"/>
        <v>x</v>
      </c>
      <c r="FW93" s="111"/>
      <c r="FX93" s="112"/>
      <c r="FY93" s="112"/>
      <c r="FZ93" s="111"/>
      <c r="GA93" s="111"/>
      <c r="GB93" s="111"/>
      <c r="GC93" s="112" t="str">
        <f t="shared" si="482"/>
        <v>x</v>
      </c>
      <c r="GD93" s="111"/>
      <c r="GE93" s="111"/>
      <c r="GF93" s="111"/>
      <c r="GG93" s="112"/>
      <c r="GH93" s="111"/>
      <c r="GI93" s="111"/>
      <c r="GJ93" s="112" t="str">
        <f t="shared" si="483"/>
        <v>x</v>
      </c>
      <c r="GK93" s="111"/>
      <c r="GL93" s="112" t="str">
        <f t="shared" si="484"/>
        <v>x</v>
      </c>
      <c r="GM93" s="111"/>
      <c r="GN93" s="112" t="str">
        <f t="shared" si="485"/>
        <v>x</v>
      </c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2" t="str">
        <f t="shared" si="48"/>
        <v>x</v>
      </c>
      <c r="HC93" s="112" t="str">
        <f t="shared" si="486"/>
        <v>x</v>
      </c>
      <c r="HD93" s="112" t="str">
        <f t="shared" si="487"/>
        <v>x</v>
      </c>
      <c r="HE93" s="112" t="str">
        <f t="shared" si="488"/>
        <v>x</v>
      </c>
      <c r="HF93" s="112" t="str">
        <f t="shared" si="489"/>
        <v>x</v>
      </c>
      <c r="HG93" s="112"/>
      <c r="HH93" s="112" t="str">
        <f t="shared" si="548"/>
        <v>x</v>
      </c>
      <c r="HI93" s="112"/>
      <c r="HJ93" s="112" t="str">
        <f t="shared" si="490"/>
        <v>x</v>
      </c>
      <c r="HK93" s="111"/>
      <c r="HL93" s="112" t="str">
        <f t="shared" si="491"/>
        <v>x</v>
      </c>
      <c r="HM93" s="112" t="str">
        <f t="shared" si="492"/>
        <v>x</v>
      </c>
      <c r="HN93" s="112" t="str">
        <f t="shared" si="493"/>
        <v>x</v>
      </c>
      <c r="HO93" s="112" t="str">
        <f t="shared" si="494"/>
        <v>x</v>
      </c>
      <c r="HP93" s="112" t="str">
        <f t="shared" si="495"/>
        <v>x</v>
      </c>
      <c r="HQ93" s="112" t="str">
        <f t="shared" si="496"/>
        <v>x</v>
      </c>
      <c r="HR93" s="112" t="str">
        <f t="shared" si="497"/>
        <v>x</v>
      </c>
      <c r="HS93" s="112" t="str">
        <f t="shared" si="498"/>
        <v>x</v>
      </c>
      <c r="HT93" s="112"/>
      <c r="HU93" s="112" t="str">
        <f t="shared" si="499"/>
        <v>x</v>
      </c>
      <c r="HV93" s="112"/>
      <c r="HW93" s="112" t="str">
        <f t="shared" si="549"/>
        <v>x</v>
      </c>
      <c r="HX93" s="112" t="str">
        <f t="shared" si="500"/>
        <v>x</v>
      </c>
      <c r="HY93" s="112" t="str">
        <f t="shared" si="501"/>
        <v>x</v>
      </c>
      <c r="HZ93" s="112" t="str">
        <f t="shared" si="502"/>
        <v>x</v>
      </c>
      <c r="IA93" s="112"/>
      <c r="IB93" s="112"/>
      <c r="IC93" s="112" t="str">
        <f t="shared" si="550"/>
        <v>x</v>
      </c>
      <c r="ID93" s="112" t="str">
        <f t="shared" si="503"/>
        <v>x</v>
      </c>
      <c r="IE93" s="112"/>
      <c r="IF93" s="112"/>
      <c r="IG93" s="111"/>
      <c r="IH93" s="112" t="str">
        <f t="shared" si="504"/>
        <v>x</v>
      </c>
      <c r="II93" s="112" t="str">
        <f t="shared" si="505"/>
        <v>x</v>
      </c>
      <c r="IJ93" s="112" t="str">
        <f t="shared" si="506"/>
        <v>x</v>
      </c>
      <c r="IK93" s="115" t="str">
        <f t="shared" si="507"/>
        <v>x</v>
      </c>
      <c r="IL93" s="112" t="str">
        <f t="shared" si="508"/>
        <v>x</v>
      </c>
      <c r="IM93" s="112" t="str">
        <f t="shared" si="509"/>
        <v>x</v>
      </c>
      <c r="IN93" s="112"/>
      <c r="IO93" s="112"/>
      <c r="IP93" s="112" t="str">
        <f t="shared" si="510"/>
        <v>x</v>
      </c>
      <c r="IQ93" s="112" t="str">
        <f t="shared" si="511"/>
        <v>x</v>
      </c>
      <c r="IR93" s="111"/>
      <c r="IS93" s="112" t="str">
        <f t="shared" si="512"/>
        <v>x</v>
      </c>
      <c r="IT93" s="111"/>
      <c r="IU93" s="112" t="str">
        <f t="shared" si="513"/>
        <v>x</v>
      </c>
      <c r="IV93" s="112"/>
      <c r="IW93" s="112" t="str">
        <f t="shared" si="514"/>
        <v>x</v>
      </c>
      <c r="IX93" s="112" t="str">
        <f t="shared" si="515"/>
        <v>x</v>
      </c>
      <c r="IY93" s="111"/>
      <c r="IZ93" s="112" t="str">
        <f t="shared" si="516"/>
        <v>x</v>
      </c>
      <c r="JA93" s="111"/>
      <c r="JB93" s="112" t="str">
        <f t="shared" si="517"/>
        <v>x</v>
      </c>
      <c r="JC93" s="111"/>
      <c r="JD93" s="112"/>
      <c r="JE93" s="112"/>
      <c r="JF93" s="112" t="str">
        <f t="shared" si="518"/>
        <v>x</v>
      </c>
      <c r="JG93" s="112" t="str">
        <f t="shared" si="519"/>
        <v>x</v>
      </c>
      <c r="JH93" s="112" t="str">
        <f t="shared" si="520"/>
        <v>x</v>
      </c>
      <c r="JI93" s="112"/>
      <c r="JJ93" s="112" t="str">
        <f t="shared" si="521"/>
        <v>x</v>
      </c>
      <c r="JK93" s="112" t="str">
        <f t="shared" si="551"/>
        <v>x</v>
      </c>
      <c r="JL93" s="112" t="str">
        <f t="shared" si="522"/>
        <v>x</v>
      </c>
      <c r="JM93" s="112"/>
      <c r="JN93" s="112"/>
      <c r="JO93" s="112"/>
      <c r="JP93" s="112"/>
      <c r="JQ93" s="112" t="str">
        <f t="shared" si="523"/>
        <v>x</v>
      </c>
      <c r="JR93" s="112"/>
      <c r="JS93" s="112" t="str">
        <f t="shared" si="524"/>
        <v>x</v>
      </c>
      <c r="JT93" s="111"/>
      <c r="JU93" s="111"/>
      <c r="JV93" s="112"/>
      <c r="JW93" s="112" t="str">
        <f t="shared" si="525"/>
        <v>x</v>
      </c>
      <c r="JX93" s="112"/>
      <c r="JY93" s="112"/>
      <c r="JZ93" s="112"/>
      <c r="KA93" s="112" t="str">
        <f t="shared" si="526"/>
        <v>x</v>
      </c>
      <c r="KB93" s="112" t="str">
        <f t="shared" si="527"/>
        <v>x</v>
      </c>
      <c r="KC93" s="112" t="str">
        <f t="shared" si="528"/>
        <v>x</v>
      </c>
      <c r="KD93" s="112" t="str">
        <f t="shared" si="529"/>
        <v>x</v>
      </c>
      <c r="KE93" s="112" t="str">
        <f t="shared" si="530"/>
        <v>x</v>
      </c>
      <c r="KF93" s="112"/>
      <c r="KG93" s="112"/>
      <c r="KH93" s="112"/>
      <c r="KI93" s="112"/>
      <c r="KJ93" s="112"/>
      <c r="KK93" s="112"/>
      <c r="KL93" s="112"/>
      <c r="KM93" s="112"/>
      <c r="KN93" s="112"/>
      <c r="KO93" s="112"/>
      <c r="KP93" s="112"/>
      <c r="KQ93" s="112"/>
      <c r="KR93" s="112"/>
      <c r="KS93" s="112"/>
      <c r="KT93" s="112"/>
      <c r="KU93" s="112"/>
      <c r="KV93" s="112"/>
      <c r="KW93" s="112"/>
      <c r="KX93" s="112"/>
      <c r="KY93" s="112"/>
      <c r="KZ93" s="112"/>
      <c r="LA93" s="112"/>
      <c r="LB93" s="111"/>
      <c r="LC93" s="112"/>
      <c r="LD93" s="112"/>
      <c r="LE93" s="112"/>
      <c r="LF93" s="112"/>
      <c r="LG93" s="112"/>
      <c r="LH93" s="112"/>
      <c r="LI93" s="112"/>
      <c r="LJ93" s="112"/>
      <c r="LK93" s="112"/>
      <c r="LL93" s="112"/>
      <c r="LM93" s="112"/>
      <c r="LN93" s="112"/>
      <c r="LO93" s="112"/>
      <c r="LP93" s="112"/>
      <c r="LQ93" s="112"/>
      <c r="LR93" s="112"/>
      <c r="LS93" s="112"/>
      <c r="LT93" s="112"/>
      <c r="LU93" s="112"/>
      <c r="LV93" s="112"/>
      <c r="LW93" s="112"/>
      <c r="LX93" s="112"/>
      <c r="LY93" s="112"/>
      <c r="LZ93" s="112"/>
      <c r="MA93" s="112"/>
      <c r="MB93" s="111"/>
      <c r="MC93" s="112" t="str">
        <f t="shared" si="531"/>
        <v>x</v>
      </c>
      <c r="MD93" s="112"/>
      <c r="ME93" s="112" t="str">
        <f t="shared" si="532"/>
        <v>x</v>
      </c>
      <c r="MF93" s="112" t="str">
        <f t="shared" si="533"/>
        <v>x</v>
      </c>
      <c r="MG93" s="112" t="str">
        <f t="shared" si="552"/>
        <v>x</v>
      </c>
      <c r="MH93" s="112" t="str">
        <f t="shared" si="534"/>
        <v>x</v>
      </c>
    </row>
    <row r="94" spans="1:346" x14ac:dyDescent="0.25">
      <c r="A94" s="110" t="s">
        <v>4</v>
      </c>
      <c r="B94" s="101" t="s">
        <v>388</v>
      </c>
      <c r="C94" s="102"/>
      <c r="D94" s="102"/>
      <c r="E94" s="102"/>
      <c r="F94" s="102"/>
      <c r="G94" s="102"/>
      <c r="H94" s="102"/>
      <c r="I94" s="102"/>
      <c r="J94" s="103"/>
      <c r="K94" s="111"/>
      <c r="L94" s="111"/>
      <c r="M94" s="112" t="str">
        <f t="shared" si="390"/>
        <v>x</v>
      </c>
      <c r="N94" s="112" t="str">
        <f t="shared" si="391"/>
        <v>x</v>
      </c>
      <c r="O94" s="112" t="str">
        <f t="shared" si="535"/>
        <v>x</v>
      </c>
      <c r="P94" s="112" t="str">
        <f t="shared" si="392"/>
        <v>x</v>
      </c>
      <c r="Q94" s="112" t="str">
        <f t="shared" si="393"/>
        <v>x</v>
      </c>
      <c r="R94" s="112"/>
      <c r="S94" s="112" t="str">
        <f t="shared" si="394"/>
        <v>x</v>
      </c>
      <c r="T94" s="112" t="str">
        <f t="shared" si="395"/>
        <v>x</v>
      </c>
      <c r="U94" s="112"/>
      <c r="V94" s="112"/>
      <c r="W94" s="112" t="str">
        <f t="shared" si="396"/>
        <v>x</v>
      </c>
      <c r="X94" s="112" t="str">
        <f t="shared" si="397"/>
        <v>x</v>
      </c>
      <c r="Y94" s="112"/>
      <c r="Z94" s="112"/>
      <c r="AA94" s="112"/>
      <c r="AB94" s="112" t="str">
        <f t="shared" si="398"/>
        <v>x</v>
      </c>
      <c r="AC94" s="112" t="str">
        <f t="shared" si="399"/>
        <v>x</v>
      </c>
      <c r="AD94" s="112" t="str">
        <f t="shared" si="400"/>
        <v>x</v>
      </c>
      <c r="AE94" s="112" t="str">
        <f t="shared" si="536"/>
        <v>x</v>
      </c>
      <c r="AF94" s="112" t="str">
        <f t="shared" si="401"/>
        <v>x</v>
      </c>
      <c r="AG94" s="112" t="str">
        <f t="shared" si="402"/>
        <v>x</v>
      </c>
      <c r="AH94" s="112" t="str">
        <f t="shared" si="403"/>
        <v>x</v>
      </c>
      <c r="AI94" s="112" t="str">
        <f t="shared" si="404"/>
        <v>x</v>
      </c>
      <c r="AJ94" s="112" t="str">
        <f t="shared" si="405"/>
        <v>x</v>
      </c>
      <c r="AK94" s="112" t="str">
        <f t="shared" si="406"/>
        <v>x</v>
      </c>
      <c r="AL94" s="112"/>
      <c r="AM94" s="112" t="str">
        <f t="shared" si="537"/>
        <v>x</v>
      </c>
      <c r="AN94" s="112"/>
      <c r="AO94" s="112"/>
      <c r="AP94" s="112"/>
      <c r="AQ94" s="112"/>
      <c r="AR94" s="112"/>
      <c r="AS94" s="112"/>
      <c r="AT94" s="112" t="str">
        <f t="shared" si="407"/>
        <v>x</v>
      </c>
      <c r="AU94" s="113"/>
      <c r="AV94" s="114" t="str">
        <f t="shared" si="408"/>
        <v>x</v>
      </c>
      <c r="AW94" s="114" t="str">
        <f t="shared" si="409"/>
        <v>x</v>
      </c>
      <c r="AX94" s="112" t="str">
        <f t="shared" si="410"/>
        <v>x</v>
      </c>
      <c r="AY94" s="111"/>
      <c r="AZ94" s="112" t="str">
        <f t="shared" si="411"/>
        <v>x</v>
      </c>
      <c r="BA94" s="112" t="str">
        <f t="shared" si="412"/>
        <v>x</v>
      </c>
      <c r="BB94" s="111"/>
      <c r="BC94" s="111"/>
      <c r="BD94" s="112" t="str">
        <f t="shared" si="413"/>
        <v>x</v>
      </c>
      <c r="BE94" s="112"/>
      <c r="BF94" s="111"/>
      <c r="BG94" s="112" t="str">
        <f t="shared" si="414"/>
        <v>x</v>
      </c>
      <c r="BH94" s="112" t="str">
        <f t="shared" si="538"/>
        <v>x</v>
      </c>
      <c r="BI94" s="112" t="str">
        <f t="shared" si="415"/>
        <v>x</v>
      </c>
      <c r="BJ94" s="111"/>
      <c r="BK94" s="112" t="str">
        <f t="shared" si="416"/>
        <v>x</v>
      </c>
      <c r="BL94" s="112" t="str">
        <f t="shared" si="417"/>
        <v>x</v>
      </c>
      <c r="BM94" s="112" t="str">
        <f t="shared" si="418"/>
        <v>x</v>
      </c>
      <c r="BN94" s="112" t="str">
        <f t="shared" si="419"/>
        <v>x</v>
      </c>
      <c r="BO94" s="111"/>
      <c r="BP94" s="111"/>
      <c r="BQ94" s="111"/>
      <c r="BR94" s="112" t="str">
        <f t="shared" si="420"/>
        <v>x</v>
      </c>
      <c r="BS94" s="112"/>
      <c r="BT94" s="111"/>
      <c r="BU94" s="112" t="str">
        <f t="shared" si="421"/>
        <v>x</v>
      </c>
      <c r="BV94" s="112" t="str">
        <f t="shared" si="422"/>
        <v>x</v>
      </c>
      <c r="BW94" s="112"/>
      <c r="BX94" s="112"/>
      <c r="BY94" s="112"/>
      <c r="BZ94" s="112" t="str">
        <f t="shared" si="423"/>
        <v>x</v>
      </c>
      <c r="CA94" s="112" t="str">
        <f t="shared" si="424"/>
        <v>x</v>
      </c>
      <c r="CB94" s="112" t="str">
        <f t="shared" si="425"/>
        <v>x</v>
      </c>
      <c r="CC94" s="112"/>
      <c r="CD94" s="112"/>
      <c r="CE94" s="111"/>
      <c r="CF94" s="112" t="str">
        <f t="shared" si="426"/>
        <v>x</v>
      </c>
      <c r="CG94" s="112" t="str">
        <f t="shared" si="539"/>
        <v>x</v>
      </c>
      <c r="CH94" s="112" t="str">
        <f t="shared" si="427"/>
        <v>x</v>
      </c>
      <c r="CI94" s="112" t="str">
        <f t="shared" si="428"/>
        <v>x</v>
      </c>
      <c r="CJ94" s="112" t="str">
        <f t="shared" si="429"/>
        <v>x</v>
      </c>
      <c r="CK94" s="112" t="str">
        <f t="shared" si="430"/>
        <v>x</v>
      </c>
      <c r="CL94" s="112" t="str">
        <f t="shared" si="431"/>
        <v>x</v>
      </c>
      <c r="CM94" s="112"/>
      <c r="CN94" s="112"/>
      <c r="CO94" s="112" t="str">
        <f t="shared" si="540"/>
        <v>x</v>
      </c>
      <c r="CP94" s="112"/>
      <c r="CQ94" s="112" t="str">
        <f t="shared" si="541"/>
        <v>x</v>
      </c>
      <c r="CR94" s="112" t="str">
        <f t="shared" si="432"/>
        <v>x</v>
      </c>
      <c r="CS94" s="112"/>
      <c r="CT94" s="112" t="str">
        <f t="shared" si="542"/>
        <v>x</v>
      </c>
      <c r="CU94" s="112" t="str">
        <f t="shared" si="433"/>
        <v>x</v>
      </c>
      <c r="CV94" s="112" t="str">
        <f t="shared" si="434"/>
        <v>x</v>
      </c>
      <c r="CW94" s="112" t="str">
        <f t="shared" si="435"/>
        <v>x</v>
      </c>
      <c r="CX94" s="112" t="str">
        <f t="shared" si="436"/>
        <v>x</v>
      </c>
      <c r="CY94" s="112" t="str">
        <f t="shared" si="543"/>
        <v>x</v>
      </c>
      <c r="CZ94" s="112"/>
      <c r="DA94" s="112"/>
      <c r="DB94" s="115" t="str">
        <f t="shared" si="437"/>
        <v>x</v>
      </c>
      <c r="DC94" s="112"/>
      <c r="DD94" s="112"/>
      <c r="DE94" s="112" t="str">
        <f t="shared" si="438"/>
        <v>x</v>
      </c>
      <c r="DF94" s="115" t="str">
        <f t="shared" si="439"/>
        <v>x</v>
      </c>
      <c r="DG94" s="112" t="str">
        <f t="shared" si="440"/>
        <v>x</v>
      </c>
      <c r="DH94" s="112" t="str">
        <f t="shared" si="441"/>
        <v>x</v>
      </c>
      <c r="DI94" s="112"/>
      <c r="DJ94" s="112"/>
      <c r="DK94" s="112"/>
      <c r="DL94" s="112"/>
      <c r="DM94" s="112"/>
      <c r="DN94" s="112" t="str">
        <f t="shared" si="442"/>
        <v>x</v>
      </c>
      <c r="DO94" s="111"/>
      <c r="DP94" s="111"/>
      <c r="DQ94" s="112" t="str">
        <f t="shared" si="443"/>
        <v>x</v>
      </c>
      <c r="DR94" s="112" t="str">
        <f t="shared" si="544"/>
        <v>x</v>
      </c>
      <c r="DS94" s="112" t="str">
        <f t="shared" si="545"/>
        <v>x</v>
      </c>
      <c r="DT94" s="112"/>
      <c r="DU94" s="112" t="str">
        <f t="shared" si="444"/>
        <v>x</v>
      </c>
      <c r="DV94" s="112"/>
      <c r="DW94" s="112" t="str">
        <f t="shared" si="546"/>
        <v>x</v>
      </c>
      <c r="DX94" s="112" t="str">
        <f t="shared" si="445"/>
        <v>x</v>
      </c>
      <c r="DY94" s="112" t="str">
        <f t="shared" si="446"/>
        <v>x</v>
      </c>
      <c r="DZ94" s="112" t="str">
        <f t="shared" si="447"/>
        <v>x</v>
      </c>
      <c r="EA94" s="112" t="str">
        <f t="shared" si="448"/>
        <v>x</v>
      </c>
      <c r="EB94" s="112" t="str">
        <f t="shared" si="449"/>
        <v>x</v>
      </c>
      <c r="EC94" s="111"/>
      <c r="ED94" s="111"/>
      <c r="EE94" s="111"/>
      <c r="EF94" s="111"/>
      <c r="EG94" s="111"/>
      <c r="EH94" s="111"/>
      <c r="EI94" s="112"/>
      <c r="EJ94" s="112" t="str">
        <f t="shared" si="450"/>
        <v>x</v>
      </c>
      <c r="EK94" s="112" t="str">
        <f t="shared" si="451"/>
        <v>x</v>
      </c>
      <c r="EL94" s="112" t="str">
        <f t="shared" si="452"/>
        <v>x</v>
      </c>
      <c r="EM94" s="112" t="str">
        <f t="shared" si="453"/>
        <v>x</v>
      </c>
      <c r="EN94" s="112" t="str">
        <f t="shared" si="454"/>
        <v>x</v>
      </c>
      <c r="EO94" s="117" t="str">
        <f t="shared" si="455"/>
        <v>x</v>
      </c>
      <c r="EP94" s="117" t="str">
        <f t="shared" si="456"/>
        <v>x</v>
      </c>
      <c r="EQ94" s="112" t="str">
        <f t="shared" si="457"/>
        <v>x</v>
      </c>
      <c r="ER94" s="111"/>
      <c r="ES94" s="111"/>
      <c r="ET94" s="112" t="str">
        <f t="shared" si="458"/>
        <v>x</v>
      </c>
      <c r="EU94" s="112" t="str">
        <f t="shared" si="459"/>
        <v>x</v>
      </c>
      <c r="EV94" s="112" t="str">
        <f t="shared" si="460"/>
        <v>x</v>
      </c>
      <c r="EW94" s="112" t="str">
        <f t="shared" si="461"/>
        <v>x</v>
      </c>
      <c r="EX94" s="112" t="str">
        <f t="shared" si="462"/>
        <v>x</v>
      </c>
      <c r="EY94" s="112" t="str">
        <f t="shared" si="463"/>
        <v>x</v>
      </c>
      <c r="EZ94" s="112"/>
      <c r="FA94" s="112" t="str">
        <f t="shared" si="464"/>
        <v>x</v>
      </c>
      <c r="FB94" s="112" t="str">
        <f t="shared" si="465"/>
        <v>x</v>
      </c>
      <c r="FC94" s="112" t="str">
        <f t="shared" si="466"/>
        <v>x</v>
      </c>
      <c r="FD94" s="112" t="str">
        <f t="shared" si="467"/>
        <v>x</v>
      </c>
      <c r="FE94" s="112" t="str">
        <f t="shared" si="468"/>
        <v>x</v>
      </c>
      <c r="FF94" s="112" t="str">
        <f t="shared" si="469"/>
        <v>x</v>
      </c>
      <c r="FG94" s="111"/>
      <c r="FH94" s="111"/>
      <c r="FI94" s="112" t="str">
        <f t="shared" si="470"/>
        <v>x</v>
      </c>
      <c r="FJ94" s="112" t="str">
        <f t="shared" si="471"/>
        <v>x</v>
      </c>
      <c r="FK94" s="112" t="str">
        <f t="shared" si="472"/>
        <v>x</v>
      </c>
      <c r="FL94" s="112"/>
      <c r="FM94" s="112" t="str">
        <f t="shared" si="473"/>
        <v>x</v>
      </c>
      <c r="FN94" s="112" t="str">
        <f t="shared" si="547"/>
        <v>x</v>
      </c>
      <c r="FO94" s="112" t="str">
        <f t="shared" si="474"/>
        <v>x</v>
      </c>
      <c r="FP94" s="112" t="str">
        <f t="shared" si="475"/>
        <v>x</v>
      </c>
      <c r="FQ94" s="112" t="str">
        <f t="shared" si="476"/>
        <v>x</v>
      </c>
      <c r="FR94" s="112" t="str">
        <f t="shared" si="477"/>
        <v>x</v>
      </c>
      <c r="FS94" s="112" t="str">
        <f t="shared" si="478"/>
        <v>x</v>
      </c>
      <c r="FT94" s="112" t="str">
        <f t="shared" si="479"/>
        <v>x</v>
      </c>
      <c r="FU94" s="112" t="str">
        <f t="shared" si="480"/>
        <v>x</v>
      </c>
      <c r="FV94" s="112" t="str">
        <f t="shared" si="481"/>
        <v>x</v>
      </c>
      <c r="FW94" s="111"/>
      <c r="FX94" s="112"/>
      <c r="FY94" s="112"/>
      <c r="FZ94" s="111"/>
      <c r="GA94" s="111"/>
      <c r="GB94" s="111"/>
      <c r="GC94" s="112" t="str">
        <f t="shared" si="482"/>
        <v>x</v>
      </c>
      <c r="GD94" s="111"/>
      <c r="GE94" s="111"/>
      <c r="GF94" s="111"/>
      <c r="GG94" s="112"/>
      <c r="GH94" s="111"/>
      <c r="GI94" s="111"/>
      <c r="GJ94" s="112" t="str">
        <f t="shared" si="483"/>
        <v>x</v>
      </c>
      <c r="GK94" s="111"/>
      <c r="GL94" s="112" t="str">
        <f t="shared" si="484"/>
        <v>x</v>
      </c>
      <c r="GM94" s="111"/>
      <c r="GN94" s="112" t="str">
        <f t="shared" si="485"/>
        <v>x</v>
      </c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2" t="str">
        <f t="shared" si="48"/>
        <v>x</v>
      </c>
      <c r="HC94" s="112" t="str">
        <f t="shared" si="486"/>
        <v>x</v>
      </c>
      <c r="HD94" s="112" t="str">
        <f t="shared" si="487"/>
        <v>x</v>
      </c>
      <c r="HE94" s="112" t="str">
        <f t="shared" si="488"/>
        <v>x</v>
      </c>
      <c r="HF94" s="112" t="str">
        <f t="shared" si="489"/>
        <v>x</v>
      </c>
      <c r="HG94" s="112"/>
      <c r="HH94" s="112" t="str">
        <f t="shared" si="548"/>
        <v>x</v>
      </c>
      <c r="HI94" s="112"/>
      <c r="HJ94" s="112" t="str">
        <f t="shared" si="490"/>
        <v>x</v>
      </c>
      <c r="HK94" s="111"/>
      <c r="HL94" s="112" t="str">
        <f t="shared" si="491"/>
        <v>x</v>
      </c>
      <c r="HM94" s="112" t="str">
        <f t="shared" si="492"/>
        <v>x</v>
      </c>
      <c r="HN94" s="112" t="str">
        <f t="shared" si="493"/>
        <v>x</v>
      </c>
      <c r="HO94" s="112" t="str">
        <f t="shared" si="494"/>
        <v>x</v>
      </c>
      <c r="HP94" s="112" t="str">
        <f t="shared" si="495"/>
        <v>x</v>
      </c>
      <c r="HQ94" s="112" t="str">
        <f t="shared" si="496"/>
        <v>x</v>
      </c>
      <c r="HR94" s="112" t="str">
        <f t="shared" si="497"/>
        <v>x</v>
      </c>
      <c r="HS94" s="112" t="str">
        <f t="shared" si="498"/>
        <v>x</v>
      </c>
      <c r="HT94" s="112"/>
      <c r="HU94" s="112" t="str">
        <f t="shared" si="499"/>
        <v>x</v>
      </c>
      <c r="HV94" s="112"/>
      <c r="HW94" s="112" t="str">
        <f t="shared" si="549"/>
        <v>x</v>
      </c>
      <c r="HX94" s="112" t="str">
        <f t="shared" si="500"/>
        <v>x</v>
      </c>
      <c r="HY94" s="112" t="str">
        <f t="shared" si="501"/>
        <v>x</v>
      </c>
      <c r="HZ94" s="112" t="str">
        <f t="shared" si="502"/>
        <v>x</v>
      </c>
      <c r="IA94" s="112"/>
      <c r="IB94" s="112"/>
      <c r="IC94" s="112" t="str">
        <f t="shared" si="550"/>
        <v>x</v>
      </c>
      <c r="ID94" s="112" t="str">
        <f t="shared" si="503"/>
        <v>x</v>
      </c>
      <c r="IE94" s="112"/>
      <c r="IF94" s="112"/>
      <c r="IG94" s="111"/>
      <c r="IH94" s="112" t="str">
        <f t="shared" si="504"/>
        <v>x</v>
      </c>
      <c r="II94" s="112" t="str">
        <f t="shared" si="505"/>
        <v>x</v>
      </c>
      <c r="IJ94" s="112" t="str">
        <f t="shared" si="506"/>
        <v>x</v>
      </c>
      <c r="IK94" s="115" t="str">
        <f t="shared" si="507"/>
        <v>x</v>
      </c>
      <c r="IL94" s="112" t="str">
        <f t="shared" si="508"/>
        <v>x</v>
      </c>
      <c r="IM94" s="112" t="str">
        <f t="shared" si="509"/>
        <v>x</v>
      </c>
      <c r="IN94" s="112"/>
      <c r="IO94" s="112"/>
      <c r="IP94" s="112" t="str">
        <f t="shared" si="510"/>
        <v>x</v>
      </c>
      <c r="IQ94" s="112" t="str">
        <f t="shared" si="511"/>
        <v>x</v>
      </c>
      <c r="IR94" s="111"/>
      <c r="IS94" s="112" t="str">
        <f t="shared" si="512"/>
        <v>x</v>
      </c>
      <c r="IT94" s="111"/>
      <c r="IU94" s="112" t="str">
        <f t="shared" si="513"/>
        <v>x</v>
      </c>
      <c r="IV94" s="112"/>
      <c r="IW94" s="112" t="str">
        <f t="shared" si="514"/>
        <v>x</v>
      </c>
      <c r="IX94" s="112" t="str">
        <f t="shared" si="515"/>
        <v>x</v>
      </c>
      <c r="IY94" s="111"/>
      <c r="IZ94" s="112" t="str">
        <f t="shared" si="516"/>
        <v>x</v>
      </c>
      <c r="JA94" s="111"/>
      <c r="JB94" s="112" t="str">
        <f t="shared" si="517"/>
        <v>x</v>
      </c>
      <c r="JC94" s="111"/>
      <c r="JD94" s="112"/>
      <c r="JE94" s="112"/>
      <c r="JF94" s="112" t="str">
        <f t="shared" si="518"/>
        <v>x</v>
      </c>
      <c r="JG94" s="112" t="str">
        <f t="shared" si="519"/>
        <v>x</v>
      </c>
      <c r="JH94" s="112" t="str">
        <f t="shared" si="520"/>
        <v>x</v>
      </c>
      <c r="JI94" s="112"/>
      <c r="JJ94" s="112" t="str">
        <f t="shared" si="521"/>
        <v>x</v>
      </c>
      <c r="JK94" s="112" t="str">
        <f t="shared" si="551"/>
        <v>x</v>
      </c>
      <c r="JL94" s="112" t="str">
        <f t="shared" si="522"/>
        <v>x</v>
      </c>
      <c r="JM94" s="112"/>
      <c r="JN94" s="112"/>
      <c r="JO94" s="112"/>
      <c r="JP94" s="112"/>
      <c r="JQ94" s="112" t="str">
        <f t="shared" si="523"/>
        <v>x</v>
      </c>
      <c r="JR94" s="112"/>
      <c r="JS94" s="112" t="str">
        <f t="shared" si="524"/>
        <v>x</v>
      </c>
      <c r="JT94" s="111"/>
      <c r="JU94" s="111"/>
      <c r="JV94" s="112"/>
      <c r="JW94" s="112" t="str">
        <f t="shared" si="525"/>
        <v>x</v>
      </c>
      <c r="JX94" s="112"/>
      <c r="JY94" s="112"/>
      <c r="JZ94" s="112"/>
      <c r="KA94" s="112" t="str">
        <f t="shared" si="526"/>
        <v>x</v>
      </c>
      <c r="KB94" s="112" t="str">
        <f t="shared" si="527"/>
        <v>x</v>
      </c>
      <c r="KC94" s="112" t="str">
        <f t="shared" si="528"/>
        <v>x</v>
      </c>
      <c r="KD94" s="112" t="str">
        <f t="shared" si="529"/>
        <v>x</v>
      </c>
      <c r="KE94" s="112" t="str">
        <f t="shared" si="530"/>
        <v>x</v>
      </c>
      <c r="KF94" s="112"/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1"/>
      <c r="LC94" s="112"/>
      <c r="LD94" s="112"/>
      <c r="LE94" s="112"/>
      <c r="LF94" s="112"/>
      <c r="LG94" s="112"/>
      <c r="LH94" s="112"/>
      <c r="LI94" s="112"/>
      <c r="LJ94" s="112"/>
      <c r="LK94" s="112"/>
      <c r="LL94" s="112"/>
      <c r="LM94" s="112"/>
      <c r="LN94" s="112"/>
      <c r="LO94" s="112"/>
      <c r="LP94" s="112"/>
      <c r="LQ94" s="112"/>
      <c r="LR94" s="112"/>
      <c r="LS94" s="112"/>
      <c r="LT94" s="112"/>
      <c r="LU94" s="112"/>
      <c r="LV94" s="112"/>
      <c r="LW94" s="112"/>
      <c r="LX94" s="112"/>
      <c r="LY94" s="112"/>
      <c r="LZ94" s="112"/>
      <c r="MA94" s="112"/>
      <c r="MB94" s="111"/>
      <c r="MC94" s="112" t="str">
        <f t="shared" si="531"/>
        <v>x</v>
      </c>
      <c r="MD94" s="112"/>
      <c r="ME94" s="112" t="str">
        <f t="shared" si="532"/>
        <v>x</v>
      </c>
      <c r="MF94" s="112" t="str">
        <f t="shared" si="533"/>
        <v>x</v>
      </c>
      <c r="MG94" s="112" t="str">
        <f t="shared" si="552"/>
        <v>x</v>
      </c>
      <c r="MH94" s="112" t="str">
        <f t="shared" si="534"/>
        <v>x</v>
      </c>
    </row>
    <row r="95" spans="1:346" x14ac:dyDescent="0.25">
      <c r="A95" s="110" t="s">
        <v>4</v>
      </c>
      <c r="B95" s="101" t="s">
        <v>389</v>
      </c>
      <c r="C95" s="102"/>
      <c r="D95" s="102"/>
      <c r="E95" s="102"/>
      <c r="F95" s="102"/>
      <c r="G95" s="102"/>
      <c r="H95" s="102"/>
      <c r="I95" s="102"/>
      <c r="J95" s="103"/>
      <c r="K95" s="111"/>
      <c r="L95" s="111"/>
      <c r="M95" s="112" t="str">
        <f t="shared" si="390"/>
        <v>x</v>
      </c>
      <c r="N95" s="112" t="str">
        <f t="shared" si="391"/>
        <v>x</v>
      </c>
      <c r="O95" s="112" t="str">
        <f t="shared" si="535"/>
        <v>x</v>
      </c>
      <c r="P95" s="112" t="str">
        <f t="shared" si="392"/>
        <v>x</v>
      </c>
      <c r="Q95" s="112" t="str">
        <f t="shared" si="393"/>
        <v>x</v>
      </c>
      <c r="R95" s="112"/>
      <c r="S95" s="112" t="str">
        <f t="shared" si="394"/>
        <v>x</v>
      </c>
      <c r="T95" s="112" t="str">
        <f t="shared" si="395"/>
        <v>x</v>
      </c>
      <c r="U95" s="112"/>
      <c r="V95" s="112"/>
      <c r="W95" s="112" t="str">
        <f t="shared" si="396"/>
        <v>x</v>
      </c>
      <c r="X95" s="112" t="str">
        <f t="shared" si="397"/>
        <v>x</v>
      </c>
      <c r="Y95" s="112"/>
      <c r="Z95" s="112"/>
      <c r="AA95" s="112"/>
      <c r="AB95" s="112" t="str">
        <f t="shared" si="398"/>
        <v>x</v>
      </c>
      <c r="AC95" s="112" t="str">
        <f t="shared" si="399"/>
        <v>x</v>
      </c>
      <c r="AD95" s="112" t="str">
        <f t="shared" si="400"/>
        <v>x</v>
      </c>
      <c r="AE95" s="112" t="str">
        <f t="shared" si="536"/>
        <v>x</v>
      </c>
      <c r="AF95" s="112" t="str">
        <f t="shared" si="401"/>
        <v>x</v>
      </c>
      <c r="AG95" s="112" t="str">
        <f t="shared" si="402"/>
        <v>x</v>
      </c>
      <c r="AH95" s="112" t="str">
        <f t="shared" si="403"/>
        <v>x</v>
      </c>
      <c r="AI95" s="112" t="str">
        <f t="shared" si="404"/>
        <v>x</v>
      </c>
      <c r="AJ95" s="112" t="str">
        <f t="shared" si="405"/>
        <v>x</v>
      </c>
      <c r="AK95" s="112" t="str">
        <f t="shared" si="406"/>
        <v>x</v>
      </c>
      <c r="AL95" s="112"/>
      <c r="AM95" s="112" t="str">
        <f t="shared" si="537"/>
        <v>x</v>
      </c>
      <c r="AN95" s="112"/>
      <c r="AO95" s="112"/>
      <c r="AP95" s="112"/>
      <c r="AQ95" s="112"/>
      <c r="AR95" s="112"/>
      <c r="AS95" s="112"/>
      <c r="AT95" s="112" t="str">
        <f t="shared" si="407"/>
        <v>x</v>
      </c>
      <c r="AU95" s="113"/>
      <c r="AV95" s="114" t="str">
        <f t="shared" si="408"/>
        <v>x</v>
      </c>
      <c r="AW95" s="114" t="str">
        <f t="shared" si="409"/>
        <v>x</v>
      </c>
      <c r="AX95" s="112" t="str">
        <f t="shared" si="410"/>
        <v>x</v>
      </c>
      <c r="AY95" s="111"/>
      <c r="AZ95" s="112" t="str">
        <f t="shared" si="411"/>
        <v>x</v>
      </c>
      <c r="BA95" s="112" t="str">
        <f t="shared" si="412"/>
        <v>x</v>
      </c>
      <c r="BB95" s="111"/>
      <c r="BC95" s="111"/>
      <c r="BD95" s="112" t="str">
        <f t="shared" si="413"/>
        <v>x</v>
      </c>
      <c r="BE95" s="112"/>
      <c r="BF95" s="111"/>
      <c r="BG95" s="112" t="str">
        <f t="shared" si="414"/>
        <v>x</v>
      </c>
      <c r="BH95" s="112" t="str">
        <f t="shared" si="538"/>
        <v>x</v>
      </c>
      <c r="BI95" s="112" t="str">
        <f t="shared" si="415"/>
        <v>x</v>
      </c>
      <c r="BJ95" s="111"/>
      <c r="BK95" s="112" t="str">
        <f t="shared" si="416"/>
        <v>x</v>
      </c>
      <c r="BL95" s="112" t="str">
        <f t="shared" si="417"/>
        <v>x</v>
      </c>
      <c r="BM95" s="112" t="str">
        <f t="shared" si="418"/>
        <v>x</v>
      </c>
      <c r="BN95" s="112" t="str">
        <f t="shared" si="419"/>
        <v>x</v>
      </c>
      <c r="BO95" s="111"/>
      <c r="BP95" s="111"/>
      <c r="BQ95" s="111"/>
      <c r="BR95" s="112" t="str">
        <f t="shared" si="420"/>
        <v>x</v>
      </c>
      <c r="BS95" s="112"/>
      <c r="BT95" s="111"/>
      <c r="BU95" s="112" t="str">
        <f t="shared" si="421"/>
        <v>x</v>
      </c>
      <c r="BV95" s="112" t="str">
        <f t="shared" si="422"/>
        <v>x</v>
      </c>
      <c r="BW95" s="112"/>
      <c r="BX95" s="112"/>
      <c r="BY95" s="112"/>
      <c r="BZ95" s="112" t="str">
        <f t="shared" si="423"/>
        <v>x</v>
      </c>
      <c r="CA95" s="112" t="str">
        <f t="shared" si="424"/>
        <v>x</v>
      </c>
      <c r="CB95" s="112" t="str">
        <f t="shared" si="425"/>
        <v>x</v>
      </c>
      <c r="CC95" s="112"/>
      <c r="CD95" s="112"/>
      <c r="CE95" s="111"/>
      <c r="CF95" s="112" t="str">
        <f t="shared" si="426"/>
        <v>x</v>
      </c>
      <c r="CG95" s="112" t="str">
        <f t="shared" si="539"/>
        <v>x</v>
      </c>
      <c r="CH95" s="112" t="str">
        <f t="shared" si="427"/>
        <v>x</v>
      </c>
      <c r="CI95" s="112" t="str">
        <f t="shared" si="428"/>
        <v>x</v>
      </c>
      <c r="CJ95" s="112" t="str">
        <f t="shared" si="429"/>
        <v>x</v>
      </c>
      <c r="CK95" s="112" t="str">
        <f t="shared" si="430"/>
        <v>x</v>
      </c>
      <c r="CL95" s="112" t="str">
        <f t="shared" si="431"/>
        <v>x</v>
      </c>
      <c r="CM95" s="112"/>
      <c r="CN95" s="112"/>
      <c r="CO95" s="112" t="str">
        <f t="shared" si="540"/>
        <v>x</v>
      </c>
      <c r="CP95" s="112"/>
      <c r="CQ95" s="112" t="str">
        <f t="shared" si="541"/>
        <v>x</v>
      </c>
      <c r="CR95" s="112" t="str">
        <f t="shared" si="432"/>
        <v>x</v>
      </c>
      <c r="CS95" s="112"/>
      <c r="CT95" s="112" t="str">
        <f t="shared" si="542"/>
        <v>x</v>
      </c>
      <c r="CU95" s="112" t="str">
        <f t="shared" si="433"/>
        <v>x</v>
      </c>
      <c r="CV95" s="112" t="str">
        <f t="shared" si="434"/>
        <v>x</v>
      </c>
      <c r="CW95" s="112" t="str">
        <f t="shared" si="435"/>
        <v>x</v>
      </c>
      <c r="CX95" s="112" t="str">
        <f t="shared" si="436"/>
        <v>x</v>
      </c>
      <c r="CY95" s="112" t="str">
        <f t="shared" si="543"/>
        <v>x</v>
      </c>
      <c r="CZ95" s="112"/>
      <c r="DA95" s="112"/>
      <c r="DB95" s="115" t="str">
        <f t="shared" si="437"/>
        <v>x</v>
      </c>
      <c r="DC95" s="112"/>
      <c r="DD95" s="112"/>
      <c r="DE95" s="112" t="str">
        <f t="shared" si="438"/>
        <v>x</v>
      </c>
      <c r="DF95" s="115" t="str">
        <f t="shared" si="439"/>
        <v>x</v>
      </c>
      <c r="DG95" s="112" t="str">
        <f t="shared" si="440"/>
        <v>x</v>
      </c>
      <c r="DH95" s="112" t="str">
        <f t="shared" si="441"/>
        <v>x</v>
      </c>
      <c r="DI95" s="112"/>
      <c r="DJ95" s="112"/>
      <c r="DK95" s="112"/>
      <c r="DL95" s="112"/>
      <c r="DM95" s="112"/>
      <c r="DN95" s="112" t="str">
        <f t="shared" si="442"/>
        <v>x</v>
      </c>
      <c r="DO95" s="111"/>
      <c r="DP95" s="111"/>
      <c r="DQ95" s="112" t="str">
        <f t="shared" si="443"/>
        <v>x</v>
      </c>
      <c r="DR95" s="112" t="str">
        <f t="shared" si="544"/>
        <v>x</v>
      </c>
      <c r="DS95" s="112" t="str">
        <f t="shared" si="545"/>
        <v>x</v>
      </c>
      <c r="DT95" s="112"/>
      <c r="DU95" s="112" t="str">
        <f t="shared" si="444"/>
        <v>x</v>
      </c>
      <c r="DV95" s="112"/>
      <c r="DW95" s="112" t="str">
        <f t="shared" si="546"/>
        <v>x</v>
      </c>
      <c r="DX95" s="112" t="str">
        <f t="shared" si="445"/>
        <v>x</v>
      </c>
      <c r="DY95" s="112" t="str">
        <f t="shared" si="446"/>
        <v>x</v>
      </c>
      <c r="DZ95" s="112" t="str">
        <f t="shared" si="447"/>
        <v>x</v>
      </c>
      <c r="EA95" s="112" t="str">
        <f t="shared" si="448"/>
        <v>x</v>
      </c>
      <c r="EB95" s="112" t="str">
        <f t="shared" si="449"/>
        <v>x</v>
      </c>
      <c r="EC95" s="111"/>
      <c r="ED95" s="111"/>
      <c r="EE95" s="111"/>
      <c r="EF95" s="111"/>
      <c r="EG95" s="111"/>
      <c r="EH95" s="111"/>
      <c r="EI95" s="112"/>
      <c r="EJ95" s="112" t="str">
        <f t="shared" si="450"/>
        <v>x</v>
      </c>
      <c r="EK95" s="112" t="str">
        <f t="shared" si="451"/>
        <v>x</v>
      </c>
      <c r="EL95" s="112" t="str">
        <f t="shared" si="452"/>
        <v>x</v>
      </c>
      <c r="EM95" s="112" t="str">
        <f t="shared" si="453"/>
        <v>x</v>
      </c>
      <c r="EN95" s="112" t="str">
        <f t="shared" si="454"/>
        <v>x</v>
      </c>
      <c r="EO95" s="117" t="str">
        <f t="shared" si="455"/>
        <v>x</v>
      </c>
      <c r="EP95" s="117" t="str">
        <f t="shared" si="456"/>
        <v>x</v>
      </c>
      <c r="EQ95" s="112" t="str">
        <f t="shared" si="457"/>
        <v>x</v>
      </c>
      <c r="ER95" s="111"/>
      <c r="ES95" s="111"/>
      <c r="ET95" s="112" t="str">
        <f t="shared" si="458"/>
        <v>x</v>
      </c>
      <c r="EU95" s="112" t="str">
        <f t="shared" si="459"/>
        <v>x</v>
      </c>
      <c r="EV95" s="112" t="str">
        <f t="shared" si="460"/>
        <v>x</v>
      </c>
      <c r="EW95" s="112" t="str">
        <f t="shared" si="461"/>
        <v>x</v>
      </c>
      <c r="EX95" s="112" t="str">
        <f t="shared" si="462"/>
        <v>x</v>
      </c>
      <c r="EY95" s="112" t="str">
        <f t="shared" si="463"/>
        <v>x</v>
      </c>
      <c r="EZ95" s="112"/>
      <c r="FA95" s="112" t="str">
        <f t="shared" si="464"/>
        <v>x</v>
      </c>
      <c r="FB95" s="112" t="str">
        <f t="shared" si="465"/>
        <v>x</v>
      </c>
      <c r="FC95" s="112" t="str">
        <f t="shared" si="466"/>
        <v>x</v>
      </c>
      <c r="FD95" s="112" t="str">
        <f t="shared" si="467"/>
        <v>x</v>
      </c>
      <c r="FE95" s="112" t="str">
        <f t="shared" si="468"/>
        <v>x</v>
      </c>
      <c r="FF95" s="112" t="str">
        <f t="shared" si="469"/>
        <v>x</v>
      </c>
      <c r="FG95" s="111"/>
      <c r="FH95" s="111"/>
      <c r="FI95" s="112" t="str">
        <f t="shared" si="470"/>
        <v>x</v>
      </c>
      <c r="FJ95" s="112" t="str">
        <f t="shared" si="471"/>
        <v>x</v>
      </c>
      <c r="FK95" s="112" t="str">
        <f t="shared" si="472"/>
        <v>x</v>
      </c>
      <c r="FL95" s="112"/>
      <c r="FM95" s="112" t="str">
        <f t="shared" si="473"/>
        <v>x</v>
      </c>
      <c r="FN95" s="112" t="str">
        <f t="shared" si="547"/>
        <v>x</v>
      </c>
      <c r="FO95" s="112" t="str">
        <f t="shared" si="474"/>
        <v>x</v>
      </c>
      <c r="FP95" s="112" t="str">
        <f t="shared" si="475"/>
        <v>x</v>
      </c>
      <c r="FQ95" s="112" t="str">
        <f t="shared" si="476"/>
        <v>x</v>
      </c>
      <c r="FR95" s="112" t="str">
        <f t="shared" si="477"/>
        <v>x</v>
      </c>
      <c r="FS95" s="112" t="str">
        <f t="shared" si="478"/>
        <v>x</v>
      </c>
      <c r="FT95" s="112" t="str">
        <f t="shared" si="479"/>
        <v>x</v>
      </c>
      <c r="FU95" s="112" t="str">
        <f t="shared" si="480"/>
        <v>x</v>
      </c>
      <c r="FV95" s="112" t="str">
        <f t="shared" si="481"/>
        <v>x</v>
      </c>
      <c r="FW95" s="111"/>
      <c r="FX95" s="112"/>
      <c r="FY95" s="112"/>
      <c r="FZ95" s="111"/>
      <c r="GA95" s="111"/>
      <c r="GB95" s="111"/>
      <c r="GC95" s="112" t="str">
        <f t="shared" si="482"/>
        <v>x</v>
      </c>
      <c r="GD95" s="111"/>
      <c r="GE95" s="111"/>
      <c r="GF95" s="111"/>
      <c r="GG95" s="112"/>
      <c r="GH95" s="111"/>
      <c r="GI95" s="111"/>
      <c r="GJ95" s="112" t="str">
        <f t="shared" si="483"/>
        <v>x</v>
      </c>
      <c r="GK95" s="111"/>
      <c r="GL95" s="112" t="str">
        <f t="shared" si="484"/>
        <v>x</v>
      </c>
      <c r="GM95" s="111"/>
      <c r="GN95" s="112" t="str">
        <f t="shared" si="485"/>
        <v>x</v>
      </c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2" t="str">
        <f t="shared" si="48"/>
        <v>x</v>
      </c>
      <c r="HC95" s="112" t="str">
        <f t="shared" si="486"/>
        <v>x</v>
      </c>
      <c r="HD95" s="112" t="str">
        <f t="shared" si="487"/>
        <v>x</v>
      </c>
      <c r="HE95" s="112" t="str">
        <f t="shared" si="488"/>
        <v>x</v>
      </c>
      <c r="HF95" s="112" t="str">
        <f t="shared" si="489"/>
        <v>x</v>
      </c>
      <c r="HG95" s="112"/>
      <c r="HH95" s="112" t="str">
        <f t="shared" si="548"/>
        <v>x</v>
      </c>
      <c r="HI95" s="112"/>
      <c r="HJ95" s="112" t="str">
        <f t="shared" si="490"/>
        <v>x</v>
      </c>
      <c r="HK95" s="111"/>
      <c r="HL95" s="112" t="str">
        <f t="shared" si="491"/>
        <v>x</v>
      </c>
      <c r="HM95" s="112" t="str">
        <f t="shared" si="492"/>
        <v>x</v>
      </c>
      <c r="HN95" s="112" t="str">
        <f t="shared" si="493"/>
        <v>x</v>
      </c>
      <c r="HO95" s="112" t="str">
        <f t="shared" si="494"/>
        <v>x</v>
      </c>
      <c r="HP95" s="112" t="str">
        <f t="shared" si="495"/>
        <v>x</v>
      </c>
      <c r="HQ95" s="112" t="str">
        <f t="shared" si="496"/>
        <v>x</v>
      </c>
      <c r="HR95" s="112" t="str">
        <f t="shared" si="497"/>
        <v>x</v>
      </c>
      <c r="HS95" s="112" t="str">
        <f t="shared" si="498"/>
        <v>x</v>
      </c>
      <c r="HT95" s="112"/>
      <c r="HU95" s="112" t="str">
        <f t="shared" si="499"/>
        <v>x</v>
      </c>
      <c r="HV95" s="112"/>
      <c r="HW95" s="112" t="str">
        <f t="shared" si="549"/>
        <v>x</v>
      </c>
      <c r="HX95" s="112" t="str">
        <f t="shared" si="500"/>
        <v>x</v>
      </c>
      <c r="HY95" s="112" t="str">
        <f t="shared" si="501"/>
        <v>x</v>
      </c>
      <c r="HZ95" s="112" t="str">
        <f t="shared" si="502"/>
        <v>x</v>
      </c>
      <c r="IA95" s="112"/>
      <c r="IB95" s="112"/>
      <c r="IC95" s="112" t="str">
        <f t="shared" si="550"/>
        <v>x</v>
      </c>
      <c r="ID95" s="112" t="str">
        <f t="shared" si="503"/>
        <v>x</v>
      </c>
      <c r="IE95" s="112"/>
      <c r="IF95" s="112"/>
      <c r="IG95" s="111"/>
      <c r="IH95" s="112" t="str">
        <f t="shared" si="504"/>
        <v>x</v>
      </c>
      <c r="II95" s="112" t="str">
        <f t="shared" si="505"/>
        <v>x</v>
      </c>
      <c r="IJ95" s="112" t="str">
        <f t="shared" si="506"/>
        <v>x</v>
      </c>
      <c r="IK95" s="115" t="str">
        <f t="shared" si="507"/>
        <v>x</v>
      </c>
      <c r="IL95" s="112" t="str">
        <f t="shared" si="508"/>
        <v>x</v>
      </c>
      <c r="IM95" s="112" t="str">
        <f t="shared" si="509"/>
        <v>x</v>
      </c>
      <c r="IN95" s="112"/>
      <c r="IO95" s="112"/>
      <c r="IP95" s="112" t="str">
        <f t="shared" si="510"/>
        <v>x</v>
      </c>
      <c r="IQ95" s="112" t="str">
        <f t="shared" si="511"/>
        <v>x</v>
      </c>
      <c r="IR95" s="111"/>
      <c r="IS95" s="112" t="str">
        <f t="shared" si="512"/>
        <v>x</v>
      </c>
      <c r="IT95" s="111"/>
      <c r="IU95" s="112" t="str">
        <f t="shared" si="513"/>
        <v>x</v>
      </c>
      <c r="IV95" s="112"/>
      <c r="IW95" s="112" t="str">
        <f t="shared" si="514"/>
        <v>x</v>
      </c>
      <c r="IX95" s="112" t="str">
        <f t="shared" si="515"/>
        <v>x</v>
      </c>
      <c r="IY95" s="111"/>
      <c r="IZ95" s="112" t="str">
        <f t="shared" si="516"/>
        <v>x</v>
      </c>
      <c r="JA95" s="111"/>
      <c r="JB95" s="112" t="str">
        <f t="shared" si="517"/>
        <v>x</v>
      </c>
      <c r="JC95" s="111"/>
      <c r="JD95" s="112"/>
      <c r="JE95" s="112"/>
      <c r="JF95" s="112" t="str">
        <f t="shared" si="518"/>
        <v>x</v>
      </c>
      <c r="JG95" s="112" t="str">
        <f t="shared" si="519"/>
        <v>x</v>
      </c>
      <c r="JH95" s="112" t="str">
        <f t="shared" si="520"/>
        <v>x</v>
      </c>
      <c r="JI95" s="112"/>
      <c r="JJ95" s="112" t="str">
        <f t="shared" si="521"/>
        <v>x</v>
      </c>
      <c r="JK95" s="112" t="str">
        <f t="shared" si="551"/>
        <v>x</v>
      </c>
      <c r="JL95" s="112" t="str">
        <f t="shared" si="522"/>
        <v>x</v>
      </c>
      <c r="JM95" s="112"/>
      <c r="JN95" s="112"/>
      <c r="JO95" s="112"/>
      <c r="JP95" s="112"/>
      <c r="JQ95" s="112" t="str">
        <f t="shared" si="523"/>
        <v>x</v>
      </c>
      <c r="JR95" s="112"/>
      <c r="JS95" s="112" t="str">
        <f t="shared" si="524"/>
        <v>x</v>
      </c>
      <c r="JT95" s="111"/>
      <c r="JU95" s="111"/>
      <c r="JV95" s="112"/>
      <c r="JW95" s="112" t="str">
        <f t="shared" si="525"/>
        <v>x</v>
      </c>
      <c r="JX95" s="112"/>
      <c r="JY95" s="112"/>
      <c r="JZ95" s="112"/>
      <c r="KA95" s="112" t="str">
        <f t="shared" si="526"/>
        <v>x</v>
      </c>
      <c r="KB95" s="112" t="str">
        <f t="shared" si="527"/>
        <v>x</v>
      </c>
      <c r="KC95" s="112" t="str">
        <f t="shared" si="528"/>
        <v>x</v>
      </c>
      <c r="KD95" s="112" t="str">
        <f t="shared" si="529"/>
        <v>x</v>
      </c>
      <c r="KE95" s="112" t="str">
        <f t="shared" si="530"/>
        <v>x</v>
      </c>
      <c r="KF95" s="112"/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  <c r="KY95" s="112"/>
      <c r="KZ95" s="112"/>
      <c r="LA95" s="112"/>
      <c r="LB95" s="111"/>
      <c r="LC95" s="112"/>
      <c r="LD95" s="112"/>
      <c r="LE95" s="112"/>
      <c r="LF95" s="112"/>
      <c r="LG95" s="112"/>
      <c r="LH95" s="112"/>
      <c r="LI95" s="112"/>
      <c r="LJ95" s="112"/>
      <c r="LK95" s="112"/>
      <c r="LL95" s="112"/>
      <c r="LM95" s="112"/>
      <c r="LN95" s="112"/>
      <c r="LO95" s="112"/>
      <c r="LP95" s="112"/>
      <c r="LQ95" s="112"/>
      <c r="LR95" s="112"/>
      <c r="LS95" s="112"/>
      <c r="LT95" s="112"/>
      <c r="LU95" s="112"/>
      <c r="LV95" s="112"/>
      <c r="LW95" s="112"/>
      <c r="LX95" s="112"/>
      <c r="LY95" s="112"/>
      <c r="LZ95" s="112"/>
      <c r="MA95" s="112"/>
      <c r="MB95" s="111"/>
      <c r="MC95" s="112" t="str">
        <f t="shared" si="531"/>
        <v>x</v>
      </c>
      <c r="MD95" s="112"/>
      <c r="ME95" s="112" t="str">
        <f t="shared" si="532"/>
        <v>x</v>
      </c>
      <c r="MF95" s="112" t="str">
        <f t="shared" si="533"/>
        <v>x</v>
      </c>
      <c r="MG95" s="112" t="str">
        <f t="shared" si="552"/>
        <v>x</v>
      </c>
      <c r="MH95" s="112" t="str">
        <f t="shared" si="534"/>
        <v>x</v>
      </c>
    </row>
    <row r="96" spans="1:346" x14ac:dyDescent="0.25">
      <c r="A96" s="110" t="s">
        <v>4</v>
      </c>
      <c r="B96" s="101" t="s">
        <v>390</v>
      </c>
      <c r="C96" s="102"/>
      <c r="D96" s="102"/>
      <c r="E96" s="102"/>
      <c r="F96" s="102"/>
      <c r="G96" s="102"/>
      <c r="H96" s="102"/>
      <c r="I96" s="102"/>
      <c r="J96" s="103"/>
      <c r="K96" s="111"/>
      <c r="L96" s="111"/>
      <c r="M96" s="112" t="str">
        <f t="shared" si="390"/>
        <v>x</v>
      </c>
      <c r="N96" s="112" t="str">
        <f t="shared" si="391"/>
        <v>x</v>
      </c>
      <c r="O96" s="112" t="str">
        <f t="shared" si="535"/>
        <v>x</v>
      </c>
      <c r="P96" s="112" t="str">
        <f t="shared" si="392"/>
        <v>x</v>
      </c>
      <c r="Q96" s="112" t="str">
        <f t="shared" si="393"/>
        <v>x</v>
      </c>
      <c r="R96" s="112"/>
      <c r="S96" s="112" t="str">
        <f t="shared" si="394"/>
        <v>x</v>
      </c>
      <c r="T96" s="112" t="str">
        <f t="shared" si="395"/>
        <v>x</v>
      </c>
      <c r="U96" s="112"/>
      <c r="V96" s="112"/>
      <c r="W96" s="112" t="str">
        <f t="shared" si="396"/>
        <v>x</v>
      </c>
      <c r="X96" s="112" t="str">
        <f t="shared" si="397"/>
        <v>x</v>
      </c>
      <c r="Y96" s="112"/>
      <c r="Z96" s="112"/>
      <c r="AA96" s="112"/>
      <c r="AB96" s="112" t="str">
        <f t="shared" si="398"/>
        <v>x</v>
      </c>
      <c r="AC96" s="112" t="str">
        <f t="shared" si="399"/>
        <v>x</v>
      </c>
      <c r="AD96" s="112" t="str">
        <f t="shared" si="400"/>
        <v>x</v>
      </c>
      <c r="AE96" s="112" t="str">
        <f t="shared" si="536"/>
        <v>x</v>
      </c>
      <c r="AF96" s="112" t="str">
        <f t="shared" si="401"/>
        <v>x</v>
      </c>
      <c r="AG96" s="112" t="str">
        <f t="shared" si="402"/>
        <v>x</v>
      </c>
      <c r="AH96" s="112" t="str">
        <f t="shared" si="403"/>
        <v>x</v>
      </c>
      <c r="AI96" s="112" t="str">
        <f t="shared" si="404"/>
        <v>x</v>
      </c>
      <c r="AJ96" s="112" t="str">
        <f t="shared" si="405"/>
        <v>x</v>
      </c>
      <c r="AK96" s="112" t="str">
        <f t="shared" si="406"/>
        <v>x</v>
      </c>
      <c r="AL96" s="112"/>
      <c r="AM96" s="112" t="str">
        <f t="shared" si="537"/>
        <v>x</v>
      </c>
      <c r="AN96" s="112"/>
      <c r="AO96" s="112"/>
      <c r="AP96" s="112"/>
      <c r="AQ96" s="112"/>
      <c r="AR96" s="112"/>
      <c r="AS96" s="112"/>
      <c r="AT96" s="112" t="str">
        <f t="shared" si="407"/>
        <v>x</v>
      </c>
      <c r="AU96" s="113"/>
      <c r="AV96" s="114" t="str">
        <f t="shared" si="408"/>
        <v>x</v>
      </c>
      <c r="AW96" s="114" t="str">
        <f t="shared" si="409"/>
        <v>x</v>
      </c>
      <c r="AX96" s="112" t="str">
        <f t="shared" si="410"/>
        <v>x</v>
      </c>
      <c r="AY96" s="111"/>
      <c r="AZ96" s="112" t="str">
        <f t="shared" si="411"/>
        <v>x</v>
      </c>
      <c r="BA96" s="112" t="str">
        <f t="shared" si="412"/>
        <v>x</v>
      </c>
      <c r="BB96" s="111"/>
      <c r="BC96" s="111"/>
      <c r="BD96" s="112" t="str">
        <f t="shared" si="413"/>
        <v>x</v>
      </c>
      <c r="BE96" s="112"/>
      <c r="BF96" s="111"/>
      <c r="BG96" s="112" t="str">
        <f t="shared" si="414"/>
        <v>x</v>
      </c>
      <c r="BH96" s="112" t="str">
        <f t="shared" si="538"/>
        <v>x</v>
      </c>
      <c r="BI96" s="112" t="str">
        <f t="shared" si="415"/>
        <v>x</v>
      </c>
      <c r="BJ96" s="111"/>
      <c r="BK96" s="112" t="str">
        <f t="shared" si="416"/>
        <v>x</v>
      </c>
      <c r="BL96" s="112" t="str">
        <f t="shared" si="417"/>
        <v>x</v>
      </c>
      <c r="BM96" s="112" t="str">
        <f t="shared" si="418"/>
        <v>x</v>
      </c>
      <c r="BN96" s="112" t="str">
        <f t="shared" si="419"/>
        <v>x</v>
      </c>
      <c r="BO96" s="111"/>
      <c r="BP96" s="111"/>
      <c r="BQ96" s="111"/>
      <c r="BR96" s="112" t="str">
        <f t="shared" si="420"/>
        <v>x</v>
      </c>
      <c r="BS96" s="112"/>
      <c r="BT96" s="111"/>
      <c r="BU96" s="112" t="str">
        <f t="shared" si="421"/>
        <v>x</v>
      </c>
      <c r="BV96" s="112" t="str">
        <f t="shared" si="422"/>
        <v>x</v>
      </c>
      <c r="BW96" s="112"/>
      <c r="BX96" s="112"/>
      <c r="BY96" s="112"/>
      <c r="BZ96" s="112" t="str">
        <f t="shared" si="423"/>
        <v>x</v>
      </c>
      <c r="CA96" s="112" t="str">
        <f t="shared" si="424"/>
        <v>x</v>
      </c>
      <c r="CB96" s="112" t="str">
        <f t="shared" si="425"/>
        <v>x</v>
      </c>
      <c r="CC96" s="112"/>
      <c r="CD96" s="112"/>
      <c r="CE96" s="111"/>
      <c r="CF96" s="112" t="str">
        <f t="shared" si="426"/>
        <v>x</v>
      </c>
      <c r="CG96" s="112" t="str">
        <f t="shared" si="539"/>
        <v>x</v>
      </c>
      <c r="CH96" s="112" t="str">
        <f t="shared" si="427"/>
        <v>x</v>
      </c>
      <c r="CI96" s="112" t="str">
        <f t="shared" si="428"/>
        <v>x</v>
      </c>
      <c r="CJ96" s="112" t="str">
        <f t="shared" si="429"/>
        <v>x</v>
      </c>
      <c r="CK96" s="112" t="str">
        <f t="shared" si="430"/>
        <v>x</v>
      </c>
      <c r="CL96" s="112" t="str">
        <f t="shared" si="431"/>
        <v>x</v>
      </c>
      <c r="CM96" s="112"/>
      <c r="CN96" s="112"/>
      <c r="CO96" s="112" t="str">
        <f t="shared" si="540"/>
        <v>x</v>
      </c>
      <c r="CP96" s="112"/>
      <c r="CQ96" s="112" t="str">
        <f t="shared" si="541"/>
        <v>x</v>
      </c>
      <c r="CR96" s="112" t="str">
        <f t="shared" si="432"/>
        <v>x</v>
      </c>
      <c r="CS96" s="112"/>
      <c r="CT96" s="112" t="str">
        <f t="shared" si="542"/>
        <v>x</v>
      </c>
      <c r="CU96" s="112" t="str">
        <f t="shared" si="433"/>
        <v>x</v>
      </c>
      <c r="CV96" s="112" t="str">
        <f t="shared" si="434"/>
        <v>x</v>
      </c>
      <c r="CW96" s="112" t="str">
        <f t="shared" si="435"/>
        <v>x</v>
      </c>
      <c r="CX96" s="112" t="str">
        <f t="shared" si="436"/>
        <v>x</v>
      </c>
      <c r="CY96" s="112" t="str">
        <f t="shared" si="543"/>
        <v>x</v>
      </c>
      <c r="CZ96" s="112"/>
      <c r="DA96" s="112"/>
      <c r="DB96" s="115" t="str">
        <f t="shared" si="437"/>
        <v>x</v>
      </c>
      <c r="DC96" s="112"/>
      <c r="DD96" s="112"/>
      <c r="DE96" s="112" t="str">
        <f t="shared" si="438"/>
        <v>x</v>
      </c>
      <c r="DF96" s="115" t="str">
        <f t="shared" si="439"/>
        <v>x</v>
      </c>
      <c r="DG96" s="112" t="str">
        <f t="shared" si="440"/>
        <v>x</v>
      </c>
      <c r="DH96" s="112" t="str">
        <f t="shared" si="441"/>
        <v>x</v>
      </c>
      <c r="DI96" s="112"/>
      <c r="DJ96" s="112"/>
      <c r="DK96" s="112"/>
      <c r="DL96" s="112"/>
      <c r="DM96" s="112"/>
      <c r="DN96" s="112" t="str">
        <f t="shared" si="442"/>
        <v>x</v>
      </c>
      <c r="DO96" s="111"/>
      <c r="DP96" s="111"/>
      <c r="DQ96" s="112" t="str">
        <f t="shared" si="443"/>
        <v>x</v>
      </c>
      <c r="DR96" s="112" t="str">
        <f t="shared" si="544"/>
        <v>x</v>
      </c>
      <c r="DS96" s="112" t="str">
        <f t="shared" si="545"/>
        <v>x</v>
      </c>
      <c r="DT96" s="112"/>
      <c r="DU96" s="112" t="str">
        <f t="shared" si="444"/>
        <v>x</v>
      </c>
      <c r="DV96" s="112"/>
      <c r="DW96" s="112" t="str">
        <f t="shared" si="546"/>
        <v>x</v>
      </c>
      <c r="DX96" s="112" t="str">
        <f t="shared" si="445"/>
        <v>x</v>
      </c>
      <c r="DY96" s="112" t="str">
        <f t="shared" si="446"/>
        <v>x</v>
      </c>
      <c r="DZ96" s="112" t="str">
        <f t="shared" si="447"/>
        <v>x</v>
      </c>
      <c r="EA96" s="112" t="str">
        <f t="shared" si="448"/>
        <v>x</v>
      </c>
      <c r="EB96" s="112" t="str">
        <f t="shared" si="449"/>
        <v>x</v>
      </c>
      <c r="EC96" s="111"/>
      <c r="ED96" s="111"/>
      <c r="EE96" s="111"/>
      <c r="EF96" s="111"/>
      <c r="EG96" s="111"/>
      <c r="EH96" s="111"/>
      <c r="EI96" s="112"/>
      <c r="EJ96" s="112" t="str">
        <f t="shared" si="450"/>
        <v>x</v>
      </c>
      <c r="EK96" s="112" t="str">
        <f t="shared" si="451"/>
        <v>x</v>
      </c>
      <c r="EL96" s="112" t="str">
        <f t="shared" si="452"/>
        <v>x</v>
      </c>
      <c r="EM96" s="112" t="str">
        <f t="shared" si="453"/>
        <v>x</v>
      </c>
      <c r="EN96" s="112" t="str">
        <f t="shared" si="454"/>
        <v>x</v>
      </c>
      <c r="EO96" s="117" t="str">
        <f t="shared" si="455"/>
        <v>x</v>
      </c>
      <c r="EP96" s="117" t="str">
        <f t="shared" si="456"/>
        <v>x</v>
      </c>
      <c r="EQ96" s="112" t="str">
        <f t="shared" si="457"/>
        <v>x</v>
      </c>
      <c r="ER96" s="111"/>
      <c r="ES96" s="111"/>
      <c r="ET96" s="112" t="str">
        <f t="shared" si="458"/>
        <v>x</v>
      </c>
      <c r="EU96" s="112" t="str">
        <f t="shared" si="459"/>
        <v>x</v>
      </c>
      <c r="EV96" s="112" t="str">
        <f t="shared" si="460"/>
        <v>x</v>
      </c>
      <c r="EW96" s="112" t="str">
        <f t="shared" si="461"/>
        <v>x</v>
      </c>
      <c r="EX96" s="112" t="str">
        <f t="shared" si="462"/>
        <v>x</v>
      </c>
      <c r="EY96" s="112" t="str">
        <f t="shared" si="463"/>
        <v>x</v>
      </c>
      <c r="EZ96" s="112"/>
      <c r="FA96" s="112" t="str">
        <f t="shared" si="464"/>
        <v>x</v>
      </c>
      <c r="FB96" s="112" t="str">
        <f t="shared" si="465"/>
        <v>x</v>
      </c>
      <c r="FC96" s="112" t="str">
        <f t="shared" si="466"/>
        <v>x</v>
      </c>
      <c r="FD96" s="112" t="str">
        <f t="shared" si="467"/>
        <v>x</v>
      </c>
      <c r="FE96" s="112" t="str">
        <f t="shared" si="468"/>
        <v>x</v>
      </c>
      <c r="FF96" s="112" t="str">
        <f t="shared" si="469"/>
        <v>x</v>
      </c>
      <c r="FG96" s="111"/>
      <c r="FH96" s="111"/>
      <c r="FI96" s="112" t="str">
        <f t="shared" si="470"/>
        <v>x</v>
      </c>
      <c r="FJ96" s="112" t="str">
        <f t="shared" si="471"/>
        <v>x</v>
      </c>
      <c r="FK96" s="112" t="str">
        <f t="shared" si="472"/>
        <v>x</v>
      </c>
      <c r="FL96" s="112"/>
      <c r="FM96" s="112" t="str">
        <f t="shared" si="473"/>
        <v>x</v>
      </c>
      <c r="FN96" s="112" t="str">
        <f t="shared" si="547"/>
        <v>x</v>
      </c>
      <c r="FO96" s="112" t="str">
        <f t="shared" si="474"/>
        <v>x</v>
      </c>
      <c r="FP96" s="112" t="str">
        <f t="shared" si="475"/>
        <v>x</v>
      </c>
      <c r="FQ96" s="112" t="str">
        <f t="shared" si="476"/>
        <v>x</v>
      </c>
      <c r="FR96" s="112" t="str">
        <f t="shared" si="477"/>
        <v>x</v>
      </c>
      <c r="FS96" s="112" t="str">
        <f t="shared" si="478"/>
        <v>x</v>
      </c>
      <c r="FT96" s="112" t="str">
        <f t="shared" si="479"/>
        <v>x</v>
      </c>
      <c r="FU96" s="112" t="str">
        <f t="shared" si="480"/>
        <v>x</v>
      </c>
      <c r="FV96" s="112" t="str">
        <f t="shared" si="481"/>
        <v>x</v>
      </c>
      <c r="FW96" s="111"/>
      <c r="FX96" s="112"/>
      <c r="FY96" s="112"/>
      <c r="FZ96" s="111"/>
      <c r="GA96" s="111"/>
      <c r="GB96" s="111"/>
      <c r="GC96" s="112" t="str">
        <f t="shared" si="482"/>
        <v>x</v>
      </c>
      <c r="GD96" s="111"/>
      <c r="GE96" s="111"/>
      <c r="GF96" s="111"/>
      <c r="GG96" s="112"/>
      <c r="GH96" s="111"/>
      <c r="GI96" s="111"/>
      <c r="GJ96" s="112" t="str">
        <f t="shared" si="483"/>
        <v>x</v>
      </c>
      <c r="GK96" s="111"/>
      <c r="GL96" s="112" t="str">
        <f t="shared" si="484"/>
        <v>x</v>
      </c>
      <c r="GM96" s="111"/>
      <c r="GN96" s="112" t="str">
        <f t="shared" si="485"/>
        <v>x</v>
      </c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2" t="str">
        <f t="shared" si="48"/>
        <v>x</v>
      </c>
      <c r="HC96" s="112" t="str">
        <f t="shared" si="486"/>
        <v>x</v>
      </c>
      <c r="HD96" s="112" t="str">
        <f t="shared" si="487"/>
        <v>x</v>
      </c>
      <c r="HE96" s="112" t="str">
        <f t="shared" si="488"/>
        <v>x</v>
      </c>
      <c r="HF96" s="112" t="str">
        <f t="shared" si="489"/>
        <v>x</v>
      </c>
      <c r="HG96" s="112"/>
      <c r="HH96" s="112" t="str">
        <f t="shared" si="548"/>
        <v>x</v>
      </c>
      <c r="HI96" s="112"/>
      <c r="HJ96" s="112" t="str">
        <f t="shared" si="490"/>
        <v>x</v>
      </c>
      <c r="HK96" s="111"/>
      <c r="HL96" s="112" t="str">
        <f t="shared" si="491"/>
        <v>x</v>
      </c>
      <c r="HM96" s="112" t="str">
        <f t="shared" si="492"/>
        <v>x</v>
      </c>
      <c r="HN96" s="112" t="str">
        <f t="shared" si="493"/>
        <v>x</v>
      </c>
      <c r="HO96" s="112" t="str">
        <f t="shared" si="494"/>
        <v>x</v>
      </c>
      <c r="HP96" s="112" t="str">
        <f t="shared" si="495"/>
        <v>x</v>
      </c>
      <c r="HQ96" s="112" t="str">
        <f t="shared" si="496"/>
        <v>x</v>
      </c>
      <c r="HR96" s="112" t="str">
        <f t="shared" si="497"/>
        <v>x</v>
      </c>
      <c r="HS96" s="112" t="str">
        <f t="shared" si="498"/>
        <v>x</v>
      </c>
      <c r="HT96" s="112"/>
      <c r="HU96" s="112" t="str">
        <f t="shared" si="499"/>
        <v>x</v>
      </c>
      <c r="HV96" s="112"/>
      <c r="HW96" s="112" t="str">
        <f t="shared" si="549"/>
        <v>x</v>
      </c>
      <c r="HX96" s="112" t="str">
        <f t="shared" si="500"/>
        <v>x</v>
      </c>
      <c r="HY96" s="112" t="str">
        <f t="shared" si="501"/>
        <v>x</v>
      </c>
      <c r="HZ96" s="112" t="str">
        <f t="shared" si="502"/>
        <v>x</v>
      </c>
      <c r="IA96" s="112"/>
      <c r="IB96" s="112"/>
      <c r="IC96" s="112" t="str">
        <f t="shared" si="550"/>
        <v>x</v>
      </c>
      <c r="ID96" s="112" t="str">
        <f t="shared" si="503"/>
        <v>x</v>
      </c>
      <c r="IE96" s="112"/>
      <c r="IF96" s="112"/>
      <c r="IG96" s="111"/>
      <c r="IH96" s="112" t="str">
        <f t="shared" si="504"/>
        <v>x</v>
      </c>
      <c r="II96" s="112" t="str">
        <f t="shared" si="505"/>
        <v>x</v>
      </c>
      <c r="IJ96" s="112" t="str">
        <f t="shared" si="506"/>
        <v>x</v>
      </c>
      <c r="IK96" s="115" t="str">
        <f t="shared" si="507"/>
        <v>x</v>
      </c>
      <c r="IL96" s="112" t="str">
        <f t="shared" si="508"/>
        <v>x</v>
      </c>
      <c r="IM96" s="112" t="str">
        <f t="shared" si="509"/>
        <v>x</v>
      </c>
      <c r="IN96" s="112"/>
      <c r="IO96" s="112"/>
      <c r="IP96" s="112" t="str">
        <f t="shared" si="510"/>
        <v>x</v>
      </c>
      <c r="IQ96" s="112" t="str">
        <f t="shared" si="511"/>
        <v>x</v>
      </c>
      <c r="IR96" s="111"/>
      <c r="IS96" s="112" t="str">
        <f t="shared" si="512"/>
        <v>x</v>
      </c>
      <c r="IT96" s="111"/>
      <c r="IU96" s="112" t="str">
        <f t="shared" si="513"/>
        <v>x</v>
      </c>
      <c r="IV96" s="112"/>
      <c r="IW96" s="112" t="str">
        <f t="shared" si="514"/>
        <v>x</v>
      </c>
      <c r="IX96" s="112" t="str">
        <f t="shared" si="515"/>
        <v>x</v>
      </c>
      <c r="IY96" s="111"/>
      <c r="IZ96" s="112" t="str">
        <f t="shared" si="516"/>
        <v>x</v>
      </c>
      <c r="JA96" s="111"/>
      <c r="JB96" s="112" t="str">
        <f t="shared" si="517"/>
        <v>x</v>
      </c>
      <c r="JC96" s="111"/>
      <c r="JD96" s="112"/>
      <c r="JE96" s="112"/>
      <c r="JF96" s="112" t="str">
        <f t="shared" si="518"/>
        <v>x</v>
      </c>
      <c r="JG96" s="112" t="str">
        <f t="shared" si="519"/>
        <v>x</v>
      </c>
      <c r="JH96" s="112" t="str">
        <f t="shared" si="520"/>
        <v>x</v>
      </c>
      <c r="JI96" s="112"/>
      <c r="JJ96" s="112" t="str">
        <f t="shared" si="521"/>
        <v>x</v>
      </c>
      <c r="JK96" s="112" t="str">
        <f t="shared" si="551"/>
        <v>x</v>
      </c>
      <c r="JL96" s="112" t="str">
        <f t="shared" si="522"/>
        <v>x</v>
      </c>
      <c r="JM96" s="112"/>
      <c r="JN96" s="112"/>
      <c r="JO96" s="112"/>
      <c r="JP96" s="112"/>
      <c r="JQ96" s="112" t="str">
        <f t="shared" si="523"/>
        <v>x</v>
      </c>
      <c r="JR96" s="112"/>
      <c r="JS96" s="112" t="str">
        <f t="shared" si="524"/>
        <v>x</v>
      </c>
      <c r="JT96" s="111"/>
      <c r="JU96" s="111"/>
      <c r="JV96" s="112"/>
      <c r="JW96" s="112" t="str">
        <f t="shared" si="525"/>
        <v>x</v>
      </c>
      <c r="JX96" s="112"/>
      <c r="JY96" s="112"/>
      <c r="JZ96" s="112"/>
      <c r="KA96" s="112" t="str">
        <f t="shared" si="526"/>
        <v>x</v>
      </c>
      <c r="KB96" s="112" t="str">
        <f t="shared" si="527"/>
        <v>x</v>
      </c>
      <c r="KC96" s="112" t="str">
        <f t="shared" si="528"/>
        <v>x</v>
      </c>
      <c r="KD96" s="112" t="str">
        <f t="shared" si="529"/>
        <v>x</v>
      </c>
      <c r="KE96" s="112" t="str">
        <f t="shared" si="530"/>
        <v>x</v>
      </c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  <c r="KY96" s="112"/>
      <c r="KZ96" s="112"/>
      <c r="LA96" s="112"/>
      <c r="LB96" s="111"/>
      <c r="LC96" s="112"/>
      <c r="LD96" s="112"/>
      <c r="LE96" s="112"/>
      <c r="LF96" s="112"/>
      <c r="LG96" s="112"/>
      <c r="LH96" s="112"/>
      <c r="LI96" s="112"/>
      <c r="LJ96" s="112"/>
      <c r="LK96" s="112"/>
      <c r="LL96" s="112"/>
      <c r="LM96" s="112"/>
      <c r="LN96" s="112"/>
      <c r="LO96" s="112"/>
      <c r="LP96" s="112"/>
      <c r="LQ96" s="112"/>
      <c r="LR96" s="112"/>
      <c r="LS96" s="112"/>
      <c r="LT96" s="112"/>
      <c r="LU96" s="112"/>
      <c r="LV96" s="112"/>
      <c r="LW96" s="112"/>
      <c r="LX96" s="112"/>
      <c r="LY96" s="112"/>
      <c r="LZ96" s="112"/>
      <c r="MA96" s="112"/>
      <c r="MB96" s="111"/>
      <c r="MC96" s="112" t="str">
        <f t="shared" si="531"/>
        <v>x</v>
      </c>
      <c r="MD96" s="112"/>
      <c r="ME96" s="112" t="str">
        <f t="shared" si="532"/>
        <v>x</v>
      </c>
      <c r="MF96" s="112" t="str">
        <f t="shared" si="533"/>
        <v>x</v>
      </c>
      <c r="MG96" s="112" t="str">
        <f t="shared" si="552"/>
        <v>x</v>
      </c>
      <c r="MH96" s="112" t="str">
        <f t="shared" si="534"/>
        <v>x</v>
      </c>
    </row>
    <row r="97" spans="1:346" x14ac:dyDescent="0.25">
      <c r="A97" s="110" t="s">
        <v>4</v>
      </c>
      <c r="B97" s="101" t="s">
        <v>73</v>
      </c>
      <c r="C97" s="102"/>
      <c r="D97" s="102"/>
      <c r="E97" s="102"/>
      <c r="F97" s="102"/>
      <c r="G97" s="102"/>
      <c r="H97" s="102"/>
      <c r="I97" s="102"/>
      <c r="J97" s="103"/>
      <c r="K97" s="111"/>
      <c r="L97" s="111"/>
      <c r="M97" s="112" t="str">
        <f t="shared" si="390"/>
        <v>x</v>
      </c>
      <c r="N97" s="112" t="str">
        <f t="shared" si="391"/>
        <v>x</v>
      </c>
      <c r="O97" s="112" t="str">
        <f t="shared" si="535"/>
        <v>x</v>
      </c>
      <c r="P97" s="112" t="str">
        <f t="shared" si="392"/>
        <v>x</v>
      </c>
      <c r="Q97" s="112" t="str">
        <f t="shared" si="393"/>
        <v>x</v>
      </c>
      <c r="R97" s="112"/>
      <c r="S97" s="112" t="str">
        <f t="shared" si="394"/>
        <v>x</v>
      </c>
      <c r="T97" s="112" t="str">
        <f t="shared" si="395"/>
        <v>x</v>
      </c>
      <c r="U97" s="112"/>
      <c r="V97" s="112"/>
      <c r="W97" s="112" t="str">
        <f t="shared" si="396"/>
        <v>x</v>
      </c>
      <c r="X97" s="112" t="str">
        <f t="shared" si="397"/>
        <v>x</v>
      </c>
      <c r="Y97" s="112"/>
      <c r="Z97" s="112"/>
      <c r="AA97" s="112"/>
      <c r="AB97" s="112" t="str">
        <f t="shared" si="398"/>
        <v>x</v>
      </c>
      <c r="AC97" s="112" t="str">
        <f t="shared" si="399"/>
        <v>x</v>
      </c>
      <c r="AD97" s="112" t="str">
        <f t="shared" si="400"/>
        <v>x</v>
      </c>
      <c r="AE97" s="112" t="str">
        <f t="shared" si="536"/>
        <v>x</v>
      </c>
      <c r="AF97" s="112" t="str">
        <f t="shared" si="401"/>
        <v>x</v>
      </c>
      <c r="AG97" s="112" t="str">
        <f t="shared" si="402"/>
        <v>x</v>
      </c>
      <c r="AH97" s="112" t="str">
        <f t="shared" si="403"/>
        <v>x</v>
      </c>
      <c r="AI97" s="112" t="str">
        <f t="shared" si="404"/>
        <v>x</v>
      </c>
      <c r="AJ97" s="112" t="str">
        <f t="shared" si="405"/>
        <v>x</v>
      </c>
      <c r="AK97" s="112" t="str">
        <f t="shared" si="406"/>
        <v>x</v>
      </c>
      <c r="AL97" s="112"/>
      <c r="AM97" s="112" t="str">
        <f t="shared" si="537"/>
        <v>x</v>
      </c>
      <c r="AN97" s="112"/>
      <c r="AO97" s="112"/>
      <c r="AP97" s="112"/>
      <c r="AQ97" s="112"/>
      <c r="AR97" s="112"/>
      <c r="AS97" s="112"/>
      <c r="AT97" s="112" t="str">
        <f t="shared" si="407"/>
        <v>x</v>
      </c>
      <c r="AU97" s="113"/>
      <c r="AV97" s="114" t="str">
        <f t="shared" si="408"/>
        <v>x</v>
      </c>
      <c r="AW97" s="114" t="str">
        <f t="shared" si="409"/>
        <v>x</v>
      </c>
      <c r="AX97" s="112" t="str">
        <f t="shared" si="410"/>
        <v>x</v>
      </c>
      <c r="AY97" s="111"/>
      <c r="AZ97" s="112" t="str">
        <f t="shared" si="411"/>
        <v>x</v>
      </c>
      <c r="BA97" s="112" t="str">
        <f t="shared" si="412"/>
        <v>x</v>
      </c>
      <c r="BB97" s="111"/>
      <c r="BC97" s="111"/>
      <c r="BD97" s="112" t="str">
        <f t="shared" si="413"/>
        <v>x</v>
      </c>
      <c r="BE97" s="112"/>
      <c r="BF97" s="111"/>
      <c r="BG97" s="112" t="str">
        <f t="shared" si="414"/>
        <v>x</v>
      </c>
      <c r="BH97" s="112" t="str">
        <f t="shared" si="538"/>
        <v>x</v>
      </c>
      <c r="BI97" s="112" t="str">
        <f t="shared" si="415"/>
        <v>x</v>
      </c>
      <c r="BJ97" s="111"/>
      <c r="BK97" s="112" t="str">
        <f t="shared" si="416"/>
        <v>x</v>
      </c>
      <c r="BL97" s="112" t="str">
        <f t="shared" si="417"/>
        <v>x</v>
      </c>
      <c r="BM97" s="112" t="str">
        <f t="shared" si="418"/>
        <v>x</v>
      </c>
      <c r="BN97" s="112" t="str">
        <f t="shared" si="419"/>
        <v>x</v>
      </c>
      <c r="BO97" s="111"/>
      <c r="BP97" s="111"/>
      <c r="BQ97" s="111"/>
      <c r="BR97" s="112" t="str">
        <f t="shared" si="420"/>
        <v>x</v>
      </c>
      <c r="BS97" s="112"/>
      <c r="BT97" s="111"/>
      <c r="BU97" s="112" t="str">
        <f t="shared" si="421"/>
        <v>x</v>
      </c>
      <c r="BV97" s="112" t="str">
        <f t="shared" si="422"/>
        <v>x</v>
      </c>
      <c r="BW97" s="112"/>
      <c r="BX97" s="112"/>
      <c r="BY97" s="112"/>
      <c r="BZ97" s="112" t="str">
        <f t="shared" si="423"/>
        <v>x</v>
      </c>
      <c r="CA97" s="112" t="str">
        <f t="shared" si="424"/>
        <v>x</v>
      </c>
      <c r="CB97" s="112" t="str">
        <f t="shared" si="425"/>
        <v>x</v>
      </c>
      <c r="CC97" s="112"/>
      <c r="CD97" s="112"/>
      <c r="CE97" s="111"/>
      <c r="CF97" s="112" t="str">
        <f t="shared" si="426"/>
        <v>x</v>
      </c>
      <c r="CG97" s="112" t="str">
        <f t="shared" si="539"/>
        <v>x</v>
      </c>
      <c r="CH97" s="112" t="str">
        <f t="shared" si="427"/>
        <v>x</v>
      </c>
      <c r="CI97" s="112" t="str">
        <f t="shared" si="428"/>
        <v>x</v>
      </c>
      <c r="CJ97" s="112" t="str">
        <f t="shared" si="429"/>
        <v>x</v>
      </c>
      <c r="CK97" s="112" t="str">
        <f t="shared" si="430"/>
        <v>x</v>
      </c>
      <c r="CL97" s="112" t="str">
        <f t="shared" si="431"/>
        <v>x</v>
      </c>
      <c r="CM97" s="112"/>
      <c r="CN97" s="112"/>
      <c r="CO97" s="112" t="str">
        <f t="shared" si="540"/>
        <v>x</v>
      </c>
      <c r="CP97" s="112"/>
      <c r="CQ97" s="112" t="str">
        <f t="shared" si="541"/>
        <v>x</v>
      </c>
      <c r="CR97" s="112" t="str">
        <f t="shared" si="432"/>
        <v>x</v>
      </c>
      <c r="CS97" s="112"/>
      <c r="CT97" s="112" t="str">
        <f t="shared" si="542"/>
        <v>x</v>
      </c>
      <c r="CU97" s="112" t="str">
        <f t="shared" si="433"/>
        <v>x</v>
      </c>
      <c r="CV97" s="112" t="str">
        <f t="shared" si="434"/>
        <v>x</v>
      </c>
      <c r="CW97" s="112" t="str">
        <f t="shared" si="435"/>
        <v>x</v>
      </c>
      <c r="CX97" s="112" t="str">
        <f t="shared" si="436"/>
        <v>x</v>
      </c>
      <c r="CY97" s="112" t="str">
        <f t="shared" si="543"/>
        <v>x</v>
      </c>
      <c r="CZ97" s="112"/>
      <c r="DA97" s="112"/>
      <c r="DB97" s="115" t="str">
        <f t="shared" si="437"/>
        <v>x</v>
      </c>
      <c r="DC97" s="112"/>
      <c r="DD97" s="112"/>
      <c r="DE97" s="112" t="str">
        <f t="shared" si="438"/>
        <v>x</v>
      </c>
      <c r="DF97" s="115" t="str">
        <f t="shared" si="439"/>
        <v>x</v>
      </c>
      <c r="DG97" s="112" t="str">
        <f t="shared" si="440"/>
        <v>x</v>
      </c>
      <c r="DH97" s="112" t="str">
        <f t="shared" si="441"/>
        <v>x</v>
      </c>
      <c r="DI97" s="112"/>
      <c r="DJ97" s="112"/>
      <c r="DK97" s="112"/>
      <c r="DL97" s="112"/>
      <c r="DM97" s="112"/>
      <c r="DN97" s="112" t="str">
        <f t="shared" si="442"/>
        <v>x</v>
      </c>
      <c r="DO97" s="111"/>
      <c r="DP97" s="111"/>
      <c r="DQ97" s="112" t="str">
        <f t="shared" si="443"/>
        <v>x</v>
      </c>
      <c r="DR97" s="112" t="str">
        <f t="shared" si="544"/>
        <v>x</v>
      </c>
      <c r="DS97" s="112" t="str">
        <f t="shared" si="545"/>
        <v>x</v>
      </c>
      <c r="DT97" s="112"/>
      <c r="DU97" s="112" t="str">
        <f t="shared" si="444"/>
        <v>x</v>
      </c>
      <c r="DV97" s="112"/>
      <c r="DW97" s="112" t="str">
        <f t="shared" si="546"/>
        <v>x</v>
      </c>
      <c r="DX97" s="112" t="str">
        <f t="shared" si="445"/>
        <v>x</v>
      </c>
      <c r="DY97" s="112" t="str">
        <f t="shared" si="446"/>
        <v>x</v>
      </c>
      <c r="DZ97" s="112" t="str">
        <f t="shared" si="447"/>
        <v>x</v>
      </c>
      <c r="EA97" s="112" t="str">
        <f t="shared" si="448"/>
        <v>x</v>
      </c>
      <c r="EB97" s="112" t="str">
        <f t="shared" si="449"/>
        <v>x</v>
      </c>
      <c r="EC97" s="111"/>
      <c r="ED97" s="111"/>
      <c r="EE97" s="111"/>
      <c r="EF97" s="111"/>
      <c r="EG97" s="111"/>
      <c r="EH97" s="111"/>
      <c r="EI97" s="112"/>
      <c r="EJ97" s="112" t="str">
        <f t="shared" si="450"/>
        <v>x</v>
      </c>
      <c r="EK97" s="112" t="str">
        <f t="shared" si="451"/>
        <v>x</v>
      </c>
      <c r="EL97" s="112" t="str">
        <f t="shared" si="452"/>
        <v>x</v>
      </c>
      <c r="EM97" s="112" t="str">
        <f t="shared" si="453"/>
        <v>x</v>
      </c>
      <c r="EN97" s="112" t="str">
        <f t="shared" si="454"/>
        <v>x</v>
      </c>
      <c r="EO97" s="117" t="str">
        <f t="shared" si="455"/>
        <v>x</v>
      </c>
      <c r="EP97" s="117" t="str">
        <f t="shared" si="456"/>
        <v>x</v>
      </c>
      <c r="EQ97" s="112" t="str">
        <f t="shared" si="457"/>
        <v>x</v>
      </c>
      <c r="ER97" s="111"/>
      <c r="ES97" s="111"/>
      <c r="ET97" s="112" t="str">
        <f t="shared" si="458"/>
        <v>x</v>
      </c>
      <c r="EU97" s="112" t="str">
        <f t="shared" si="459"/>
        <v>x</v>
      </c>
      <c r="EV97" s="112" t="str">
        <f t="shared" si="460"/>
        <v>x</v>
      </c>
      <c r="EW97" s="112" t="str">
        <f t="shared" si="461"/>
        <v>x</v>
      </c>
      <c r="EX97" s="112" t="str">
        <f t="shared" si="462"/>
        <v>x</v>
      </c>
      <c r="EY97" s="112" t="str">
        <f t="shared" si="463"/>
        <v>x</v>
      </c>
      <c r="EZ97" s="112"/>
      <c r="FA97" s="112" t="str">
        <f t="shared" si="464"/>
        <v>x</v>
      </c>
      <c r="FB97" s="112" t="str">
        <f t="shared" si="465"/>
        <v>x</v>
      </c>
      <c r="FC97" s="112" t="str">
        <f t="shared" si="466"/>
        <v>x</v>
      </c>
      <c r="FD97" s="112" t="str">
        <f t="shared" si="467"/>
        <v>x</v>
      </c>
      <c r="FE97" s="112" t="str">
        <f t="shared" si="468"/>
        <v>x</v>
      </c>
      <c r="FF97" s="112" t="str">
        <f t="shared" si="469"/>
        <v>x</v>
      </c>
      <c r="FG97" s="111"/>
      <c r="FH97" s="111"/>
      <c r="FI97" s="112" t="str">
        <f t="shared" si="470"/>
        <v>x</v>
      </c>
      <c r="FJ97" s="112" t="str">
        <f t="shared" si="471"/>
        <v>x</v>
      </c>
      <c r="FK97" s="112" t="str">
        <f t="shared" si="472"/>
        <v>x</v>
      </c>
      <c r="FL97" s="112"/>
      <c r="FM97" s="112" t="str">
        <f t="shared" si="473"/>
        <v>x</v>
      </c>
      <c r="FN97" s="112" t="str">
        <f t="shared" si="547"/>
        <v>x</v>
      </c>
      <c r="FO97" s="112" t="str">
        <f t="shared" si="474"/>
        <v>x</v>
      </c>
      <c r="FP97" s="112" t="str">
        <f t="shared" si="475"/>
        <v>x</v>
      </c>
      <c r="FQ97" s="112" t="str">
        <f t="shared" si="476"/>
        <v>x</v>
      </c>
      <c r="FR97" s="112" t="str">
        <f t="shared" si="477"/>
        <v>x</v>
      </c>
      <c r="FS97" s="112" t="str">
        <f t="shared" si="478"/>
        <v>x</v>
      </c>
      <c r="FT97" s="112" t="str">
        <f t="shared" si="479"/>
        <v>x</v>
      </c>
      <c r="FU97" s="112" t="str">
        <f t="shared" si="480"/>
        <v>x</v>
      </c>
      <c r="FV97" s="112" t="str">
        <f t="shared" si="481"/>
        <v>x</v>
      </c>
      <c r="FW97" s="111"/>
      <c r="FX97" s="112"/>
      <c r="FY97" s="112"/>
      <c r="FZ97" s="111"/>
      <c r="GA97" s="111"/>
      <c r="GB97" s="111"/>
      <c r="GC97" s="112" t="str">
        <f t="shared" si="482"/>
        <v>x</v>
      </c>
      <c r="GD97" s="111"/>
      <c r="GE97" s="111"/>
      <c r="GF97" s="111"/>
      <c r="GG97" s="112"/>
      <c r="GH97" s="111"/>
      <c r="GI97" s="111"/>
      <c r="GJ97" s="112" t="str">
        <f t="shared" si="483"/>
        <v>x</v>
      </c>
      <c r="GK97" s="111"/>
      <c r="GL97" s="112" t="str">
        <f t="shared" si="484"/>
        <v>x</v>
      </c>
      <c r="GM97" s="111"/>
      <c r="GN97" s="112" t="str">
        <f t="shared" si="485"/>
        <v>x</v>
      </c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2" t="str">
        <f t="shared" si="48"/>
        <v>x</v>
      </c>
      <c r="HC97" s="112" t="str">
        <f t="shared" si="486"/>
        <v>x</v>
      </c>
      <c r="HD97" s="112" t="str">
        <f t="shared" si="487"/>
        <v>x</v>
      </c>
      <c r="HE97" s="112" t="str">
        <f t="shared" si="488"/>
        <v>x</v>
      </c>
      <c r="HF97" s="112" t="str">
        <f t="shared" si="489"/>
        <v>x</v>
      </c>
      <c r="HG97" s="112"/>
      <c r="HH97" s="112" t="str">
        <f t="shared" si="548"/>
        <v>x</v>
      </c>
      <c r="HI97" s="112"/>
      <c r="HJ97" s="112" t="str">
        <f t="shared" si="490"/>
        <v>x</v>
      </c>
      <c r="HK97" s="111"/>
      <c r="HL97" s="112" t="str">
        <f t="shared" si="491"/>
        <v>x</v>
      </c>
      <c r="HM97" s="112" t="str">
        <f t="shared" si="492"/>
        <v>x</v>
      </c>
      <c r="HN97" s="112" t="str">
        <f t="shared" si="493"/>
        <v>x</v>
      </c>
      <c r="HO97" s="112" t="str">
        <f t="shared" si="494"/>
        <v>x</v>
      </c>
      <c r="HP97" s="112" t="str">
        <f t="shared" si="495"/>
        <v>x</v>
      </c>
      <c r="HQ97" s="112" t="str">
        <f t="shared" si="496"/>
        <v>x</v>
      </c>
      <c r="HR97" s="112" t="str">
        <f t="shared" si="497"/>
        <v>x</v>
      </c>
      <c r="HS97" s="112" t="str">
        <f t="shared" si="498"/>
        <v>x</v>
      </c>
      <c r="HT97" s="112"/>
      <c r="HU97" s="112" t="str">
        <f t="shared" si="499"/>
        <v>x</v>
      </c>
      <c r="HV97" s="112"/>
      <c r="HW97" s="112" t="str">
        <f t="shared" si="549"/>
        <v>x</v>
      </c>
      <c r="HX97" s="112" t="str">
        <f t="shared" si="500"/>
        <v>x</v>
      </c>
      <c r="HY97" s="112" t="str">
        <f t="shared" si="501"/>
        <v>x</v>
      </c>
      <c r="HZ97" s="112" t="str">
        <f t="shared" si="502"/>
        <v>x</v>
      </c>
      <c r="IA97" s="112"/>
      <c r="IB97" s="112"/>
      <c r="IC97" s="112" t="str">
        <f t="shared" si="550"/>
        <v>x</v>
      </c>
      <c r="ID97" s="112" t="str">
        <f t="shared" si="503"/>
        <v>x</v>
      </c>
      <c r="IE97" s="112"/>
      <c r="IF97" s="112"/>
      <c r="IG97" s="111"/>
      <c r="IH97" s="112" t="str">
        <f t="shared" si="504"/>
        <v>x</v>
      </c>
      <c r="II97" s="112" t="str">
        <f t="shared" si="505"/>
        <v>x</v>
      </c>
      <c r="IJ97" s="112" t="str">
        <f t="shared" si="506"/>
        <v>x</v>
      </c>
      <c r="IK97" s="115" t="str">
        <f t="shared" si="507"/>
        <v>x</v>
      </c>
      <c r="IL97" s="112" t="str">
        <f t="shared" si="508"/>
        <v>x</v>
      </c>
      <c r="IM97" s="112" t="str">
        <f t="shared" si="509"/>
        <v>x</v>
      </c>
      <c r="IN97" s="112"/>
      <c r="IO97" s="112"/>
      <c r="IP97" s="112" t="str">
        <f t="shared" si="510"/>
        <v>x</v>
      </c>
      <c r="IQ97" s="112" t="str">
        <f t="shared" si="511"/>
        <v>x</v>
      </c>
      <c r="IR97" s="111"/>
      <c r="IS97" s="112" t="str">
        <f t="shared" si="512"/>
        <v>x</v>
      </c>
      <c r="IT97" s="111"/>
      <c r="IU97" s="112" t="str">
        <f t="shared" si="513"/>
        <v>x</v>
      </c>
      <c r="IV97" s="112"/>
      <c r="IW97" s="112" t="str">
        <f t="shared" si="514"/>
        <v>x</v>
      </c>
      <c r="IX97" s="112" t="str">
        <f t="shared" si="515"/>
        <v>x</v>
      </c>
      <c r="IY97" s="111"/>
      <c r="IZ97" s="112" t="str">
        <f t="shared" si="516"/>
        <v>x</v>
      </c>
      <c r="JA97" s="111"/>
      <c r="JB97" s="112" t="str">
        <f t="shared" si="517"/>
        <v>x</v>
      </c>
      <c r="JC97" s="111"/>
      <c r="JD97" s="112"/>
      <c r="JE97" s="112"/>
      <c r="JF97" s="112" t="str">
        <f t="shared" si="518"/>
        <v>x</v>
      </c>
      <c r="JG97" s="112" t="str">
        <f t="shared" si="519"/>
        <v>x</v>
      </c>
      <c r="JH97" s="112" t="str">
        <f t="shared" si="520"/>
        <v>x</v>
      </c>
      <c r="JI97" s="112"/>
      <c r="JJ97" s="112" t="str">
        <f t="shared" si="521"/>
        <v>x</v>
      </c>
      <c r="JK97" s="112" t="str">
        <f t="shared" si="551"/>
        <v>x</v>
      </c>
      <c r="JL97" s="112" t="str">
        <f t="shared" si="522"/>
        <v>x</v>
      </c>
      <c r="JM97" s="112"/>
      <c r="JN97" s="112"/>
      <c r="JO97" s="112"/>
      <c r="JP97" s="112"/>
      <c r="JQ97" s="112" t="str">
        <f t="shared" si="523"/>
        <v>x</v>
      </c>
      <c r="JR97" s="112"/>
      <c r="JS97" s="112" t="str">
        <f t="shared" si="524"/>
        <v>x</v>
      </c>
      <c r="JT97" s="111"/>
      <c r="JU97" s="111"/>
      <c r="JV97" s="112"/>
      <c r="JW97" s="112" t="str">
        <f t="shared" si="525"/>
        <v>x</v>
      </c>
      <c r="JX97" s="112"/>
      <c r="JY97" s="112"/>
      <c r="JZ97" s="112"/>
      <c r="KA97" s="112" t="str">
        <f t="shared" si="526"/>
        <v>x</v>
      </c>
      <c r="KB97" s="112" t="str">
        <f t="shared" si="527"/>
        <v>x</v>
      </c>
      <c r="KC97" s="112" t="str">
        <f t="shared" si="528"/>
        <v>x</v>
      </c>
      <c r="KD97" s="112" t="str">
        <f t="shared" si="529"/>
        <v>x</v>
      </c>
      <c r="KE97" s="112" t="str">
        <f t="shared" si="530"/>
        <v>x</v>
      </c>
      <c r="KF97" s="112"/>
      <c r="KG97" s="112"/>
      <c r="KH97" s="112"/>
      <c r="KI97" s="112"/>
      <c r="KJ97" s="112"/>
      <c r="KK97" s="112"/>
      <c r="KL97" s="112"/>
      <c r="KM97" s="112"/>
      <c r="KN97" s="112"/>
      <c r="KO97" s="112"/>
      <c r="KP97" s="112"/>
      <c r="KQ97" s="112"/>
      <c r="KR97" s="112"/>
      <c r="KS97" s="112"/>
      <c r="KT97" s="112"/>
      <c r="KU97" s="112"/>
      <c r="KV97" s="112"/>
      <c r="KW97" s="112"/>
      <c r="KX97" s="112"/>
      <c r="KY97" s="112"/>
      <c r="KZ97" s="112"/>
      <c r="LA97" s="112"/>
      <c r="LB97" s="111"/>
      <c r="LC97" s="112"/>
      <c r="LD97" s="112"/>
      <c r="LE97" s="112"/>
      <c r="LF97" s="112"/>
      <c r="LG97" s="112"/>
      <c r="LH97" s="112"/>
      <c r="LI97" s="112"/>
      <c r="LJ97" s="112"/>
      <c r="LK97" s="112"/>
      <c r="LL97" s="112"/>
      <c r="LM97" s="112"/>
      <c r="LN97" s="112"/>
      <c r="LO97" s="112"/>
      <c r="LP97" s="112"/>
      <c r="LQ97" s="112"/>
      <c r="LR97" s="112"/>
      <c r="LS97" s="112"/>
      <c r="LT97" s="112"/>
      <c r="LU97" s="112"/>
      <c r="LV97" s="112"/>
      <c r="LW97" s="112"/>
      <c r="LX97" s="112"/>
      <c r="LY97" s="112"/>
      <c r="LZ97" s="112"/>
      <c r="MA97" s="112"/>
      <c r="MB97" s="111"/>
      <c r="MC97" s="112" t="str">
        <f t="shared" si="531"/>
        <v>x</v>
      </c>
      <c r="MD97" s="112"/>
      <c r="ME97" s="112" t="str">
        <f t="shared" si="532"/>
        <v>x</v>
      </c>
      <c r="MF97" s="112" t="str">
        <f t="shared" si="533"/>
        <v>x</v>
      </c>
      <c r="MG97" s="112" t="str">
        <f t="shared" si="552"/>
        <v>x</v>
      </c>
      <c r="MH97" s="112" t="str">
        <f t="shared" si="534"/>
        <v>x</v>
      </c>
    </row>
    <row r="98" spans="1:346" x14ac:dyDescent="0.25">
      <c r="A98" s="110" t="s">
        <v>4</v>
      </c>
      <c r="B98" s="101" t="s">
        <v>391</v>
      </c>
      <c r="C98" s="102"/>
      <c r="D98" s="102"/>
      <c r="E98" s="102"/>
      <c r="F98" s="102"/>
      <c r="G98" s="102"/>
      <c r="H98" s="102"/>
      <c r="I98" s="102"/>
      <c r="J98" s="103"/>
      <c r="K98" s="111"/>
      <c r="L98" s="111"/>
      <c r="M98" s="112" t="str">
        <f t="shared" si="390"/>
        <v>x</v>
      </c>
      <c r="N98" s="112" t="str">
        <f t="shared" si="391"/>
        <v>x</v>
      </c>
      <c r="O98" s="112" t="str">
        <f t="shared" si="535"/>
        <v>x</v>
      </c>
      <c r="P98" s="112" t="str">
        <f t="shared" si="392"/>
        <v>x</v>
      </c>
      <c r="Q98" s="112" t="str">
        <f t="shared" si="393"/>
        <v>x</v>
      </c>
      <c r="R98" s="112"/>
      <c r="S98" s="112" t="str">
        <f t="shared" si="394"/>
        <v>x</v>
      </c>
      <c r="T98" s="112" t="str">
        <f t="shared" si="395"/>
        <v>x</v>
      </c>
      <c r="U98" s="112"/>
      <c r="V98" s="112"/>
      <c r="W98" s="112" t="str">
        <f t="shared" si="396"/>
        <v>x</v>
      </c>
      <c r="X98" s="112" t="str">
        <f t="shared" si="397"/>
        <v>x</v>
      </c>
      <c r="Y98" s="112"/>
      <c r="Z98" s="112"/>
      <c r="AA98" s="112"/>
      <c r="AB98" s="112" t="str">
        <f t="shared" si="398"/>
        <v>x</v>
      </c>
      <c r="AC98" s="112" t="str">
        <f t="shared" si="399"/>
        <v>x</v>
      </c>
      <c r="AD98" s="112" t="str">
        <f t="shared" si="400"/>
        <v>x</v>
      </c>
      <c r="AE98" s="112" t="str">
        <f t="shared" si="536"/>
        <v>x</v>
      </c>
      <c r="AF98" s="112" t="str">
        <f t="shared" si="401"/>
        <v>x</v>
      </c>
      <c r="AG98" s="112" t="str">
        <f t="shared" si="402"/>
        <v>x</v>
      </c>
      <c r="AH98" s="112" t="str">
        <f t="shared" si="403"/>
        <v>x</v>
      </c>
      <c r="AI98" s="112" t="str">
        <f t="shared" si="404"/>
        <v>x</v>
      </c>
      <c r="AJ98" s="112" t="str">
        <f t="shared" si="405"/>
        <v>x</v>
      </c>
      <c r="AK98" s="112" t="str">
        <f t="shared" si="406"/>
        <v>x</v>
      </c>
      <c r="AL98" s="112"/>
      <c r="AM98" s="112" t="str">
        <f t="shared" si="537"/>
        <v>x</v>
      </c>
      <c r="AN98" s="112"/>
      <c r="AO98" s="112"/>
      <c r="AP98" s="112"/>
      <c r="AQ98" s="112"/>
      <c r="AR98" s="112"/>
      <c r="AS98" s="112"/>
      <c r="AT98" s="112" t="str">
        <f t="shared" si="407"/>
        <v>x</v>
      </c>
      <c r="AU98" s="113"/>
      <c r="AV98" s="114" t="str">
        <f t="shared" si="408"/>
        <v>x</v>
      </c>
      <c r="AW98" s="114" t="str">
        <f t="shared" si="409"/>
        <v>x</v>
      </c>
      <c r="AX98" s="112" t="str">
        <f t="shared" si="410"/>
        <v>x</v>
      </c>
      <c r="AY98" s="111"/>
      <c r="AZ98" s="112" t="str">
        <f t="shared" si="411"/>
        <v>x</v>
      </c>
      <c r="BA98" s="112" t="str">
        <f t="shared" si="412"/>
        <v>x</v>
      </c>
      <c r="BB98" s="111"/>
      <c r="BC98" s="111"/>
      <c r="BD98" s="112" t="str">
        <f t="shared" si="413"/>
        <v>x</v>
      </c>
      <c r="BE98" s="112"/>
      <c r="BF98" s="111"/>
      <c r="BG98" s="112" t="str">
        <f t="shared" si="414"/>
        <v>x</v>
      </c>
      <c r="BH98" s="112" t="str">
        <f t="shared" si="538"/>
        <v>x</v>
      </c>
      <c r="BI98" s="112" t="str">
        <f t="shared" si="415"/>
        <v>x</v>
      </c>
      <c r="BJ98" s="111"/>
      <c r="BK98" s="112" t="str">
        <f t="shared" si="416"/>
        <v>x</v>
      </c>
      <c r="BL98" s="112" t="str">
        <f t="shared" si="417"/>
        <v>x</v>
      </c>
      <c r="BM98" s="112" t="str">
        <f t="shared" si="418"/>
        <v>x</v>
      </c>
      <c r="BN98" s="112" t="str">
        <f t="shared" si="419"/>
        <v>x</v>
      </c>
      <c r="BO98" s="111"/>
      <c r="BP98" s="111"/>
      <c r="BQ98" s="111"/>
      <c r="BR98" s="112" t="str">
        <f t="shared" si="420"/>
        <v>x</v>
      </c>
      <c r="BS98" s="112"/>
      <c r="BT98" s="111"/>
      <c r="BU98" s="112" t="str">
        <f t="shared" si="421"/>
        <v>x</v>
      </c>
      <c r="BV98" s="112" t="str">
        <f t="shared" si="422"/>
        <v>x</v>
      </c>
      <c r="BW98" s="112"/>
      <c r="BX98" s="112"/>
      <c r="BY98" s="112"/>
      <c r="BZ98" s="112" t="str">
        <f t="shared" si="423"/>
        <v>x</v>
      </c>
      <c r="CA98" s="112" t="str">
        <f t="shared" si="424"/>
        <v>x</v>
      </c>
      <c r="CB98" s="112" t="str">
        <f t="shared" si="425"/>
        <v>x</v>
      </c>
      <c r="CC98" s="112"/>
      <c r="CD98" s="112"/>
      <c r="CE98" s="111"/>
      <c r="CF98" s="112" t="str">
        <f t="shared" si="426"/>
        <v>x</v>
      </c>
      <c r="CG98" s="112" t="str">
        <f t="shared" si="539"/>
        <v>x</v>
      </c>
      <c r="CH98" s="112" t="str">
        <f t="shared" si="427"/>
        <v>x</v>
      </c>
      <c r="CI98" s="112" t="str">
        <f t="shared" si="428"/>
        <v>x</v>
      </c>
      <c r="CJ98" s="112" t="str">
        <f t="shared" si="429"/>
        <v>x</v>
      </c>
      <c r="CK98" s="112" t="str">
        <f t="shared" si="430"/>
        <v>x</v>
      </c>
      <c r="CL98" s="112" t="str">
        <f t="shared" si="431"/>
        <v>x</v>
      </c>
      <c r="CM98" s="112"/>
      <c r="CN98" s="112"/>
      <c r="CO98" s="112" t="str">
        <f t="shared" si="540"/>
        <v>x</v>
      </c>
      <c r="CP98" s="112"/>
      <c r="CQ98" s="112" t="str">
        <f t="shared" si="541"/>
        <v>x</v>
      </c>
      <c r="CR98" s="112" t="str">
        <f t="shared" si="432"/>
        <v>x</v>
      </c>
      <c r="CS98" s="112"/>
      <c r="CT98" s="112" t="str">
        <f t="shared" si="542"/>
        <v>x</v>
      </c>
      <c r="CU98" s="112" t="str">
        <f t="shared" si="433"/>
        <v>x</v>
      </c>
      <c r="CV98" s="112" t="str">
        <f t="shared" si="434"/>
        <v>x</v>
      </c>
      <c r="CW98" s="112" t="str">
        <f t="shared" si="435"/>
        <v>x</v>
      </c>
      <c r="CX98" s="112" t="str">
        <f t="shared" si="436"/>
        <v>x</v>
      </c>
      <c r="CY98" s="112" t="str">
        <f t="shared" si="543"/>
        <v>x</v>
      </c>
      <c r="CZ98" s="112"/>
      <c r="DA98" s="112"/>
      <c r="DB98" s="115" t="str">
        <f t="shared" si="437"/>
        <v>x</v>
      </c>
      <c r="DC98" s="112"/>
      <c r="DD98" s="112"/>
      <c r="DE98" s="112" t="str">
        <f t="shared" si="438"/>
        <v>x</v>
      </c>
      <c r="DF98" s="115" t="str">
        <f t="shared" si="439"/>
        <v>x</v>
      </c>
      <c r="DG98" s="112" t="str">
        <f t="shared" si="440"/>
        <v>x</v>
      </c>
      <c r="DH98" s="112" t="str">
        <f t="shared" si="441"/>
        <v>x</v>
      </c>
      <c r="DI98" s="112"/>
      <c r="DJ98" s="112"/>
      <c r="DK98" s="112"/>
      <c r="DL98" s="112"/>
      <c r="DM98" s="112"/>
      <c r="DN98" s="112" t="str">
        <f t="shared" si="442"/>
        <v>x</v>
      </c>
      <c r="DO98" s="111"/>
      <c r="DP98" s="111"/>
      <c r="DQ98" s="112" t="str">
        <f t="shared" si="443"/>
        <v>x</v>
      </c>
      <c r="DR98" s="112" t="str">
        <f t="shared" si="544"/>
        <v>x</v>
      </c>
      <c r="DS98" s="112" t="str">
        <f t="shared" si="545"/>
        <v>x</v>
      </c>
      <c r="DT98" s="112"/>
      <c r="DU98" s="112" t="str">
        <f t="shared" si="444"/>
        <v>x</v>
      </c>
      <c r="DV98" s="112"/>
      <c r="DW98" s="112" t="str">
        <f t="shared" si="546"/>
        <v>x</v>
      </c>
      <c r="DX98" s="112" t="str">
        <f t="shared" si="445"/>
        <v>x</v>
      </c>
      <c r="DY98" s="112" t="str">
        <f t="shared" si="446"/>
        <v>x</v>
      </c>
      <c r="DZ98" s="112" t="str">
        <f t="shared" si="447"/>
        <v>x</v>
      </c>
      <c r="EA98" s="112" t="str">
        <f t="shared" si="448"/>
        <v>x</v>
      </c>
      <c r="EB98" s="112" t="str">
        <f t="shared" si="449"/>
        <v>x</v>
      </c>
      <c r="EC98" s="111"/>
      <c r="ED98" s="111"/>
      <c r="EE98" s="111"/>
      <c r="EF98" s="111"/>
      <c r="EG98" s="111"/>
      <c r="EH98" s="111"/>
      <c r="EI98" s="112"/>
      <c r="EJ98" s="112" t="str">
        <f t="shared" si="450"/>
        <v>x</v>
      </c>
      <c r="EK98" s="112" t="str">
        <f t="shared" si="451"/>
        <v>x</v>
      </c>
      <c r="EL98" s="112" t="str">
        <f t="shared" si="452"/>
        <v>x</v>
      </c>
      <c r="EM98" s="112" t="str">
        <f t="shared" si="453"/>
        <v>x</v>
      </c>
      <c r="EN98" s="112" t="str">
        <f t="shared" si="454"/>
        <v>x</v>
      </c>
      <c r="EO98" s="117" t="str">
        <f t="shared" si="455"/>
        <v>x</v>
      </c>
      <c r="EP98" s="117" t="str">
        <f t="shared" si="456"/>
        <v>x</v>
      </c>
      <c r="EQ98" s="112" t="str">
        <f t="shared" si="457"/>
        <v>x</v>
      </c>
      <c r="ER98" s="111"/>
      <c r="ES98" s="111"/>
      <c r="ET98" s="112" t="str">
        <f t="shared" si="458"/>
        <v>x</v>
      </c>
      <c r="EU98" s="112" t="str">
        <f t="shared" si="459"/>
        <v>x</v>
      </c>
      <c r="EV98" s="112" t="str">
        <f t="shared" si="460"/>
        <v>x</v>
      </c>
      <c r="EW98" s="112" t="str">
        <f t="shared" si="461"/>
        <v>x</v>
      </c>
      <c r="EX98" s="112" t="str">
        <f t="shared" si="462"/>
        <v>x</v>
      </c>
      <c r="EY98" s="112" t="str">
        <f t="shared" si="463"/>
        <v>x</v>
      </c>
      <c r="EZ98" s="112"/>
      <c r="FA98" s="112" t="str">
        <f t="shared" si="464"/>
        <v>x</v>
      </c>
      <c r="FB98" s="112" t="str">
        <f t="shared" si="465"/>
        <v>x</v>
      </c>
      <c r="FC98" s="112" t="str">
        <f t="shared" si="466"/>
        <v>x</v>
      </c>
      <c r="FD98" s="112" t="str">
        <f t="shared" si="467"/>
        <v>x</v>
      </c>
      <c r="FE98" s="112" t="str">
        <f t="shared" si="468"/>
        <v>x</v>
      </c>
      <c r="FF98" s="112" t="str">
        <f t="shared" si="469"/>
        <v>x</v>
      </c>
      <c r="FG98" s="111"/>
      <c r="FH98" s="111"/>
      <c r="FI98" s="112" t="str">
        <f t="shared" si="470"/>
        <v>x</v>
      </c>
      <c r="FJ98" s="112" t="str">
        <f t="shared" si="471"/>
        <v>x</v>
      </c>
      <c r="FK98" s="112" t="str">
        <f t="shared" si="472"/>
        <v>x</v>
      </c>
      <c r="FL98" s="112"/>
      <c r="FM98" s="112" t="str">
        <f t="shared" si="473"/>
        <v>x</v>
      </c>
      <c r="FN98" s="112" t="str">
        <f t="shared" si="547"/>
        <v>x</v>
      </c>
      <c r="FO98" s="112" t="str">
        <f t="shared" si="474"/>
        <v>x</v>
      </c>
      <c r="FP98" s="112" t="str">
        <f t="shared" si="475"/>
        <v>x</v>
      </c>
      <c r="FQ98" s="112" t="str">
        <f t="shared" si="476"/>
        <v>x</v>
      </c>
      <c r="FR98" s="112" t="str">
        <f t="shared" si="477"/>
        <v>x</v>
      </c>
      <c r="FS98" s="112" t="str">
        <f t="shared" si="478"/>
        <v>x</v>
      </c>
      <c r="FT98" s="112" t="str">
        <f t="shared" si="479"/>
        <v>x</v>
      </c>
      <c r="FU98" s="112" t="str">
        <f t="shared" si="480"/>
        <v>x</v>
      </c>
      <c r="FV98" s="112" t="str">
        <f t="shared" si="481"/>
        <v>x</v>
      </c>
      <c r="FW98" s="111"/>
      <c r="FX98" s="112"/>
      <c r="FY98" s="112"/>
      <c r="FZ98" s="111"/>
      <c r="GA98" s="111"/>
      <c r="GB98" s="111"/>
      <c r="GC98" s="112" t="str">
        <f t="shared" si="482"/>
        <v>x</v>
      </c>
      <c r="GD98" s="111"/>
      <c r="GE98" s="111"/>
      <c r="GF98" s="111"/>
      <c r="GG98" s="112"/>
      <c r="GH98" s="111"/>
      <c r="GI98" s="111"/>
      <c r="GJ98" s="112" t="str">
        <f t="shared" si="483"/>
        <v>x</v>
      </c>
      <c r="GK98" s="111"/>
      <c r="GL98" s="112" t="str">
        <f t="shared" si="484"/>
        <v>x</v>
      </c>
      <c r="GM98" s="111"/>
      <c r="GN98" s="112" t="str">
        <f t="shared" si="485"/>
        <v>x</v>
      </c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2" t="str">
        <f t="shared" si="48"/>
        <v>x</v>
      </c>
      <c r="HC98" s="112" t="str">
        <f t="shared" si="486"/>
        <v>x</v>
      </c>
      <c r="HD98" s="112" t="str">
        <f t="shared" si="487"/>
        <v>x</v>
      </c>
      <c r="HE98" s="112" t="str">
        <f t="shared" si="488"/>
        <v>x</v>
      </c>
      <c r="HF98" s="112" t="str">
        <f t="shared" si="489"/>
        <v>x</v>
      </c>
      <c r="HG98" s="112"/>
      <c r="HH98" s="112" t="str">
        <f t="shared" si="548"/>
        <v>x</v>
      </c>
      <c r="HI98" s="112"/>
      <c r="HJ98" s="112" t="str">
        <f t="shared" si="490"/>
        <v>x</v>
      </c>
      <c r="HK98" s="111"/>
      <c r="HL98" s="112" t="str">
        <f t="shared" si="491"/>
        <v>x</v>
      </c>
      <c r="HM98" s="112" t="str">
        <f t="shared" si="492"/>
        <v>x</v>
      </c>
      <c r="HN98" s="112" t="str">
        <f t="shared" si="493"/>
        <v>x</v>
      </c>
      <c r="HO98" s="112" t="str">
        <f t="shared" si="494"/>
        <v>x</v>
      </c>
      <c r="HP98" s="112" t="str">
        <f t="shared" si="495"/>
        <v>x</v>
      </c>
      <c r="HQ98" s="112" t="str">
        <f t="shared" si="496"/>
        <v>x</v>
      </c>
      <c r="HR98" s="112" t="str">
        <f t="shared" si="497"/>
        <v>x</v>
      </c>
      <c r="HS98" s="112" t="str">
        <f t="shared" si="498"/>
        <v>x</v>
      </c>
      <c r="HT98" s="112"/>
      <c r="HU98" s="112" t="str">
        <f t="shared" si="499"/>
        <v>x</v>
      </c>
      <c r="HV98" s="112"/>
      <c r="HW98" s="112" t="str">
        <f t="shared" si="549"/>
        <v>x</v>
      </c>
      <c r="HX98" s="112" t="str">
        <f t="shared" si="500"/>
        <v>x</v>
      </c>
      <c r="HY98" s="112" t="str">
        <f t="shared" si="501"/>
        <v>x</v>
      </c>
      <c r="HZ98" s="112" t="str">
        <f t="shared" si="502"/>
        <v>x</v>
      </c>
      <c r="IA98" s="112"/>
      <c r="IB98" s="112"/>
      <c r="IC98" s="112" t="str">
        <f t="shared" si="550"/>
        <v>x</v>
      </c>
      <c r="ID98" s="112" t="str">
        <f t="shared" si="503"/>
        <v>x</v>
      </c>
      <c r="IE98" s="112"/>
      <c r="IF98" s="112"/>
      <c r="IG98" s="111"/>
      <c r="IH98" s="112" t="str">
        <f t="shared" si="504"/>
        <v>x</v>
      </c>
      <c r="II98" s="112" t="str">
        <f t="shared" si="505"/>
        <v>x</v>
      </c>
      <c r="IJ98" s="112" t="str">
        <f t="shared" si="506"/>
        <v>x</v>
      </c>
      <c r="IK98" s="115" t="str">
        <f t="shared" si="507"/>
        <v>x</v>
      </c>
      <c r="IL98" s="112" t="str">
        <f t="shared" si="508"/>
        <v>x</v>
      </c>
      <c r="IM98" s="112" t="str">
        <f t="shared" si="509"/>
        <v>x</v>
      </c>
      <c r="IN98" s="112"/>
      <c r="IO98" s="112"/>
      <c r="IP98" s="112" t="str">
        <f t="shared" si="510"/>
        <v>x</v>
      </c>
      <c r="IQ98" s="112" t="str">
        <f t="shared" si="511"/>
        <v>x</v>
      </c>
      <c r="IR98" s="111"/>
      <c r="IS98" s="112" t="str">
        <f t="shared" si="512"/>
        <v>x</v>
      </c>
      <c r="IT98" s="111"/>
      <c r="IU98" s="112" t="str">
        <f t="shared" si="513"/>
        <v>x</v>
      </c>
      <c r="IV98" s="112"/>
      <c r="IW98" s="112" t="str">
        <f t="shared" si="514"/>
        <v>x</v>
      </c>
      <c r="IX98" s="112" t="str">
        <f t="shared" si="515"/>
        <v>x</v>
      </c>
      <c r="IY98" s="111"/>
      <c r="IZ98" s="112" t="str">
        <f t="shared" si="516"/>
        <v>x</v>
      </c>
      <c r="JA98" s="111"/>
      <c r="JB98" s="112" t="str">
        <f t="shared" si="517"/>
        <v>x</v>
      </c>
      <c r="JC98" s="111"/>
      <c r="JD98" s="112"/>
      <c r="JE98" s="112"/>
      <c r="JF98" s="112" t="str">
        <f t="shared" si="518"/>
        <v>x</v>
      </c>
      <c r="JG98" s="112" t="str">
        <f t="shared" si="519"/>
        <v>x</v>
      </c>
      <c r="JH98" s="112" t="str">
        <f t="shared" si="520"/>
        <v>x</v>
      </c>
      <c r="JI98" s="112"/>
      <c r="JJ98" s="112" t="str">
        <f t="shared" si="521"/>
        <v>x</v>
      </c>
      <c r="JK98" s="112" t="str">
        <f t="shared" si="551"/>
        <v>x</v>
      </c>
      <c r="JL98" s="112" t="str">
        <f t="shared" si="522"/>
        <v>x</v>
      </c>
      <c r="JM98" s="112"/>
      <c r="JN98" s="112"/>
      <c r="JO98" s="112"/>
      <c r="JP98" s="112"/>
      <c r="JQ98" s="112" t="str">
        <f t="shared" si="523"/>
        <v>x</v>
      </c>
      <c r="JR98" s="112"/>
      <c r="JS98" s="112" t="str">
        <f t="shared" si="524"/>
        <v>x</v>
      </c>
      <c r="JT98" s="111"/>
      <c r="JU98" s="111"/>
      <c r="JV98" s="112"/>
      <c r="JW98" s="112" t="str">
        <f t="shared" si="525"/>
        <v>x</v>
      </c>
      <c r="JX98" s="112"/>
      <c r="JY98" s="112"/>
      <c r="JZ98" s="112"/>
      <c r="KA98" s="112" t="str">
        <f t="shared" si="526"/>
        <v>x</v>
      </c>
      <c r="KB98" s="112" t="str">
        <f t="shared" si="527"/>
        <v>x</v>
      </c>
      <c r="KC98" s="112" t="str">
        <f t="shared" si="528"/>
        <v>x</v>
      </c>
      <c r="KD98" s="112" t="str">
        <f t="shared" si="529"/>
        <v>x</v>
      </c>
      <c r="KE98" s="112" t="str">
        <f t="shared" si="530"/>
        <v>x</v>
      </c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1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1"/>
      <c r="MC98" s="112" t="str">
        <f t="shared" si="531"/>
        <v>x</v>
      </c>
      <c r="MD98" s="112"/>
      <c r="ME98" s="112" t="str">
        <f t="shared" si="532"/>
        <v>x</v>
      </c>
      <c r="MF98" s="112" t="str">
        <f t="shared" si="533"/>
        <v>x</v>
      </c>
      <c r="MG98" s="112" t="str">
        <f t="shared" si="552"/>
        <v>x</v>
      </c>
      <c r="MH98" s="112" t="str">
        <f t="shared" si="534"/>
        <v>x</v>
      </c>
    </row>
    <row r="99" spans="1:346" x14ac:dyDescent="0.25">
      <c r="A99" s="110" t="s">
        <v>4</v>
      </c>
      <c r="B99" s="101" t="s">
        <v>392</v>
      </c>
      <c r="C99" s="102"/>
      <c r="D99" s="102"/>
      <c r="E99" s="102"/>
      <c r="F99" s="102"/>
      <c r="G99" s="102"/>
      <c r="H99" s="102"/>
      <c r="I99" s="102"/>
      <c r="J99" s="103"/>
      <c r="K99" s="111"/>
      <c r="L99" s="111"/>
      <c r="M99" s="112" t="str">
        <f t="shared" si="390"/>
        <v>x</v>
      </c>
      <c r="N99" s="112" t="str">
        <f t="shared" si="391"/>
        <v>x</v>
      </c>
      <c r="O99" s="112" t="str">
        <f t="shared" si="535"/>
        <v>x</v>
      </c>
      <c r="P99" s="112" t="str">
        <f t="shared" si="392"/>
        <v>x</v>
      </c>
      <c r="Q99" s="112" t="str">
        <f t="shared" si="393"/>
        <v>x</v>
      </c>
      <c r="R99" s="112"/>
      <c r="S99" s="112" t="str">
        <f t="shared" si="394"/>
        <v>x</v>
      </c>
      <c r="T99" s="112" t="str">
        <f t="shared" si="395"/>
        <v>x</v>
      </c>
      <c r="U99" s="112"/>
      <c r="V99" s="112"/>
      <c r="W99" s="112" t="str">
        <f t="shared" si="396"/>
        <v>x</v>
      </c>
      <c r="X99" s="112" t="str">
        <f t="shared" si="397"/>
        <v>x</v>
      </c>
      <c r="Y99" s="112"/>
      <c r="Z99" s="112"/>
      <c r="AA99" s="112"/>
      <c r="AB99" s="112" t="str">
        <f t="shared" si="398"/>
        <v>x</v>
      </c>
      <c r="AC99" s="112" t="str">
        <f t="shared" si="399"/>
        <v>x</v>
      </c>
      <c r="AD99" s="112" t="str">
        <f t="shared" si="400"/>
        <v>x</v>
      </c>
      <c r="AE99" s="112" t="str">
        <f t="shared" si="536"/>
        <v>x</v>
      </c>
      <c r="AF99" s="112" t="str">
        <f t="shared" si="401"/>
        <v>x</v>
      </c>
      <c r="AG99" s="112" t="str">
        <f t="shared" si="402"/>
        <v>x</v>
      </c>
      <c r="AH99" s="112" t="str">
        <f t="shared" si="403"/>
        <v>x</v>
      </c>
      <c r="AI99" s="112" t="str">
        <f t="shared" si="404"/>
        <v>x</v>
      </c>
      <c r="AJ99" s="112" t="str">
        <f t="shared" si="405"/>
        <v>x</v>
      </c>
      <c r="AK99" s="112" t="str">
        <f t="shared" si="406"/>
        <v>x</v>
      </c>
      <c r="AL99" s="112"/>
      <c r="AM99" s="112" t="str">
        <f t="shared" si="537"/>
        <v>x</v>
      </c>
      <c r="AN99" s="112"/>
      <c r="AO99" s="112"/>
      <c r="AP99" s="112"/>
      <c r="AQ99" s="112"/>
      <c r="AR99" s="112"/>
      <c r="AS99" s="112"/>
      <c r="AT99" s="112" t="str">
        <f t="shared" si="407"/>
        <v>x</v>
      </c>
      <c r="AU99" s="113"/>
      <c r="AV99" s="114" t="str">
        <f t="shared" si="408"/>
        <v>x</v>
      </c>
      <c r="AW99" s="114" t="str">
        <f t="shared" si="409"/>
        <v>x</v>
      </c>
      <c r="AX99" s="112" t="str">
        <f t="shared" si="410"/>
        <v>x</v>
      </c>
      <c r="AY99" s="111"/>
      <c r="AZ99" s="112" t="str">
        <f t="shared" si="411"/>
        <v>x</v>
      </c>
      <c r="BA99" s="112" t="str">
        <f t="shared" si="412"/>
        <v>x</v>
      </c>
      <c r="BB99" s="111"/>
      <c r="BC99" s="111"/>
      <c r="BD99" s="112" t="str">
        <f t="shared" si="413"/>
        <v>x</v>
      </c>
      <c r="BE99" s="112"/>
      <c r="BF99" s="111"/>
      <c r="BG99" s="112" t="str">
        <f t="shared" si="414"/>
        <v>x</v>
      </c>
      <c r="BH99" s="112" t="str">
        <f t="shared" si="538"/>
        <v>x</v>
      </c>
      <c r="BI99" s="112" t="str">
        <f t="shared" si="415"/>
        <v>x</v>
      </c>
      <c r="BJ99" s="111"/>
      <c r="BK99" s="112" t="str">
        <f t="shared" si="416"/>
        <v>x</v>
      </c>
      <c r="BL99" s="112" t="str">
        <f t="shared" si="417"/>
        <v>x</v>
      </c>
      <c r="BM99" s="112" t="str">
        <f t="shared" si="418"/>
        <v>x</v>
      </c>
      <c r="BN99" s="112" t="str">
        <f t="shared" si="419"/>
        <v>x</v>
      </c>
      <c r="BO99" s="111"/>
      <c r="BP99" s="111"/>
      <c r="BQ99" s="111"/>
      <c r="BR99" s="112" t="str">
        <f t="shared" si="420"/>
        <v>x</v>
      </c>
      <c r="BS99" s="112"/>
      <c r="BT99" s="111"/>
      <c r="BU99" s="112" t="str">
        <f t="shared" si="421"/>
        <v>x</v>
      </c>
      <c r="BV99" s="112" t="str">
        <f t="shared" si="422"/>
        <v>x</v>
      </c>
      <c r="BW99" s="112"/>
      <c r="BX99" s="112"/>
      <c r="BY99" s="112"/>
      <c r="BZ99" s="112" t="str">
        <f t="shared" si="423"/>
        <v>x</v>
      </c>
      <c r="CA99" s="112" t="str">
        <f t="shared" si="424"/>
        <v>x</v>
      </c>
      <c r="CB99" s="112" t="str">
        <f t="shared" si="425"/>
        <v>x</v>
      </c>
      <c r="CC99" s="112"/>
      <c r="CD99" s="112"/>
      <c r="CE99" s="111"/>
      <c r="CF99" s="112" t="str">
        <f t="shared" si="426"/>
        <v>x</v>
      </c>
      <c r="CG99" s="112" t="str">
        <f t="shared" si="539"/>
        <v>x</v>
      </c>
      <c r="CH99" s="112" t="str">
        <f t="shared" si="427"/>
        <v>x</v>
      </c>
      <c r="CI99" s="112" t="str">
        <f t="shared" si="428"/>
        <v>x</v>
      </c>
      <c r="CJ99" s="112" t="str">
        <f t="shared" si="429"/>
        <v>x</v>
      </c>
      <c r="CK99" s="112" t="str">
        <f t="shared" si="430"/>
        <v>x</v>
      </c>
      <c r="CL99" s="112" t="str">
        <f t="shared" si="431"/>
        <v>x</v>
      </c>
      <c r="CM99" s="112"/>
      <c r="CN99" s="112"/>
      <c r="CO99" s="112" t="str">
        <f t="shared" si="540"/>
        <v>x</v>
      </c>
      <c r="CP99" s="112"/>
      <c r="CQ99" s="112" t="str">
        <f t="shared" si="541"/>
        <v>x</v>
      </c>
      <c r="CR99" s="112" t="str">
        <f t="shared" si="432"/>
        <v>x</v>
      </c>
      <c r="CS99" s="112"/>
      <c r="CT99" s="112" t="str">
        <f t="shared" si="542"/>
        <v>x</v>
      </c>
      <c r="CU99" s="112" t="str">
        <f t="shared" si="433"/>
        <v>x</v>
      </c>
      <c r="CV99" s="112" t="str">
        <f t="shared" si="434"/>
        <v>x</v>
      </c>
      <c r="CW99" s="112" t="str">
        <f t="shared" si="435"/>
        <v>x</v>
      </c>
      <c r="CX99" s="112" t="str">
        <f t="shared" si="436"/>
        <v>x</v>
      </c>
      <c r="CY99" s="112" t="str">
        <f t="shared" si="543"/>
        <v>x</v>
      </c>
      <c r="CZ99" s="112"/>
      <c r="DA99" s="112"/>
      <c r="DB99" s="115" t="str">
        <f t="shared" si="437"/>
        <v>x</v>
      </c>
      <c r="DC99" s="112"/>
      <c r="DD99" s="112"/>
      <c r="DE99" s="112" t="str">
        <f t="shared" si="438"/>
        <v>x</v>
      </c>
      <c r="DF99" s="115" t="str">
        <f t="shared" si="439"/>
        <v>x</v>
      </c>
      <c r="DG99" s="112" t="str">
        <f t="shared" si="440"/>
        <v>x</v>
      </c>
      <c r="DH99" s="112" t="str">
        <f t="shared" si="441"/>
        <v>x</v>
      </c>
      <c r="DI99" s="112"/>
      <c r="DJ99" s="112"/>
      <c r="DK99" s="112"/>
      <c r="DL99" s="112"/>
      <c r="DM99" s="112"/>
      <c r="DN99" s="112" t="str">
        <f t="shared" si="442"/>
        <v>x</v>
      </c>
      <c r="DO99" s="111"/>
      <c r="DP99" s="111"/>
      <c r="DQ99" s="112" t="str">
        <f t="shared" si="443"/>
        <v>x</v>
      </c>
      <c r="DR99" s="112" t="str">
        <f t="shared" si="544"/>
        <v>x</v>
      </c>
      <c r="DS99" s="112" t="str">
        <f t="shared" si="545"/>
        <v>x</v>
      </c>
      <c r="DT99" s="112"/>
      <c r="DU99" s="112" t="str">
        <f t="shared" si="444"/>
        <v>x</v>
      </c>
      <c r="DV99" s="112"/>
      <c r="DW99" s="112" t="str">
        <f t="shared" si="546"/>
        <v>x</v>
      </c>
      <c r="DX99" s="112" t="str">
        <f t="shared" si="445"/>
        <v>x</v>
      </c>
      <c r="DY99" s="112" t="str">
        <f t="shared" si="446"/>
        <v>x</v>
      </c>
      <c r="DZ99" s="112" t="str">
        <f t="shared" si="447"/>
        <v>x</v>
      </c>
      <c r="EA99" s="112" t="str">
        <f t="shared" si="448"/>
        <v>x</v>
      </c>
      <c r="EB99" s="112" t="str">
        <f t="shared" si="449"/>
        <v>x</v>
      </c>
      <c r="EC99" s="111"/>
      <c r="ED99" s="111"/>
      <c r="EE99" s="111"/>
      <c r="EF99" s="111"/>
      <c r="EG99" s="111"/>
      <c r="EH99" s="111"/>
      <c r="EI99" s="112"/>
      <c r="EJ99" s="112" t="str">
        <f t="shared" si="450"/>
        <v>x</v>
      </c>
      <c r="EK99" s="112" t="str">
        <f t="shared" si="451"/>
        <v>x</v>
      </c>
      <c r="EL99" s="112" t="str">
        <f t="shared" si="452"/>
        <v>x</v>
      </c>
      <c r="EM99" s="112" t="str">
        <f t="shared" si="453"/>
        <v>x</v>
      </c>
      <c r="EN99" s="112" t="str">
        <f t="shared" si="454"/>
        <v>x</v>
      </c>
      <c r="EO99" s="117" t="str">
        <f t="shared" si="455"/>
        <v>x</v>
      </c>
      <c r="EP99" s="117" t="str">
        <f t="shared" si="456"/>
        <v>x</v>
      </c>
      <c r="EQ99" s="112" t="str">
        <f t="shared" si="457"/>
        <v>x</v>
      </c>
      <c r="ER99" s="111"/>
      <c r="ES99" s="111"/>
      <c r="ET99" s="112" t="str">
        <f t="shared" si="458"/>
        <v>x</v>
      </c>
      <c r="EU99" s="112" t="str">
        <f t="shared" si="459"/>
        <v>x</v>
      </c>
      <c r="EV99" s="112" t="str">
        <f t="shared" si="460"/>
        <v>x</v>
      </c>
      <c r="EW99" s="112" t="str">
        <f t="shared" si="461"/>
        <v>x</v>
      </c>
      <c r="EX99" s="112" t="str">
        <f t="shared" si="462"/>
        <v>x</v>
      </c>
      <c r="EY99" s="112" t="str">
        <f t="shared" si="463"/>
        <v>x</v>
      </c>
      <c r="EZ99" s="112"/>
      <c r="FA99" s="112" t="str">
        <f t="shared" si="464"/>
        <v>x</v>
      </c>
      <c r="FB99" s="112" t="str">
        <f t="shared" si="465"/>
        <v>x</v>
      </c>
      <c r="FC99" s="112" t="str">
        <f t="shared" si="466"/>
        <v>x</v>
      </c>
      <c r="FD99" s="112" t="str">
        <f t="shared" si="467"/>
        <v>x</v>
      </c>
      <c r="FE99" s="112" t="str">
        <f t="shared" si="468"/>
        <v>x</v>
      </c>
      <c r="FF99" s="112" t="str">
        <f t="shared" si="469"/>
        <v>x</v>
      </c>
      <c r="FG99" s="111"/>
      <c r="FH99" s="111"/>
      <c r="FI99" s="112" t="str">
        <f t="shared" si="470"/>
        <v>x</v>
      </c>
      <c r="FJ99" s="112" t="str">
        <f t="shared" si="471"/>
        <v>x</v>
      </c>
      <c r="FK99" s="112" t="str">
        <f t="shared" si="472"/>
        <v>x</v>
      </c>
      <c r="FL99" s="112"/>
      <c r="FM99" s="112" t="str">
        <f t="shared" si="473"/>
        <v>x</v>
      </c>
      <c r="FN99" s="112" t="str">
        <f t="shared" si="547"/>
        <v>x</v>
      </c>
      <c r="FO99" s="112" t="str">
        <f t="shared" si="474"/>
        <v>x</v>
      </c>
      <c r="FP99" s="112" t="str">
        <f t="shared" si="475"/>
        <v>x</v>
      </c>
      <c r="FQ99" s="112" t="str">
        <f t="shared" si="476"/>
        <v>x</v>
      </c>
      <c r="FR99" s="112" t="str">
        <f t="shared" si="477"/>
        <v>x</v>
      </c>
      <c r="FS99" s="112" t="str">
        <f t="shared" si="478"/>
        <v>x</v>
      </c>
      <c r="FT99" s="112" t="str">
        <f t="shared" si="479"/>
        <v>x</v>
      </c>
      <c r="FU99" s="112" t="str">
        <f t="shared" si="480"/>
        <v>x</v>
      </c>
      <c r="FV99" s="112" t="str">
        <f t="shared" si="481"/>
        <v>x</v>
      </c>
      <c r="FW99" s="111"/>
      <c r="FX99" s="112"/>
      <c r="FY99" s="112"/>
      <c r="FZ99" s="111"/>
      <c r="GA99" s="111"/>
      <c r="GB99" s="111"/>
      <c r="GC99" s="112" t="str">
        <f t="shared" si="482"/>
        <v>x</v>
      </c>
      <c r="GD99" s="111"/>
      <c r="GE99" s="111"/>
      <c r="GF99" s="111"/>
      <c r="GG99" s="112"/>
      <c r="GH99" s="111"/>
      <c r="GI99" s="111"/>
      <c r="GJ99" s="112" t="str">
        <f t="shared" si="483"/>
        <v>x</v>
      </c>
      <c r="GK99" s="111"/>
      <c r="GL99" s="112" t="str">
        <f t="shared" si="484"/>
        <v>x</v>
      </c>
      <c r="GM99" s="111"/>
      <c r="GN99" s="112" t="str">
        <f t="shared" si="485"/>
        <v>x</v>
      </c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2" t="str">
        <f t="shared" si="48"/>
        <v>x</v>
      </c>
      <c r="HC99" s="112" t="str">
        <f t="shared" si="486"/>
        <v>x</v>
      </c>
      <c r="HD99" s="112" t="str">
        <f t="shared" si="487"/>
        <v>x</v>
      </c>
      <c r="HE99" s="112" t="str">
        <f t="shared" si="488"/>
        <v>x</v>
      </c>
      <c r="HF99" s="112" t="str">
        <f t="shared" si="489"/>
        <v>x</v>
      </c>
      <c r="HG99" s="112"/>
      <c r="HH99" s="112" t="str">
        <f t="shared" si="548"/>
        <v>x</v>
      </c>
      <c r="HI99" s="112"/>
      <c r="HJ99" s="112" t="str">
        <f t="shared" si="490"/>
        <v>x</v>
      </c>
      <c r="HK99" s="111"/>
      <c r="HL99" s="112" t="str">
        <f t="shared" si="491"/>
        <v>x</v>
      </c>
      <c r="HM99" s="112" t="str">
        <f t="shared" si="492"/>
        <v>x</v>
      </c>
      <c r="HN99" s="112" t="str">
        <f t="shared" si="493"/>
        <v>x</v>
      </c>
      <c r="HO99" s="112" t="str">
        <f t="shared" si="494"/>
        <v>x</v>
      </c>
      <c r="HP99" s="112" t="str">
        <f t="shared" si="495"/>
        <v>x</v>
      </c>
      <c r="HQ99" s="112" t="str">
        <f t="shared" si="496"/>
        <v>x</v>
      </c>
      <c r="HR99" s="112" t="str">
        <f t="shared" si="497"/>
        <v>x</v>
      </c>
      <c r="HS99" s="112" t="str">
        <f t="shared" si="498"/>
        <v>x</v>
      </c>
      <c r="HT99" s="112"/>
      <c r="HU99" s="112" t="str">
        <f t="shared" si="499"/>
        <v>x</v>
      </c>
      <c r="HV99" s="112"/>
      <c r="HW99" s="112" t="str">
        <f t="shared" si="549"/>
        <v>x</v>
      </c>
      <c r="HX99" s="112" t="str">
        <f t="shared" si="500"/>
        <v>x</v>
      </c>
      <c r="HY99" s="112" t="str">
        <f t="shared" si="501"/>
        <v>x</v>
      </c>
      <c r="HZ99" s="112" t="str">
        <f t="shared" si="502"/>
        <v>x</v>
      </c>
      <c r="IA99" s="112"/>
      <c r="IB99" s="112"/>
      <c r="IC99" s="112" t="str">
        <f t="shared" si="550"/>
        <v>x</v>
      </c>
      <c r="ID99" s="112" t="str">
        <f t="shared" si="503"/>
        <v>x</v>
      </c>
      <c r="IE99" s="112"/>
      <c r="IF99" s="112"/>
      <c r="IG99" s="111"/>
      <c r="IH99" s="112" t="str">
        <f t="shared" si="504"/>
        <v>x</v>
      </c>
      <c r="II99" s="112" t="str">
        <f t="shared" si="505"/>
        <v>x</v>
      </c>
      <c r="IJ99" s="112" t="str">
        <f t="shared" si="506"/>
        <v>x</v>
      </c>
      <c r="IK99" s="115" t="str">
        <f t="shared" si="507"/>
        <v>x</v>
      </c>
      <c r="IL99" s="112" t="str">
        <f t="shared" si="508"/>
        <v>x</v>
      </c>
      <c r="IM99" s="112" t="str">
        <f t="shared" si="509"/>
        <v>x</v>
      </c>
      <c r="IN99" s="112"/>
      <c r="IO99" s="112"/>
      <c r="IP99" s="112" t="str">
        <f t="shared" si="510"/>
        <v>x</v>
      </c>
      <c r="IQ99" s="112" t="str">
        <f t="shared" si="511"/>
        <v>x</v>
      </c>
      <c r="IR99" s="111"/>
      <c r="IS99" s="112" t="str">
        <f t="shared" si="512"/>
        <v>x</v>
      </c>
      <c r="IT99" s="111"/>
      <c r="IU99" s="112" t="str">
        <f t="shared" si="513"/>
        <v>x</v>
      </c>
      <c r="IV99" s="112"/>
      <c r="IW99" s="112" t="str">
        <f t="shared" si="514"/>
        <v>x</v>
      </c>
      <c r="IX99" s="112" t="str">
        <f t="shared" si="515"/>
        <v>x</v>
      </c>
      <c r="IY99" s="111"/>
      <c r="IZ99" s="112" t="str">
        <f t="shared" si="516"/>
        <v>x</v>
      </c>
      <c r="JA99" s="111"/>
      <c r="JB99" s="112" t="str">
        <f t="shared" si="517"/>
        <v>x</v>
      </c>
      <c r="JC99" s="111"/>
      <c r="JD99" s="112"/>
      <c r="JE99" s="112"/>
      <c r="JF99" s="112" t="str">
        <f t="shared" si="518"/>
        <v>x</v>
      </c>
      <c r="JG99" s="112" t="str">
        <f t="shared" si="519"/>
        <v>x</v>
      </c>
      <c r="JH99" s="112" t="str">
        <f t="shared" si="520"/>
        <v>x</v>
      </c>
      <c r="JI99" s="112"/>
      <c r="JJ99" s="112" t="str">
        <f t="shared" si="521"/>
        <v>x</v>
      </c>
      <c r="JK99" s="112" t="str">
        <f t="shared" si="551"/>
        <v>x</v>
      </c>
      <c r="JL99" s="112" t="str">
        <f t="shared" si="522"/>
        <v>x</v>
      </c>
      <c r="JM99" s="112"/>
      <c r="JN99" s="112"/>
      <c r="JO99" s="112"/>
      <c r="JP99" s="112"/>
      <c r="JQ99" s="112" t="str">
        <f t="shared" si="523"/>
        <v>x</v>
      </c>
      <c r="JR99" s="112"/>
      <c r="JS99" s="112" t="str">
        <f t="shared" si="524"/>
        <v>x</v>
      </c>
      <c r="JT99" s="111"/>
      <c r="JU99" s="111"/>
      <c r="JV99" s="112"/>
      <c r="JW99" s="112" t="str">
        <f t="shared" si="525"/>
        <v>x</v>
      </c>
      <c r="JX99" s="112"/>
      <c r="JY99" s="112"/>
      <c r="JZ99" s="112"/>
      <c r="KA99" s="112" t="str">
        <f t="shared" si="526"/>
        <v>x</v>
      </c>
      <c r="KB99" s="112" t="str">
        <f t="shared" si="527"/>
        <v>x</v>
      </c>
      <c r="KC99" s="112" t="str">
        <f t="shared" si="528"/>
        <v>x</v>
      </c>
      <c r="KD99" s="112" t="str">
        <f t="shared" si="529"/>
        <v>x</v>
      </c>
      <c r="KE99" s="112" t="str">
        <f t="shared" si="530"/>
        <v>x</v>
      </c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1"/>
      <c r="LC99" s="112"/>
      <c r="LD99" s="112"/>
      <c r="LE99" s="112"/>
      <c r="LF99" s="112"/>
      <c r="LG99" s="112"/>
      <c r="LH99" s="112"/>
      <c r="LI99" s="112"/>
      <c r="LJ99" s="112"/>
      <c r="LK99" s="112"/>
      <c r="LL99" s="112"/>
      <c r="LM99" s="112"/>
      <c r="LN99" s="112"/>
      <c r="LO99" s="112"/>
      <c r="LP99" s="112"/>
      <c r="LQ99" s="112"/>
      <c r="LR99" s="112"/>
      <c r="LS99" s="112"/>
      <c r="LT99" s="112"/>
      <c r="LU99" s="112"/>
      <c r="LV99" s="112"/>
      <c r="LW99" s="112"/>
      <c r="LX99" s="112"/>
      <c r="LY99" s="112"/>
      <c r="LZ99" s="112"/>
      <c r="MA99" s="112"/>
      <c r="MB99" s="111"/>
      <c r="MC99" s="112" t="str">
        <f t="shared" si="531"/>
        <v>x</v>
      </c>
      <c r="MD99" s="112"/>
      <c r="ME99" s="112" t="str">
        <f t="shared" si="532"/>
        <v>x</v>
      </c>
      <c r="MF99" s="112" t="str">
        <f t="shared" si="533"/>
        <v>x</v>
      </c>
      <c r="MG99" s="112" t="str">
        <f t="shared" si="552"/>
        <v>x</v>
      </c>
      <c r="MH99" s="112" t="str">
        <f t="shared" si="534"/>
        <v>x</v>
      </c>
    </row>
    <row r="100" spans="1:346" x14ac:dyDescent="0.25">
      <c r="A100" s="110" t="s">
        <v>4</v>
      </c>
      <c r="B100" s="101" t="s">
        <v>393</v>
      </c>
      <c r="C100" s="102"/>
      <c r="D100" s="102"/>
      <c r="E100" s="102"/>
      <c r="F100" s="102"/>
      <c r="G100" s="102"/>
      <c r="H100" s="102"/>
      <c r="I100" s="102"/>
      <c r="J100" s="103"/>
      <c r="K100" s="111"/>
      <c r="L100" s="111"/>
      <c r="M100" s="112" t="str">
        <f t="shared" si="390"/>
        <v>x</v>
      </c>
      <c r="N100" s="112" t="str">
        <f t="shared" si="391"/>
        <v>x</v>
      </c>
      <c r="O100" s="112" t="str">
        <f t="shared" si="535"/>
        <v>x</v>
      </c>
      <c r="P100" s="112" t="str">
        <f t="shared" si="392"/>
        <v>x</v>
      </c>
      <c r="Q100" s="112" t="str">
        <f t="shared" si="393"/>
        <v>x</v>
      </c>
      <c r="R100" s="112"/>
      <c r="S100" s="112" t="str">
        <f t="shared" si="394"/>
        <v>x</v>
      </c>
      <c r="T100" s="112" t="str">
        <f t="shared" si="395"/>
        <v>x</v>
      </c>
      <c r="U100" s="112"/>
      <c r="V100" s="112"/>
      <c r="W100" s="112" t="str">
        <f t="shared" si="396"/>
        <v>x</v>
      </c>
      <c r="X100" s="112" t="str">
        <f t="shared" si="397"/>
        <v>x</v>
      </c>
      <c r="Y100" s="112"/>
      <c r="Z100" s="112"/>
      <c r="AA100" s="112"/>
      <c r="AB100" s="112" t="str">
        <f t="shared" si="398"/>
        <v>x</v>
      </c>
      <c r="AC100" s="112" t="str">
        <f t="shared" si="399"/>
        <v>x</v>
      </c>
      <c r="AD100" s="112" t="str">
        <f t="shared" si="400"/>
        <v>x</v>
      </c>
      <c r="AE100" s="112" t="str">
        <f t="shared" si="536"/>
        <v>x</v>
      </c>
      <c r="AF100" s="112" t="str">
        <f t="shared" si="401"/>
        <v>x</v>
      </c>
      <c r="AG100" s="112" t="str">
        <f t="shared" si="402"/>
        <v>x</v>
      </c>
      <c r="AH100" s="112" t="str">
        <f t="shared" si="403"/>
        <v>x</v>
      </c>
      <c r="AI100" s="112" t="str">
        <f t="shared" si="404"/>
        <v>x</v>
      </c>
      <c r="AJ100" s="112" t="str">
        <f t="shared" si="405"/>
        <v>x</v>
      </c>
      <c r="AK100" s="112" t="str">
        <f t="shared" si="406"/>
        <v>x</v>
      </c>
      <c r="AL100" s="112"/>
      <c r="AM100" s="112" t="str">
        <f t="shared" si="537"/>
        <v>x</v>
      </c>
      <c r="AN100" s="112"/>
      <c r="AO100" s="112"/>
      <c r="AP100" s="112"/>
      <c r="AQ100" s="112"/>
      <c r="AR100" s="112"/>
      <c r="AS100" s="112"/>
      <c r="AT100" s="112" t="str">
        <f t="shared" si="407"/>
        <v>x</v>
      </c>
      <c r="AU100" s="113"/>
      <c r="AV100" s="114" t="str">
        <f t="shared" si="408"/>
        <v>x</v>
      </c>
      <c r="AW100" s="114" t="str">
        <f t="shared" si="409"/>
        <v>x</v>
      </c>
      <c r="AX100" s="112" t="str">
        <f t="shared" si="410"/>
        <v>x</v>
      </c>
      <c r="AY100" s="111"/>
      <c r="AZ100" s="112" t="str">
        <f t="shared" si="411"/>
        <v>x</v>
      </c>
      <c r="BA100" s="112" t="str">
        <f t="shared" si="412"/>
        <v>x</v>
      </c>
      <c r="BB100" s="111"/>
      <c r="BC100" s="111"/>
      <c r="BD100" s="112" t="str">
        <f t="shared" si="413"/>
        <v>x</v>
      </c>
      <c r="BE100" s="112"/>
      <c r="BF100" s="111"/>
      <c r="BG100" s="112" t="str">
        <f t="shared" si="414"/>
        <v>x</v>
      </c>
      <c r="BH100" s="112" t="str">
        <f t="shared" si="538"/>
        <v>x</v>
      </c>
      <c r="BI100" s="112" t="str">
        <f t="shared" si="415"/>
        <v>x</v>
      </c>
      <c r="BJ100" s="111"/>
      <c r="BK100" s="112" t="str">
        <f t="shared" si="416"/>
        <v>x</v>
      </c>
      <c r="BL100" s="112" t="str">
        <f t="shared" si="417"/>
        <v>x</v>
      </c>
      <c r="BM100" s="112" t="str">
        <f t="shared" si="418"/>
        <v>x</v>
      </c>
      <c r="BN100" s="112" t="str">
        <f t="shared" si="419"/>
        <v>x</v>
      </c>
      <c r="BO100" s="111"/>
      <c r="BP100" s="111"/>
      <c r="BQ100" s="111"/>
      <c r="BR100" s="112" t="str">
        <f t="shared" si="420"/>
        <v>x</v>
      </c>
      <c r="BS100" s="112"/>
      <c r="BT100" s="111"/>
      <c r="BU100" s="112" t="str">
        <f t="shared" si="421"/>
        <v>x</v>
      </c>
      <c r="BV100" s="112" t="str">
        <f t="shared" si="422"/>
        <v>x</v>
      </c>
      <c r="BW100" s="112"/>
      <c r="BX100" s="112"/>
      <c r="BY100" s="112"/>
      <c r="BZ100" s="112" t="str">
        <f t="shared" si="423"/>
        <v>x</v>
      </c>
      <c r="CA100" s="112" t="str">
        <f t="shared" si="424"/>
        <v>x</v>
      </c>
      <c r="CB100" s="112" t="str">
        <f t="shared" si="425"/>
        <v>x</v>
      </c>
      <c r="CC100" s="112"/>
      <c r="CD100" s="112"/>
      <c r="CE100" s="111"/>
      <c r="CF100" s="112" t="str">
        <f t="shared" si="426"/>
        <v>x</v>
      </c>
      <c r="CG100" s="112" t="str">
        <f t="shared" si="539"/>
        <v>x</v>
      </c>
      <c r="CH100" s="112" t="str">
        <f t="shared" si="427"/>
        <v>x</v>
      </c>
      <c r="CI100" s="112" t="str">
        <f t="shared" si="428"/>
        <v>x</v>
      </c>
      <c r="CJ100" s="112" t="str">
        <f t="shared" si="429"/>
        <v>x</v>
      </c>
      <c r="CK100" s="112" t="str">
        <f t="shared" si="430"/>
        <v>x</v>
      </c>
      <c r="CL100" s="112" t="str">
        <f t="shared" si="431"/>
        <v>x</v>
      </c>
      <c r="CM100" s="112"/>
      <c r="CN100" s="112"/>
      <c r="CO100" s="112" t="str">
        <f t="shared" si="540"/>
        <v>x</v>
      </c>
      <c r="CP100" s="112"/>
      <c r="CQ100" s="112" t="str">
        <f t="shared" si="541"/>
        <v>x</v>
      </c>
      <c r="CR100" s="112" t="str">
        <f t="shared" si="432"/>
        <v>x</v>
      </c>
      <c r="CS100" s="112"/>
      <c r="CT100" s="112" t="str">
        <f t="shared" si="542"/>
        <v>x</v>
      </c>
      <c r="CU100" s="112" t="str">
        <f t="shared" si="433"/>
        <v>x</v>
      </c>
      <c r="CV100" s="112" t="str">
        <f t="shared" si="434"/>
        <v>x</v>
      </c>
      <c r="CW100" s="112" t="str">
        <f t="shared" si="435"/>
        <v>x</v>
      </c>
      <c r="CX100" s="112" t="str">
        <f t="shared" si="436"/>
        <v>x</v>
      </c>
      <c r="CY100" s="112" t="str">
        <f t="shared" si="543"/>
        <v>x</v>
      </c>
      <c r="CZ100" s="112"/>
      <c r="DA100" s="112"/>
      <c r="DB100" s="115" t="str">
        <f t="shared" si="437"/>
        <v>x</v>
      </c>
      <c r="DC100" s="112"/>
      <c r="DD100" s="112"/>
      <c r="DE100" s="112" t="str">
        <f t="shared" si="438"/>
        <v>x</v>
      </c>
      <c r="DF100" s="115" t="str">
        <f t="shared" si="439"/>
        <v>x</v>
      </c>
      <c r="DG100" s="112" t="str">
        <f t="shared" si="440"/>
        <v>x</v>
      </c>
      <c r="DH100" s="112" t="str">
        <f t="shared" si="441"/>
        <v>x</v>
      </c>
      <c r="DI100" s="112"/>
      <c r="DJ100" s="112"/>
      <c r="DK100" s="112"/>
      <c r="DL100" s="112"/>
      <c r="DM100" s="112"/>
      <c r="DN100" s="112" t="str">
        <f t="shared" si="442"/>
        <v>x</v>
      </c>
      <c r="DO100" s="111"/>
      <c r="DP100" s="111"/>
      <c r="DQ100" s="112" t="str">
        <f t="shared" si="443"/>
        <v>x</v>
      </c>
      <c r="DR100" s="112" t="str">
        <f t="shared" si="544"/>
        <v>x</v>
      </c>
      <c r="DS100" s="112" t="str">
        <f t="shared" si="545"/>
        <v>x</v>
      </c>
      <c r="DT100" s="112"/>
      <c r="DU100" s="112" t="str">
        <f t="shared" si="444"/>
        <v>x</v>
      </c>
      <c r="DV100" s="112"/>
      <c r="DW100" s="112" t="str">
        <f t="shared" si="546"/>
        <v>x</v>
      </c>
      <c r="DX100" s="112" t="str">
        <f t="shared" si="445"/>
        <v>x</v>
      </c>
      <c r="DY100" s="112" t="str">
        <f t="shared" si="446"/>
        <v>x</v>
      </c>
      <c r="DZ100" s="112" t="str">
        <f t="shared" si="447"/>
        <v>x</v>
      </c>
      <c r="EA100" s="112" t="str">
        <f t="shared" si="448"/>
        <v>x</v>
      </c>
      <c r="EB100" s="112" t="str">
        <f t="shared" si="449"/>
        <v>x</v>
      </c>
      <c r="EC100" s="111"/>
      <c r="ED100" s="111"/>
      <c r="EE100" s="111"/>
      <c r="EF100" s="111"/>
      <c r="EG100" s="111"/>
      <c r="EH100" s="111"/>
      <c r="EI100" s="112"/>
      <c r="EJ100" s="112" t="str">
        <f t="shared" si="450"/>
        <v>x</v>
      </c>
      <c r="EK100" s="112" t="str">
        <f t="shared" si="451"/>
        <v>x</v>
      </c>
      <c r="EL100" s="112" t="str">
        <f t="shared" si="452"/>
        <v>x</v>
      </c>
      <c r="EM100" s="112" t="str">
        <f t="shared" si="453"/>
        <v>x</v>
      </c>
      <c r="EN100" s="112" t="str">
        <f t="shared" si="454"/>
        <v>x</v>
      </c>
      <c r="EO100" s="117" t="str">
        <f t="shared" si="455"/>
        <v>x</v>
      </c>
      <c r="EP100" s="117" t="str">
        <f t="shared" si="456"/>
        <v>x</v>
      </c>
      <c r="EQ100" s="112" t="str">
        <f t="shared" si="457"/>
        <v>x</v>
      </c>
      <c r="ER100" s="111"/>
      <c r="ES100" s="111"/>
      <c r="ET100" s="112" t="str">
        <f t="shared" si="458"/>
        <v>x</v>
      </c>
      <c r="EU100" s="112" t="str">
        <f t="shared" si="459"/>
        <v>x</v>
      </c>
      <c r="EV100" s="112" t="str">
        <f t="shared" si="460"/>
        <v>x</v>
      </c>
      <c r="EW100" s="112" t="str">
        <f t="shared" si="461"/>
        <v>x</v>
      </c>
      <c r="EX100" s="112" t="str">
        <f t="shared" si="462"/>
        <v>x</v>
      </c>
      <c r="EY100" s="112" t="str">
        <f t="shared" si="463"/>
        <v>x</v>
      </c>
      <c r="EZ100" s="112"/>
      <c r="FA100" s="112" t="str">
        <f t="shared" si="464"/>
        <v>x</v>
      </c>
      <c r="FB100" s="112" t="str">
        <f t="shared" si="465"/>
        <v>x</v>
      </c>
      <c r="FC100" s="112" t="str">
        <f t="shared" si="466"/>
        <v>x</v>
      </c>
      <c r="FD100" s="112" t="str">
        <f t="shared" si="467"/>
        <v>x</v>
      </c>
      <c r="FE100" s="112" t="str">
        <f t="shared" si="468"/>
        <v>x</v>
      </c>
      <c r="FF100" s="112" t="str">
        <f t="shared" si="469"/>
        <v>x</v>
      </c>
      <c r="FG100" s="111"/>
      <c r="FH100" s="111"/>
      <c r="FI100" s="112" t="str">
        <f t="shared" si="470"/>
        <v>x</v>
      </c>
      <c r="FJ100" s="112" t="str">
        <f t="shared" si="471"/>
        <v>x</v>
      </c>
      <c r="FK100" s="112" t="str">
        <f t="shared" si="472"/>
        <v>x</v>
      </c>
      <c r="FL100" s="112"/>
      <c r="FM100" s="112" t="str">
        <f t="shared" si="473"/>
        <v>x</v>
      </c>
      <c r="FN100" s="112" t="str">
        <f t="shared" si="547"/>
        <v>x</v>
      </c>
      <c r="FO100" s="112" t="str">
        <f t="shared" si="474"/>
        <v>x</v>
      </c>
      <c r="FP100" s="112" t="str">
        <f t="shared" si="475"/>
        <v>x</v>
      </c>
      <c r="FQ100" s="112" t="str">
        <f t="shared" si="476"/>
        <v>x</v>
      </c>
      <c r="FR100" s="112" t="str">
        <f t="shared" si="477"/>
        <v>x</v>
      </c>
      <c r="FS100" s="112" t="str">
        <f t="shared" si="478"/>
        <v>x</v>
      </c>
      <c r="FT100" s="112" t="str">
        <f t="shared" si="479"/>
        <v>x</v>
      </c>
      <c r="FU100" s="112" t="str">
        <f t="shared" si="480"/>
        <v>x</v>
      </c>
      <c r="FV100" s="112" t="str">
        <f t="shared" si="481"/>
        <v>x</v>
      </c>
      <c r="FW100" s="111"/>
      <c r="FX100" s="112"/>
      <c r="FY100" s="112"/>
      <c r="FZ100" s="111"/>
      <c r="GA100" s="111"/>
      <c r="GB100" s="111"/>
      <c r="GC100" s="112" t="str">
        <f t="shared" si="482"/>
        <v>x</v>
      </c>
      <c r="GD100" s="111"/>
      <c r="GE100" s="111"/>
      <c r="GF100" s="111"/>
      <c r="GG100" s="112"/>
      <c r="GH100" s="111"/>
      <c r="GI100" s="111"/>
      <c r="GJ100" s="112" t="str">
        <f t="shared" si="483"/>
        <v>x</v>
      </c>
      <c r="GK100" s="111"/>
      <c r="GL100" s="112" t="str">
        <f t="shared" si="484"/>
        <v>x</v>
      </c>
      <c r="GM100" s="111"/>
      <c r="GN100" s="112" t="str">
        <f t="shared" si="485"/>
        <v>x</v>
      </c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2" t="str">
        <f t="shared" si="48"/>
        <v>x</v>
      </c>
      <c r="HC100" s="112" t="str">
        <f t="shared" si="486"/>
        <v>x</v>
      </c>
      <c r="HD100" s="112" t="str">
        <f t="shared" si="487"/>
        <v>x</v>
      </c>
      <c r="HE100" s="112" t="str">
        <f t="shared" si="488"/>
        <v>x</v>
      </c>
      <c r="HF100" s="112" t="str">
        <f t="shared" si="489"/>
        <v>x</v>
      </c>
      <c r="HG100" s="112"/>
      <c r="HH100" s="112" t="str">
        <f t="shared" si="548"/>
        <v>x</v>
      </c>
      <c r="HI100" s="112"/>
      <c r="HJ100" s="112" t="str">
        <f t="shared" si="490"/>
        <v>x</v>
      </c>
      <c r="HK100" s="111"/>
      <c r="HL100" s="112" t="str">
        <f t="shared" si="491"/>
        <v>x</v>
      </c>
      <c r="HM100" s="112" t="str">
        <f t="shared" si="492"/>
        <v>x</v>
      </c>
      <c r="HN100" s="112" t="str">
        <f t="shared" si="493"/>
        <v>x</v>
      </c>
      <c r="HO100" s="112" t="str">
        <f t="shared" si="494"/>
        <v>x</v>
      </c>
      <c r="HP100" s="112" t="str">
        <f t="shared" si="495"/>
        <v>x</v>
      </c>
      <c r="HQ100" s="112" t="str">
        <f t="shared" si="496"/>
        <v>x</v>
      </c>
      <c r="HR100" s="112" t="str">
        <f t="shared" si="497"/>
        <v>x</v>
      </c>
      <c r="HS100" s="112" t="str">
        <f t="shared" si="498"/>
        <v>x</v>
      </c>
      <c r="HT100" s="112"/>
      <c r="HU100" s="112" t="str">
        <f t="shared" si="499"/>
        <v>x</v>
      </c>
      <c r="HV100" s="112"/>
      <c r="HW100" s="112" t="str">
        <f t="shared" si="549"/>
        <v>x</v>
      </c>
      <c r="HX100" s="112" t="str">
        <f t="shared" si="500"/>
        <v>x</v>
      </c>
      <c r="HY100" s="112" t="str">
        <f t="shared" si="501"/>
        <v>x</v>
      </c>
      <c r="HZ100" s="112" t="str">
        <f t="shared" si="502"/>
        <v>x</v>
      </c>
      <c r="IA100" s="112"/>
      <c r="IB100" s="112"/>
      <c r="IC100" s="112" t="str">
        <f t="shared" si="550"/>
        <v>x</v>
      </c>
      <c r="ID100" s="112" t="str">
        <f t="shared" si="503"/>
        <v>x</v>
      </c>
      <c r="IE100" s="112"/>
      <c r="IF100" s="112"/>
      <c r="IG100" s="111"/>
      <c r="IH100" s="112" t="str">
        <f t="shared" si="504"/>
        <v>x</v>
      </c>
      <c r="II100" s="112" t="str">
        <f t="shared" si="505"/>
        <v>x</v>
      </c>
      <c r="IJ100" s="112" t="str">
        <f t="shared" si="506"/>
        <v>x</v>
      </c>
      <c r="IK100" s="115" t="str">
        <f t="shared" si="507"/>
        <v>x</v>
      </c>
      <c r="IL100" s="112" t="str">
        <f t="shared" si="508"/>
        <v>x</v>
      </c>
      <c r="IM100" s="112" t="str">
        <f t="shared" si="509"/>
        <v>x</v>
      </c>
      <c r="IN100" s="112"/>
      <c r="IO100" s="112"/>
      <c r="IP100" s="112" t="str">
        <f t="shared" si="510"/>
        <v>x</v>
      </c>
      <c r="IQ100" s="112" t="str">
        <f t="shared" si="511"/>
        <v>x</v>
      </c>
      <c r="IR100" s="111"/>
      <c r="IS100" s="112" t="str">
        <f t="shared" si="512"/>
        <v>x</v>
      </c>
      <c r="IT100" s="111"/>
      <c r="IU100" s="112" t="str">
        <f t="shared" si="513"/>
        <v>x</v>
      </c>
      <c r="IV100" s="112"/>
      <c r="IW100" s="112" t="str">
        <f t="shared" si="514"/>
        <v>x</v>
      </c>
      <c r="IX100" s="112" t="str">
        <f t="shared" si="515"/>
        <v>x</v>
      </c>
      <c r="IY100" s="111"/>
      <c r="IZ100" s="112" t="str">
        <f t="shared" si="516"/>
        <v>x</v>
      </c>
      <c r="JA100" s="111"/>
      <c r="JB100" s="112" t="str">
        <f t="shared" si="517"/>
        <v>x</v>
      </c>
      <c r="JC100" s="111"/>
      <c r="JD100" s="112"/>
      <c r="JE100" s="112"/>
      <c r="JF100" s="112" t="str">
        <f t="shared" si="518"/>
        <v>x</v>
      </c>
      <c r="JG100" s="112" t="str">
        <f t="shared" si="519"/>
        <v>x</v>
      </c>
      <c r="JH100" s="112" t="str">
        <f t="shared" si="520"/>
        <v>x</v>
      </c>
      <c r="JI100" s="112"/>
      <c r="JJ100" s="112" t="str">
        <f t="shared" si="521"/>
        <v>x</v>
      </c>
      <c r="JK100" s="112" t="str">
        <f t="shared" si="551"/>
        <v>x</v>
      </c>
      <c r="JL100" s="112" t="str">
        <f t="shared" si="522"/>
        <v>x</v>
      </c>
      <c r="JM100" s="112"/>
      <c r="JN100" s="112"/>
      <c r="JO100" s="112"/>
      <c r="JP100" s="112"/>
      <c r="JQ100" s="112" t="str">
        <f t="shared" si="523"/>
        <v>x</v>
      </c>
      <c r="JR100" s="112"/>
      <c r="JS100" s="112" t="str">
        <f t="shared" si="524"/>
        <v>x</v>
      </c>
      <c r="JT100" s="111"/>
      <c r="JU100" s="111"/>
      <c r="JV100" s="112"/>
      <c r="JW100" s="112" t="str">
        <f t="shared" si="525"/>
        <v>x</v>
      </c>
      <c r="JX100" s="112"/>
      <c r="JY100" s="112"/>
      <c r="JZ100" s="112"/>
      <c r="KA100" s="112" t="str">
        <f t="shared" si="526"/>
        <v>x</v>
      </c>
      <c r="KB100" s="112" t="str">
        <f t="shared" si="527"/>
        <v>x</v>
      </c>
      <c r="KC100" s="112" t="str">
        <f t="shared" si="528"/>
        <v>x</v>
      </c>
      <c r="KD100" s="112" t="str">
        <f t="shared" si="529"/>
        <v>x</v>
      </c>
      <c r="KE100" s="112" t="str">
        <f t="shared" si="530"/>
        <v>x</v>
      </c>
      <c r="KF100" s="112"/>
      <c r="KG100" s="112"/>
      <c r="KH100" s="112"/>
      <c r="KI100" s="112"/>
      <c r="KJ100" s="112"/>
      <c r="KK100" s="112"/>
      <c r="KL100" s="112"/>
      <c r="KM100" s="112"/>
      <c r="KN100" s="112"/>
      <c r="KO100" s="112"/>
      <c r="KP100" s="112"/>
      <c r="KQ100" s="112"/>
      <c r="KR100" s="112"/>
      <c r="KS100" s="112"/>
      <c r="KT100" s="112"/>
      <c r="KU100" s="112"/>
      <c r="KV100" s="112"/>
      <c r="KW100" s="112"/>
      <c r="KX100" s="112"/>
      <c r="KY100" s="112"/>
      <c r="KZ100" s="112"/>
      <c r="LA100" s="112"/>
      <c r="LB100" s="111"/>
      <c r="LC100" s="112"/>
      <c r="LD100" s="112"/>
      <c r="LE100" s="112"/>
      <c r="LF100" s="112"/>
      <c r="LG100" s="112"/>
      <c r="LH100" s="112"/>
      <c r="LI100" s="112"/>
      <c r="LJ100" s="112"/>
      <c r="LK100" s="112"/>
      <c r="LL100" s="112"/>
      <c r="LM100" s="112"/>
      <c r="LN100" s="112"/>
      <c r="LO100" s="112"/>
      <c r="LP100" s="112"/>
      <c r="LQ100" s="112"/>
      <c r="LR100" s="112"/>
      <c r="LS100" s="112"/>
      <c r="LT100" s="112"/>
      <c r="LU100" s="112"/>
      <c r="LV100" s="112"/>
      <c r="LW100" s="112"/>
      <c r="LX100" s="112"/>
      <c r="LY100" s="112"/>
      <c r="LZ100" s="112"/>
      <c r="MA100" s="112"/>
      <c r="MB100" s="111"/>
      <c r="MC100" s="112" t="str">
        <f t="shared" si="531"/>
        <v>x</v>
      </c>
      <c r="MD100" s="112"/>
      <c r="ME100" s="112" t="str">
        <f t="shared" si="532"/>
        <v>x</v>
      </c>
      <c r="MF100" s="112" t="str">
        <f t="shared" si="533"/>
        <v>x</v>
      </c>
      <c r="MG100" s="112" t="str">
        <f t="shared" si="552"/>
        <v>x</v>
      </c>
      <c r="MH100" s="112" t="str">
        <f t="shared" si="534"/>
        <v>x</v>
      </c>
    </row>
    <row r="101" spans="1:346" x14ac:dyDescent="0.25">
      <c r="A101" s="110" t="s">
        <v>4</v>
      </c>
      <c r="B101" s="101" t="s">
        <v>394</v>
      </c>
      <c r="C101" s="102"/>
      <c r="D101" s="102"/>
      <c r="E101" s="102"/>
      <c r="F101" s="102"/>
      <c r="G101" s="102"/>
      <c r="H101" s="102"/>
      <c r="I101" s="102"/>
      <c r="J101" s="103"/>
      <c r="K101" s="111"/>
      <c r="L101" s="111"/>
      <c r="M101" s="112" t="str">
        <f t="shared" si="390"/>
        <v>x</v>
      </c>
      <c r="N101" s="112" t="str">
        <f t="shared" si="391"/>
        <v>x</v>
      </c>
      <c r="O101" s="112" t="str">
        <f t="shared" si="535"/>
        <v>x</v>
      </c>
      <c r="P101" s="112" t="str">
        <f t="shared" si="392"/>
        <v>x</v>
      </c>
      <c r="Q101" s="112" t="str">
        <f t="shared" si="393"/>
        <v>x</v>
      </c>
      <c r="R101" s="112"/>
      <c r="S101" s="112" t="str">
        <f t="shared" si="394"/>
        <v>x</v>
      </c>
      <c r="T101" s="112" t="str">
        <f t="shared" si="395"/>
        <v>x</v>
      </c>
      <c r="U101" s="112"/>
      <c r="V101" s="112"/>
      <c r="W101" s="112" t="str">
        <f t="shared" si="396"/>
        <v>x</v>
      </c>
      <c r="X101" s="112" t="str">
        <f t="shared" si="397"/>
        <v>x</v>
      </c>
      <c r="Y101" s="112"/>
      <c r="Z101" s="112"/>
      <c r="AA101" s="112"/>
      <c r="AB101" s="112" t="str">
        <f t="shared" si="398"/>
        <v>x</v>
      </c>
      <c r="AC101" s="112" t="str">
        <f t="shared" si="399"/>
        <v>x</v>
      </c>
      <c r="AD101" s="112" t="str">
        <f t="shared" si="400"/>
        <v>x</v>
      </c>
      <c r="AE101" s="112" t="str">
        <f t="shared" si="536"/>
        <v>x</v>
      </c>
      <c r="AF101" s="112" t="str">
        <f t="shared" si="401"/>
        <v>x</v>
      </c>
      <c r="AG101" s="112" t="str">
        <f t="shared" si="402"/>
        <v>x</v>
      </c>
      <c r="AH101" s="112" t="str">
        <f t="shared" si="403"/>
        <v>x</v>
      </c>
      <c r="AI101" s="112" t="str">
        <f t="shared" si="404"/>
        <v>x</v>
      </c>
      <c r="AJ101" s="112" t="str">
        <f t="shared" si="405"/>
        <v>x</v>
      </c>
      <c r="AK101" s="112" t="str">
        <f t="shared" si="406"/>
        <v>x</v>
      </c>
      <c r="AL101" s="112"/>
      <c r="AM101" s="112" t="str">
        <f t="shared" si="537"/>
        <v>x</v>
      </c>
      <c r="AN101" s="112"/>
      <c r="AO101" s="112"/>
      <c r="AP101" s="112"/>
      <c r="AQ101" s="112"/>
      <c r="AR101" s="112"/>
      <c r="AS101" s="112"/>
      <c r="AT101" s="112" t="str">
        <f t="shared" si="407"/>
        <v>x</v>
      </c>
      <c r="AU101" s="113"/>
      <c r="AV101" s="114" t="str">
        <f t="shared" si="408"/>
        <v>x</v>
      </c>
      <c r="AW101" s="114" t="str">
        <f t="shared" si="409"/>
        <v>x</v>
      </c>
      <c r="AX101" s="112" t="str">
        <f t="shared" si="410"/>
        <v>x</v>
      </c>
      <c r="AY101" s="111"/>
      <c r="AZ101" s="112" t="str">
        <f t="shared" si="411"/>
        <v>x</v>
      </c>
      <c r="BA101" s="112" t="str">
        <f t="shared" si="412"/>
        <v>x</v>
      </c>
      <c r="BB101" s="111"/>
      <c r="BC101" s="111"/>
      <c r="BD101" s="112" t="str">
        <f t="shared" si="413"/>
        <v>x</v>
      </c>
      <c r="BE101" s="112"/>
      <c r="BF101" s="111"/>
      <c r="BG101" s="112" t="str">
        <f t="shared" si="414"/>
        <v>x</v>
      </c>
      <c r="BH101" s="112" t="str">
        <f t="shared" si="538"/>
        <v>x</v>
      </c>
      <c r="BI101" s="112" t="str">
        <f t="shared" si="415"/>
        <v>x</v>
      </c>
      <c r="BJ101" s="111"/>
      <c r="BK101" s="112" t="str">
        <f t="shared" si="416"/>
        <v>x</v>
      </c>
      <c r="BL101" s="112" t="str">
        <f t="shared" si="417"/>
        <v>x</v>
      </c>
      <c r="BM101" s="112" t="str">
        <f t="shared" si="418"/>
        <v>x</v>
      </c>
      <c r="BN101" s="112" t="str">
        <f t="shared" si="419"/>
        <v>x</v>
      </c>
      <c r="BO101" s="111"/>
      <c r="BP101" s="111"/>
      <c r="BQ101" s="111"/>
      <c r="BR101" s="112" t="str">
        <f t="shared" si="420"/>
        <v>x</v>
      </c>
      <c r="BS101" s="112"/>
      <c r="BT101" s="111"/>
      <c r="BU101" s="112" t="str">
        <f t="shared" si="421"/>
        <v>x</v>
      </c>
      <c r="BV101" s="112" t="str">
        <f t="shared" si="422"/>
        <v>x</v>
      </c>
      <c r="BW101" s="112"/>
      <c r="BX101" s="112"/>
      <c r="BY101" s="112"/>
      <c r="BZ101" s="112" t="str">
        <f t="shared" si="423"/>
        <v>x</v>
      </c>
      <c r="CA101" s="112" t="str">
        <f t="shared" si="424"/>
        <v>x</v>
      </c>
      <c r="CB101" s="112" t="str">
        <f t="shared" si="425"/>
        <v>x</v>
      </c>
      <c r="CC101" s="112"/>
      <c r="CD101" s="112"/>
      <c r="CE101" s="111"/>
      <c r="CF101" s="112" t="str">
        <f t="shared" si="426"/>
        <v>x</v>
      </c>
      <c r="CG101" s="112" t="str">
        <f t="shared" si="539"/>
        <v>x</v>
      </c>
      <c r="CH101" s="112" t="str">
        <f t="shared" si="427"/>
        <v>x</v>
      </c>
      <c r="CI101" s="112" t="str">
        <f t="shared" si="428"/>
        <v>x</v>
      </c>
      <c r="CJ101" s="112" t="str">
        <f t="shared" si="429"/>
        <v>x</v>
      </c>
      <c r="CK101" s="112" t="str">
        <f t="shared" si="430"/>
        <v>x</v>
      </c>
      <c r="CL101" s="112" t="str">
        <f t="shared" si="431"/>
        <v>x</v>
      </c>
      <c r="CM101" s="112"/>
      <c r="CN101" s="112"/>
      <c r="CO101" s="112" t="str">
        <f t="shared" si="540"/>
        <v>x</v>
      </c>
      <c r="CP101" s="112"/>
      <c r="CQ101" s="112" t="str">
        <f t="shared" si="541"/>
        <v>x</v>
      </c>
      <c r="CR101" s="112" t="str">
        <f t="shared" si="432"/>
        <v>x</v>
      </c>
      <c r="CS101" s="112"/>
      <c r="CT101" s="112" t="str">
        <f t="shared" si="542"/>
        <v>x</v>
      </c>
      <c r="CU101" s="112" t="str">
        <f t="shared" si="433"/>
        <v>x</v>
      </c>
      <c r="CV101" s="112" t="str">
        <f t="shared" si="434"/>
        <v>x</v>
      </c>
      <c r="CW101" s="112" t="str">
        <f t="shared" si="435"/>
        <v>x</v>
      </c>
      <c r="CX101" s="112" t="str">
        <f t="shared" si="436"/>
        <v>x</v>
      </c>
      <c r="CY101" s="112" t="str">
        <f t="shared" si="543"/>
        <v>x</v>
      </c>
      <c r="CZ101" s="112"/>
      <c r="DA101" s="112"/>
      <c r="DB101" s="115" t="str">
        <f t="shared" si="437"/>
        <v>x</v>
      </c>
      <c r="DC101" s="112"/>
      <c r="DD101" s="112"/>
      <c r="DE101" s="112" t="str">
        <f t="shared" si="438"/>
        <v>x</v>
      </c>
      <c r="DF101" s="115" t="str">
        <f t="shared" si="439"/>
        <v>x</v>
      </c>
      <c r="DG101" s="112" t="str">
        <f t="shared" si="440"/>
        <v>x</v>
      </c>
      <c r="DH101" s="112" t="str">
        <f t="shared" si="441"/>
        <v>x</v>
      </c>
      <c r="DI101" s="112"/>
      <c r="DJ101" s="112"/>
      <c r="DK101" s="112"/>
      <c r="DL101" s="112"/>
      <c r="DM101" s="112"/>
      <c r="DN101" s="112" t="str">
        <f t="shared" si="442"/>
        <v>x</v>
      </c>
      <c r="DO101" s="111"/>
      <c r="DP101" s="111"/>
      <c r="DQ101" s="112" t="str">
        <f t="shared" si="443"/>
        <v>x</v>
      </c>
      <c r="DR101" s="112" t="str">
        <f t="shared" si="544"/>
        <v>x</v>
      </c>
      <c r="DS101" s="112" t="str">
        <f t="shared" si="545"/>
        <v>x</v>
      </c>
      <c r="DT101" s="112"/>
      <c r="DU101" s="112" t="str">
        <f t="shared" si="444"/>
        <v>x</v>
      </c>
      <c r="DV101" s="112"/>
      <c r="DW101" s="112" t="str">
        <f t="shared" si="546"/>
        <v>x</v>
      </c>
      <c r="DX101" s="112" t="str">
        <f t="shared" si="445"/>
        <v>x</v>
      </c>
      <c r="DY101" s="112" t="str">
        <f t="shared" si="446"/>
        <v>x</v>
      </c>
      <c r="DZ101" s="112" t="str">
        <f t="shared" si="447"/>
        <v>x</v>
      </c>
      <c r="EA101" s="112" t="str">
        <f t="shared" si="448"/>
        <v>x</v>
      </c>
      <c r="EB101" s="112" t="str">
        <f t="shared" si="449"/>
        <v>x</v>
      </c>
      <c r="EC101" s="111"/>
      <c r="ED101" s="111"/>
      <c r="EE101" s="111"/>
      <c r="EF101" s="111"/>
      <c r="EG101" s="111"/>
      <c r="EH101" s="111"/>
      <c r="EI101" s="112"/>
      <c r="EJ101" s="112" t="str">
        <f t="shared" si="450"/>
        <v>x</v>
      </c>
      <c r="EK101" s="112" t="str">
        <f t="shared" si="451"/>
        <v>x</v>
      </c>
      <c r="EL101" s="112" t="str">
        <f t="shared" si="452"/>
        <v>x</v>
      </c>
      <c r="EM101" s="112" t="str">
        <f t="shared" si="453"/>
        <v>x</v>
      </c>
      <c r="EN101" s="112" t="str">
        <f t="shared" si="454"/>
        <v>x</v>
      </c>
      <c r="EO101" s="117" t="str">
        <f t="shared" si="455"/>
        <v>x</v>
      </c>
      <c r="EP101" s="117" t="str">
        <f t="shared" si="456"/>
        <v>x</v>
      </c>
      <c r="EQ101" s="112" t="str">
        <f t="shared" si="457"/>
        <v>x</v>
      </c>
      <c r="ER101" s="111"/>
      <c r="ES101" s="111"/>
      <c r="ET101" s="112" t="str">
        <f t="shared" si="458"/>
        <v>x</v>
      </c>
      <c r="EU101" s="112" t="str">
        <f t="shared" si="459"/>
        <v>x</v>
      </c>
      <c r="EV101" s="112" t="str">
        <f t="shared" si="460"/>
        <v>x</v>
      </c>
      <c r="EW101" s="112" t="str">
        <f t="shared" si="461"/>
        <v>x</v>
      </c>
      <c r="EX101" s="112" t="str">
        <f t="shared" si="462"/>
        <v>x</v>
      </c>
      <c r="EY101" s="112" t="str">
        <f t="shared" si="463"/>
        <v>x</v>
      </c>
      <c r="EZ101" s="112"/>
      <c r="FA101" s="112" t="str">
        <f t="shared" si="464"/>
        <v>x</v>
      </c>
      <c r="FB101" s="112" t="str">
        <f t="shared" si="465"/>
        <v>x</v>
      </c>
      <c r="FC101" s="112" t="str">
        <f t="shared" si="466"/>
        <v>x</v>
      </c>
      <c r="FD101" s="112" t="str">
        <f t="shared" si="467"/>
        <v>x</v>
      </c>
      <c r="FE101" s="112" t="str">
        <f t="shared" si="468"/>
        <v>x</v>
      </c>
      <c r="FF101" s="112" t="str">
        <f t="shared" si="469"/>
        <v>x</v>
      </c>
      <c r="FG101" s="111"/>
      <c r="FH101" s="111"/>
      <c r="FI101" s="112" t="str">
        <f t="shared" si="470"/>
        <v>x</v>
      </c>
      <c r="FJ101" s="112" t="str">
        <f t="shared" si="471"/>
        <v>x</v>
      </c>
      <c r="FK101" s="112" t="str">
        <f t="shared" si="472"/>
        <v>x</v>
      </c>
      <c r="FL101" s="112"/>
      <c r="FM101" s="112" t="str">
        <f t="shared" si="473"/>
        <v>x</v>
      </c>
      <c r="FN101" s="112" t="str">
        <f t="shared" si="547"/>
        <v>x</v>
      </c>
      <c r="FO101" s="112" t="str">
        <f t="shared" si="474"/>
        <v>x</v>
      </c>
      <c r="FP101" s="112" t="str">
        <f t="shared" si="475"/>
        <v>x</v>
      </c>
      <c r="FQ101" s="112" t="str">
        <f t="shared" si="476"/>
        <v>x</v>
      </c>
      <c r="FR101" s="112" t="str">
        <f t="shared" si="477"/>
        <v>x</v>
      </c>
      <c r="FS101" s="112" t="str">
        <f t="shared" si="478"/>
        <v>x</v>
      </c>
      <c r="FT101" s="112" t="str">
        <f t="shared" si="479"/>
        <v>x</v>
      </c>
      <c r="FU101" s="112" t="str">
        <f t="shared" si="480"/>
        <v>x</v>
      </c>
      <c r="FV101" s="112" t="str">
        <f t="shared" si="481"/>
        <v>x</v>
      </c>
      <c r="FW101" s="111"/>
      <c r="FX101" s="112"/>
      <c r="FY101" s="112"/>
      <c r="FZ101" s="111"/>
      <c r="GA101" s="111"/>
      <c r="GB101" s="111"/>
      <c r="GC101" s="112" t="str">
        <f t="shared" si="482"/>
        <v>x</v>
      </c>
      <c r="GD101" s="111"/>
      <c r="GE101" s="111"/>
      <c r="GF101" s="111"/>
      <c r="GG101" s="112"/>
      <c r="GH101" s="111"/>
      <c r="GI101" s="111"/>
      <c r="GJ101" s="112" t="str">
        <f t="shared" si="483"/>
        <v>x</v>
      </c>
      <c r="GK101" s="111"/>
      <c r="GL101" s="112" t="str">
        <f t="shared" si="484"/>
        <v>x</v>
      </c>
      <c r="GM101" s="111"/>
      <c r="GN101" s="112" t="str">
        <f t="shared" si="485"/>
        <v>x</v>
      </c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2" t="str">
        <f t="shared" si="48"/>
        <v>x</v>
      </c>
      <c r="HC101" s="112" t="str">
        <f t="shared" si="486"/>
        <v>x</v>
      </c>
      <c r="HD101" s="112" t="str">
        <f t="shared" si="487"/>
        <v>x</v>
      </c>
      <c r="HE101" s="112" t="str">
        <f t="shared" si="488"/>
        <v>x</v>
      </c>
      <c r="HF101" s="112" t="str">
        <f t="shared" si="489"/>
        <v>x</v>
      </c>
      <c r="HG101" s="112"/>
      <c r="HH101" s="112" t="str">
        <f t="shared" si="548"/>
        <v>x</v>
      </c>
      <c r="HI101" s="112"/>
      <c r="HJ101" s="112" t="str">
        <f t="shared" si="490"/>
        <v>x</v>
      </c>
      <c r="HK101" s="111"/>
      <c r="HL101" s="112" t="str">
        <f t="shared" si="491"/>
        <v>x</v>
      </c>
      <c r="HM101" s="112" t="str">
        <f t="shared" si="492"/>
        <v>x</v>
      </c>
      <c r="HN101" s="112" t="str">
        <f t="shared" si="493"/>
        <v>x</v>
      </c>
      <c r="HO101" s="112" t="str">
        <f t="shared" si="494"/>
        <v>x</v>
      </c>
      <c r="HP101" s="112" t="str">
        <f t="shared" si="495"/>
        <v>x</v>
      </c>
      <c r="HQ101" s="112" t="str">
        <f t="shared" si="496"/>
        <v>x</v>
      </c>
      <c r="HR101" s="112" t="str">
        <f t="shared" si="497"/>
        <v>x</v>
      </c>
      <c r="HS101" s="112" t="str">
        <f t="shared" si="498"/>
        <v>x</v>
      </c>
      <c r="HT101" s="112"/>
      <c r="HU101" s="112" t="str">
        <f t="shared" si="499"/>
        <v>x</v>
      </c>
      <c r="HV101" s="112"/>
      <c r="HW101" s="112" t="str">
        <f t="shared" si="549"/>
        <v>x</v>
      </c>
      <c r="HX101" s="112" t="str">
        <f t="shared" si="500"/>
        <v>x</v>
      </c>
      <c r="HY101" s="112" t="str">
        <f t="shared" si="501"/>
        <v>x</v>
      </c>
      <c r="HZ101" s="112" t="str">
        <f t="shared" si="502"/>
        <v>x</v>
      </c>
      <c r="IA101" s="112"/>
      <c r="IB101" s="112"/>
      <c r="IC101" s="112" t="str">
        <f t="shared" si="550"/>
        <v>x</v>
      </c>
      <c r="ID101" s="112" t="str">
        <f t="shared" si="503"/>
        <v>x</v>
      </c>
      <c r="IE101" s="112"/>
      <c r="IF101" s="112"/>
      <c r="IG101" s="111"/>
      <c r="IH101" s="112" t="str">
        <f t="shared" si="504"/>
        <v>x</v>
      </c>
      <c r="II101" s="112" t="str">
        <f t="shared" si="505"/>
        <v>x</v>
      </c>
      <c r="IJ101" s="112" t="str">
        <f t="shared" si="506"/>
        <v>x</v>
      </c>
      <c r="IK101" s="115" t="str">
        <f t="shared" si="507"/>
        <v>x</v>
      </c>
      <c r="IL101" s="112" t="str">
        <f t="shared" si="508"/>
        <v>x</v>
      </c>
      <c r="IM101" s="112" t="str">
        <f t="shared" si="509"/>
        <v>x</v>
      </c>
      <c r="IN101" s="112"/>
      <c r="IO101" s="112"/>
      <c r="IP101" s="112" t="str">
        <f t="shared" si="510"/>
        <v>x</v>
      </c>
      <c r="IQ101" s="112" t="str">
        <f t="shared" si="511"/>
        <v>x</v>
      </c>
      <c r="IR101" s="111"/>
      <c r="IS101" s="112" t="str">
        <f t="shared" si="512"/>
        <v>x</v>
      </c>
      <c r="IT101" s="111"/>
      <c r="IU101" s="112" t="str">
        <f t="shared" si="513"/>
        <v>x</v>
      </c>
      <c r="IV101" s="112"/>
      <c r="IW101" s="112" t="str">
        <f t="shared" si="514"/>
        <v>x</v>
      </c>
      <c r="IX101" s="112" t="str">
        <f t="shared" si="515"/>
        <v>x</v>
      </c>
      <c r="IY101" s="111"/>
      <c r="IZ101" s="112" t="str">
        <f t="shared" si="516"/>
        <v>x</v>
      </c>
      <c r="JA101" s="111"/>
      <c r="JB101" s="112" t="str">
        <f t="shared" si="517"/>
        <v>x</v>
      </c>
      <c r="JC101" s="111"/>
      <c r="JD101" s="112"/>
      <c r="JE101" s="112"/>
      <c r="JF101" s="112" t="str">
        <f t="shared" si="518"/>
        <v>x</v>
      </c>
      <c r="JG101" s="112" t="str">
        <f t="shared" si="519"/>
        <v>x</v>
      </c>
      <c r="JH101" s="112" t="str">
        <f t="shared" si="520"/>
        <v>x</v>
      </c>
      <c r="JI101" s="112"/>
      <c r="JJ101" s="112" t="str">
        <f t="shared" si="521"/>
        <v>x</v>
      </c>
      <c r="JK101" s="112" t="str">
        <f t="shared" si="551"/>
        <v>x</v>
      </c>
      <c r="JL101" s="112" t="str">
        <f t="shared" si="522"/>
        <v>x</v>
      </c>
      <c r="JM101" s="112"/>
      <c r="JN101" s="112"/>
      <c r="JO101" s="112"/>
      <c r="JP101" s="112"/>
      <c r="JQ101" s="112" t="str">
        <f t="shared" si="523"/>
        <v>x</v>
      </c>
      <c r="JR101" s="112"/>
      <c r="JS101" s="112" t="str">
        <f t="shared" si="524"/>
        <v>x</v>
      </c>
      <c r="JT101" s="111"/>
      <c r="JU101" s="111"/>
      <c r="JV101" s="112"/>
      <c r="JW101" s="112" t="str">
        <f t="shared" si="525"/>
        <v>x</v>
      </c>
      <c r="JX101" s="112"/>
      <c r="JY101" s="112"/>
      <c r="JZ101" s="112"/>
      <c r="KA101" s="112" t="str">
        <f t="shared" si="526"/>
        <v>x</v>
      </c>
      <c r="KB101" s="112" t="str">
        <f t="shared" si="527"/>
        <v>x</v>
      </c>
      <c r="KC101" s="112" t="str">
        <f t="shared" si="528"/>
        <v>x</v>
      </c>
      <c r="KD101" s="112" t="str">
        <f t="shared" si="529"/>
        <v>x</v>
      </c>
      <c r="KE101" s="112" t="str">
        <f t="shared" si="530"/>
        <v>x</v>
      </c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1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1"/>
      <c r="MC101" s="112" t="str">
        <f t="shared" si="531"/>
        <v>x</v>
      </c>
      <c r="MD101" s="112"/>
      <c r="ME101" s="112" t="str">
        <f t="shared" si="532"/>
        <v>x</v>
      </c>
      <c r="MF101" s="112" t="str">
        <f t="shared" si="533"/>
        <v>x</v>
      </c>
      <c r="MG101" s="112" t="str">
        <f t="shared" si="552"/>
        <v>x</v>
      </c>
      <c r="MH101" s="112" t="str">
        <f t="shared" si="534"/>
        <v>x</v>
      </c>
    </row>
    <row r="102" spans="1:346" x14ac:dyDescent="0.25">
      <c r="A102" s="110" t="s">
        <v>4</v>
      </c>
      <c r="B102" s="101" t="s">
        <v>67</v>
      </c>
      <c r="C102" s="102"/>
      <c r="D102" s="102"/>
      <c r="E102" s="102"/>
      <c r="F102" s="102"/>
      <c r="G102" s="102"/>
      <c r="H102" s="102"/>
      <c r="I102" s="102"/>
      <c r="J102" s="103"/>
      <c r="K102" s="111"/>
      <c r="L102" s="111"/>
      <c r="M102" s="112" t="str">
        <f t="shared" si="390"/>
        <v>x</v>
      </c>
      <c r="N102" s="112" t="str">
        <f t="shared" si="391"/>
        <v>x</v>
      </c>
      <c r="O102" s="112" t="str">
        <f t="shared" si="535"/>
        <v>x</v>
      </c>
      <c r="P102" s="112" t="str">
        <f t="shared" si="392"/>
        <v>x</v>
      </c>
      <c r="Q102" s="112" t="str">
        <f t="shared" si="393"/>
        <v>x</v>
      </c>
      <c r="R102" s="112"/>
      <c r="S102" s="112" t="str">
        <f t="shared" si="394"/>
        <v>x</v>
      </c>
      <c r="T102" s="112" t="str">
        <f t="shared" si="395"/>
        <v>x</v>
      </c>
      <c r="U102" s="112"/>
      <c r="V102" s="112"/>
      <c r="W102" s="112" t="str">
        <f t="shared" si="396"/>
        <v>x</v>
      </c>
      <c r="X102" s="112" t="str">
        <f t="shared" si="397"/>
        <v>x</v>
      </c>
      <c r="Y102" s="112"/>
      <c r="Z102" s="112"/>
      <c r="AA102" s="112"/>
      <c r="AB102" s="112" t="str">
        <f t="shared" si="398"/>
        <v>x</v>
      </c>
      <c r="AC102" s="112" t="str">
        <f t="shared" si="399"/>
        <v>x</v>
      </c>
      <c r="AD102" s="112" t="str">
        <f t="shared" si="400"/>
        <v>x</v>
      </c>
      <c r="AE102" s="112" t="str">
        <f t="shared" si="536"/>
        <v>x</v>
      </c>
      <c r="AF102" s="112" t="str">
        <f t="shared" si="401"/>
        <v>x</v>
      </c>
      <c r="AG102" s="112" t="str">
        <f t="shared" si="402"/>
        <v>x</v>
      </c>
      <c r="AH102" s="112" t="str">
        <f t="shared" si="403"/>
        <v>x</v>
      </c>
      <c r="AI102" s="112" t="str">
        <f t="shared" si="404"/>
        <v>x</v>
      </c>
      <c r="AJ102" s="112" t="str">
        <f t="shared" si="405"/>
        <v>x</v>
      </c>
      <c r="AK102" s="112" t="str">
        <f t="shared" si="406"/>
        <v>x</v>
      </c>
      <c r="AL102" s="112"/>
      <c r="AM102" s="112" t="str">
        <f t="shared" si="537"/>
        <v>x</v>
      </c>
      <c r="AN102" s="112"/>
      <c r="AO102" s="112"/>
      <c r="AP102" s="112"/>
      <c r="AQ102" s="112"/>
      <c r="AR102" s="112"/>
      <c r="AS102" s="112"/>
      <c r="AT102" s="112" t="str">
        <f t="shared" si="407"/>
        <v>x</v>
      </c>
      <c r="AU102" s="113"/>
      <c r="AV102" s="114" t="str">
        <f t="shared" si="408"/>
        <v>x</v>
      </c>
      <c r="AW102" s="114" t="str">
        <f t="shared" si="409"/>
        <v>x</v>
      </c>
      <c r="AX102" s="112" t="str">
        <f t="shared" si="410"/>
        <v>x</v>
      </c>
      <c r="AY102" s="111"/>
      <c r="AZ102" s="112" t="str">
        <f t="shared" si="411"/>
        <v>x</v>
      </c>
      <c r="BA102" s="112" t="str">
        <f t="shared" si="412"/>
        <v>x</v>
      </c>
      <c r="BB102" s="111"/>
      <c r="BC102" s="111"/>
      <c r="BD102" s="112" t="str">
        <f t="shared" si="413"/>
        <v>x</v>
      </c>
      <c r="BE102" s="112"/>
      <c r="BF102" s="111"/>
      <c r="BG102" s="112" t="str">
        <f t="shared" si="414"/>
        <v>x</v>
      </c>
      <c r="BH102" s="112" t="str">
        <f t="shared" si="538"/>
        <v>x</v>
      </c>
      <c r="BI102" s="112" t="str">
        <f t="shared" si="415"/>
        <v>x</v>
      </c>
      <c r="BJ102" s="111"/>
      <c r="BK102" s="112" t="str">
        <f t="shared" si="416"/>
        <v>x</v>
      </c>
      <c r="BL102" s="112" t="str">
        <f t="shared" si="417"/>
        <v>x</v>
      </c>
      <c r="BM102" s="112" t="str">
        <f t="shared" si="418"/>
        <v>x</v>
      </c>
      <c r="BN102" s="112" t="str">
        <f t="shared" si="419"/>
        <v>x</v>
      </c>
      <c r="BO102" s="111"/>
      <c r="BP102" s="111"/>
      <c r="BQ102" s="111"/>
      <c r="BR102" s="112" t="str">
        <f t="shared" si="420"/>
        <v>x</v>
      </c>
      <c r="BS102" s="112"/>
      <c r="BT102" s="111"/>
      <c r="BU102" s="112" t="str">
        <f t="shared" si="421"/>
        <v>x</v>
      </c>
      <c r="BV102" s="112" t="str">
        <f t="shared" si="422"/>
        <v>x</v>
      </c>
      <c r="BW102" s="112"/>
      <c r="BX102" s="112"/>
      <c r="BY102" s="112"/>
      <c r="BZ102" s="112" t="str">
        <f t="shared" si="423"/>
        <v>x</v>
      </c>
      <c r="CA102" s="112" t="str">
        <f t="shared" si="424"/>
        <v>x</v>
      </c>
      <c r="CB102" s="112" t="str">
        <f t="shared" si="425"/>
        <v>x</v>
      </c>
      <c r="CC102" s="112"/>
      <c r="CD102" s="112"/>
      <c r="CE102" s="111"/>
      <c r="CF102" s="112" t="str">
        <f t="shared" si="426"/>
        <v>x</v>
      </c>
      <c r="CG102" s="112" t="str">
        <f t="shared" si="539"/>
        <v>x</v>
      </c>
      <c r="CH102" s="112" t="str">
        <f t="shared" si="427"/>
        <v>x</v>
      </c>
      <c r="CI102" s="112" t="str">
        <f t="shared" si="428"/>
        <v>x</v>
      </c>
      <c r="CJ102" s="112" t="str">
        <f t="shared" si="429"/>
        <v>x</v>
      </c>
      <c r="CK102" s="112" t="str">
        <f t="shared" si="430"/>
        <v>x</v>
      </c>
      <c r="CL102" s="112" t="str">
        <f t="shared" si="431"/>
        <v>x</v>
      </c>
      <c r="CM102" s="112"/>
      <c r="CN102" s="112"/>
      <c r="CO102" s="112" t="str">
        <f t="shared" si="540"/>
        <v>x</v>
      </c>
      <c r="CP102" s="112"/>
      <c r="CQ102" s="112" t="str">
        <f t="shared" si="541"/>
        <v>x</v>
      </c>
      <c r="CR102" s="112" t="str">
        <f t="shared" si="432"/>
        <v>x</v>
      </c>
      <c r="CS102" s="112"/>
      <c r="CT102" s="112" t="str">
        <f t="shared" si="542"/>
        <v>x</v>
      </c>
      <c r="CU102" s="112" t="str">
        <f t="shared" si="433"/>
        <v>x</v>
      </c>
      <c r="CV102" s="112" t="str">
        <f t="shared" si="434"/>
        <v>x</v>
      </c>
      <c r="CW102" s="112" t="str">
        <f t="shared" si="435"/>
        <v>x</v>
      </c>
      <c r="CX102" s="112" t="str">
        <f t="shared" si="436"/>
        <v>x</v>
      </c>
      <c r="CY102" s="112" t="str">
        <f t="shared" si="543"/>
        <v>x</v>
      </c>
      <c r="CZ102" s="112"/>
      <c r="DA102" s="112"/>
      <c r="DB102" s="115" t="str">
        <f t="shared" si="437"/>
        <v>x</v>
      </c>
      <c r="DC102" s="112"/>
      <c r="DD102" s="112"/>
      <c r="DE102" s="112" t="str">
        <f t="shared" si="438"/>
        <v>x</v>
      </c>
      <c r="DF102" s="115" t="str">
        <f t="shared" si="439"/>
        <v>x</v>
      </c>
      <c r="DG102" s="112" t="str">
        <f t="shared" si="440"/>
        <v>x</v>
      </c>
      <c r="DH102" s="112" t="str">
        <f t="shared" si="441"/>
        <v>x</v>
      </c>
      <c r="DI102" s="112"/>
      <c r="DJ102" s="112"/>
      <c r="DK102" s="112"/>
      <c r="DL102" s="112"/>
      <c r="DM102" s="112"/>
      <c r="DN102" s="112" t="str">
        <f t="shared" si="442"/>
        <v>x</v>
      </c>
      <c r="DO102" s="111"/>
      <c r="DP102" s="111"/>
      <c r="DQ102" s="112" t="str">
        <f t="shared" si="443"/>
        <v>x</v>
      </c>
      <c r="DR102" s="112" t="str">
        <f t="shared" si="544"/>
        <v>x</v>
      </c>
      <c r="DS102" s="112" t="str">
        <f t="shared" si="545"/>
        <v>x</v>
      </c>
      <c r="DT102" s="112"/>
      <c r="DU102" s="112" t="str">
        <f t="shared" si="444"/>
        <v>x</v>
      </c>
      <c r="DV102" s="112"/>
      <c r="DW102" s="112" t="str">
        <f t="shared" si="546"/>
        <v>x</v>
      </c>
      <c r="DX102" s="112" t="str">
        <f t="shared" si="445"/>
        <v>x</v>
      </c>
      <c r="DY102" s="112" t="str">
        <f t="shared" si="446"/>
        <v>x</v>
      </c>
      <c r="DZ102" s="112" t="str">
        <f t="shared" si="447"/>
        <v>x</v>
      </c>
      <c r="EA102" s="112" t="str">
        <f t="shared" si="448"/>
        <v>x</v>
      </c>
      <c r="EB102" s="112" t="str">
        <f t="shared" si="449"/>
        <v>x</v>
      </c>
      <c r="EC102" s="111"/>
      <c r="ED102" s="111"/>
      <c r="EE102" s="111"/>
      <c r="EF102" s="111"/>
      <c r="EG102" s="111"/>
      <c r="EH102" s="111"/>
      <c r="EI102" s="112"/>
      <c r="EJ102" s="112" t="str">
        <f t="shared" si="450"/>
        <v>x</v>
      </c>
      <c r="EK102" s="112" t="str">
        <f t="shared" si="451"/>
        <v>x</v>
      </c>
      <c r="EL102" s="112" t="str">
        <f t="shared" si="452"/>
        <v>x</v>
      </c>
      <c r="EM102" s="112" t="str">
        <f t="shared" si="453"/>
        <v>x</v>
      </c>
      <c r="EN102" s="112" t="str">
        <f t="shared" si="454"/>
        <v>x</v>
      </c>
      <c r="EO102" s="117" t="str">
        <f t="shared" si="455"/>
        <v>x</v>
      </c>
      <c r="EP102" s="117" t="str">
        <f t="shared" si="456"/>
        <v>x</v>
      </c>
      <c r="EQ102" s="112" t="str">
        <f t="shared" si="457"/>
        <v>x</v>
      </c>
      <c r="ER102" s="111"/>
      <c r="ES102" s="111"/>
      <c r="ET102" s="112" t="str">
        <f t="shared" si="458"/>
        <v>x</v>
      </c>
      <c r="EU102" s="112" t="str">
        <f t="shared" si="459"/>
        <v>x</v>
      </c>
      <c r="EV102" s="112" t="str">
        <f t="shared" si="460"/>
        <v>x</v>
      </c>
      <c r="EW102" s="112" t="str">
        <f t="shared" si="461"/>
        <v>x</v>
      </c>
      <c r="EX102" s="112" t="str">
        <f t="shared" si="462"/>
        <v>x</v>
      </c>
      <c r="EY102" s="112" t="str">
        <f t="shared" si="463"/>
        <v>x</v>
      </c>
      <c r="EZ102" s="112"/>
      <c r="FA102" s="112" t="str">
        <f t="shared" si="464"/>
        <v>x</v>
      </c>
      <c r="FB102" s="112" t="str">
        <f t="shared" si="465"/>
        <v>x</v>
      </c>
      <c r="FC102" s="112" t="str">
        <f t="shared" si="466"/>
        <v>x</v>
      </c>
      <c r="FD102" s="112" t="str">
        <f t="shared" si="467"/>
        <v>x</v>
      </c>
      <c r="FE102" s="112" t="str">
        <f t="shared" si="468"/>
        <v>x</v>
      </c>
      <c r="FF102" s="112" t="str">
        <f t="shared" si="469"/>
        <v>x</v>
      </c>
      <c r="FG102" s="111"/>
      <c r="FH102" s="111"/>
      <c r="FI102" s="112" t="str">
        <f t="shared" si="470"/>
        <v>x</v>
      </c>
      <c r="FJ102" s="112" t="str">
        <f t="shared" si="471"/>
        <v>x</v>
      </c>
      <c r="FK102" s="112" t="str">
        <f t="shared" si="472"/>
        <v>x</v>
      </c>
      <c r="FL102" s="112"/>
      <c r="FM102" s="112" t="str">
        <f t="shared" si="473"/>
        <v>x</v>
      </c>
      <c r="FN102" s="112" t="str">
        <f t="shared" si="547"/>
        <v>x</v>
      </c>
      <c r="FO102" s="112" t="str">
        <f t="shared" si="474"/>
        <v>x</v>
      </c>
      <c r="FP102" s="112" t="str">
        <f t="shared" si="475"/>
        <v>x</v>
      </c>
      <c r="FQ102" s="112" t="str">
        <f t="shared" si="476"/>
        <v>x</v>
      </c>
      <c r="FR102" s="112" t="str">
        <f t="shared" si="477"/>
        <v>x</v>
      </c>
      <c r="FS102" s="112" t="str">
        <f t="shared" si="478"/>
        <v>x</v>
      </c>
      <c r="FT102" s="112" t="str">
        <f t="shared" si="479"/>
        <v>x</v>
      </c>
      <c r="FU102" s="112" t="str">
        <f t="shared" si="480"/>
        <v>x</v>
      </c>
      <c r="FV102" s="112" t="str">
        <f t="shared" si="481"/>
        <v>x</v>
      </c>
      <c r="FW102" s="111"/>
      <c r="FX102" s="112"/>
      <c r="FY102" s="112"/>
      <c r="FZ102" s="111"/>
      <c r="GA102" s="111"/>
      <c r="GB102" s="111"/>
      <c r="GC102" s="112" t="str">
        <f t="shared" si="482"/>
        <v>x</v>
      </c>
      <c r="GD102" s="111"/>
      <c r="GE102" s="111"/>
      <c r="GF102" s="111"/>
      <c r="GG102" s="112"/>
      <c r="GH102" s="111"/>
      <c r="GI102" s="111"/>
      <c r="GJ102" s="112" t="str">
        <f t="shared" si="483"/>
        <v>x</v>
      </c>
      <c r="GK102" s="111"/>
      <c r="GL102" s="112" t="str">
        <f t="shared" si="484"/>
        <v>x</v>
      </c>
      <c r="GM102" s="111"/>
      <c r="GN102" s="112" t="str">
        <f t="shared" si="485"/>
        <v>x</v>
      </c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2" t="str">
        <f t="shared" si="48"/>
        <v>x</v>
      </c>
      <c r="HC102" s="112" t="str">
        <f t="shared" si="486"/>
        <v>x</v>
      </c>
      <c r="HD102" s="112" t="str">
        <f t="shared" si="487"/>
        <v>x</v>
      </c>
      <c r="HE102" s="112" t="str">
        <f t="shared" si="488"/>
        <v>x</v>
      </c>
      <c r="HF102" s="112" t="str">
        <f t="shared" si="489"/>
        <v>x</v>
      </c>
      <c r="HG102" s="112"/>
      <c r="HH102" s="112" t="str">
        <f t="shared" si="548"/>
        <v>x</v>
      </c>
      <c r="HI102" s="112"/>
      <c r="HJ102" s="112" t="str">
        <f t="shared" si="490"/>
        <v>x</v>
      </c>
      <c r="HK102" s="111"/>
      <c r="HL102" s="112" t="str">
        <f t="shared" si="491"/>
        <v>x</v>
      </c>
      <c r="HM102" s="112" t="str">
        <f t="shared" si="492"/>
        <v>x</v>
      </c>
      <c r="HN102" s="112" t="str">
        <f t="shared" si="493"/>
        <v>x</v>
      </c>
      <c r="HO102" s="112" t="str">
        <f t="shared" si="494"/>
        <v>x</v>
      </c>
      <c r="HP102" s="112" t="str">
        <f t="shared" si="495"/>
        <v>x</v>
      </c>
      <c r="HQ102" s="112" t="str">
        <f t="shared" si="496"/>
        <v>x</v>
      </c>
      <c r="HR102" s="112" t="str">
        <f t="shared" si="497"/>
        <v>x</v>
      </c>
      <c r="HS102" s="112" t="str">
        <f t="shared" si="498"/>
        <v>x</v>
      </c>
      <c r="HT102" s="112"/>
      <c r="HU102" s="112" t="str">
        <f t="shared" si="499"/>
        <v>x</v>
      </c>
      <c r="HV102" s="112"/>
      <c r="HW102" s="112" t="str">
        <f t="shared" si="549"/>
        <v>x</v>
      </c>
      <c r="HX102" s="112" t="str">
        <f t="shared" si="500"/>
        <v>x</v>
      </c>
      <c r="HY102" s="112" t="str">
        <f t="shared" si="501"/>
        <v>x</v>
      </c>
      <c r="HZ102" s="112" t="str">
        <f t="shared" si="502"/>
        <v>x</v>
      </c>
      <c r="IA102" s="112"/>
      <c r="IB102" s="112"/>
      <c r="IC102" s="112" t="str">
        <f t="shared" si="550"/>
        <v>x</v>
      </c>
      <c r="ID102" s="112" t="str">
        <f t="shared" si="503"/>
        <v>x</v>
      </c>
      <c r="IE102" s="112"/>
      <c r="IF102" s="112"/>
      <c r="IG102" s="111"/>
      <c r="IH102" s="112" t="str">
        <f t="shared" si="504"/>
        <v>x</v>
      </c>
      <c r="II102" s="112" t="str">
        <f t="shared" si="505"/>
        <v>x</v>
      </c>
      <c r="IJ102" s="112" t="str">
        <f t="shared" si="506"/>
        <v>x</v>
      </c>
      <c r="IK102" s="115" t="str">
        <f t="shared" si="507"/>
        <v>x</v>
      </c>
      <c r="IL102" s="112" t="str">
        <f t="shared" si="508"/>
        <v>x</v>
      </c>
      <c r="IM102" s="112" t="str">
        <f t="shared" si="509"/>
        <v>x</v>
      </c>
      <c r="IN102" s="112"/>
      <c r="IO102" s="112"/>
      <c r="IP102" s="112" t="str">
        <f t="shared" si="510"/>
        <v>x</v>
      </c>
      <c r="IQ102" s="112" t="str">
        <f t="shared" si="511"/>
        <v>x</v>
      </c>
      <c r="IR102" s="111"/>
      <c r="IS102" s="112" t="str">
        <f t="shared" si="512"/>
        <v>x</v>
      </c>
      <c r="IT102" s="111"/>
      <c r="IU102" s="112" t="str">
        <f t="shared" si="513"/>
        <v>x</v>
      </c>
      <c r="IV102" s="112"/>
      <c r="IW102" s="112" t="str">
        <f t="shared" si="514"/>
        <v>x</v>
      </c>
      <c r="IX102" s="112" t="str">
        <f t="shared" si="515"/>
        <v>x</v>
      </c>
      <c r="IY102" s="111"/>
      <c r="IZ102" s="112" t="str">
        <f t="shared" si="516"/>
        <v>x</v>
      </c>
      <c r="JA102" s="111"/>
      <c r="JB102" s="112" t="str">
        <f t="shared" si="517"/>
        <v>x</v>
      </c>
      <c r="JC102" s="111"/>
      <c r="JD102" s="112"/>
      <c r="JE102" s="112"/>
      <c r="JF102" s="112" t="str">
        <f t="shared" si="518"/>
        <v>x</v>
      </c>
      <c r="JG102" s="112" t="str">
        <f t="shared" si="519"/>
        <v>x</v>
      </c>
      <c r="JH102" s="112" t="str">
        <f t="shared" si="520"/>
        <v>x</v>
      </c>
      <c r="JI102" s="112"/>
      <c r="JJ102" s="112" t="str">
        <f t="shared" si="521"/>
        <v>x</v>
      </c>
      <c r="JK102" s="112" t="str">
        <f t="shared" si="551"/>
        <v>x</v>
      </c>
      <c r="JL102" s="112" t="str">
        <f t="shared" si="522"/>
        <v>x</v>
      </c>
      <c r="JM102" s="112"/>
      <c r="JN102" s="112"/>
      <c r="JO102" s="112"/>
      <c r="JP102" s="112"/>
      <c r="JQ102" s="112" t="str">
        <f t="shared" si="523"/>
        <v>x</v>
      </c>
      <c r="JR102" s="112"/>
      <c r="JS102" s="112" t="str">
        <f t="shared" si="524"/>
        <v>x</v>
      </c>
      <c r="JT102" s="111"/>
      <c r="JU102" s="111"/>
      <c r="JV102" s="112"/>
      <c r="JW102" s="112" t="str">
        <f t="shared" si="525"/>
        <v>x</v>
      </c>
      <c r="JX102" s="112"/>
      <c r="JY102" s="112"/>
      <c r="JZ102" s="112"/>
      <c r="KA102" s="112" t="str">
        <f t="shared" si="526"/>
        <v>x</v>
      </c>
      <c r="KB102" s="112" t="str">
        <f t="shared" si="527"/>
        <v>x</v>
      </c>
      <c r="KC102" s="112" t="str">
        <f t="shared" si="528"/>
        <v>x</v>
      </c>
      <c r="KD102" s="112" t="str">
        <f t="shared" si="529"/>
        <v>x</v>
      </c>
      <c r="KE102" s="112" t="str">
        <f t="shared" si="530"/>
        <v>x</v>
      </c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1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1"/>
      <c r="MC102" s="112" t="str">
        <f t="shared" si="531"/>
        <v>x</v>
      </c>
      <c r="MD102" s="112"/>
      <c r="ME102" s="112" t="str">
        <f t="shared" si="532"/>
        <v>x</v>
      </c>
      <c r="MF102" s="112" t="str">
        <f t="shared" si="533"/>
        <v>x</v>
      </c>
      <c r="MG102" s="112" t="str">
        <f t="shared" si="552"/>
        <v>x</v>
      </c>
      <c r="MH102" s="112" t="str">
        <f t="shared" si="534"/>
        <v>x</v>
      </c>
    </row>
    <row r="103" spans="1:346" x14ac:dyDescent="0.25">
      <c r="A103" s="110" t="s">
        <v>4</v>
      </c>
      <c r="B103" s="101" t="s">
        <v>395</v>
      </c>
      <c r="C103" s="102"/>
      <c r="D103" s="102"/>
      <c r="E103" s="102"/>
      <c r="F103" s="102"/>
      <c r="G103" s="102"/>
      <c r="H103" s="102"/>
      <c r="I103" s="102"/>
      <c r="J103" s="103"/>
      <c r="K103" s="111"/>
      <c r="L103" s="111"/>
      <c r="M103" s="112" t="str">
        <f t="shared" si="390"/>
        <v>x</v>
      </c>
      <c r="N103" s="112" t="str">
        <f t="shared" si="391"/>
        <v>x</v>
      </c>
      <c r="O103" s="112" t="str">
        <f t="shared" si="535"/>
        <v>x</v>
      </c>
      <c r="P103" s="112" t="str">
        <f t="shared" si="392"/>
        <v>x</v>
      </c>
      <c r="Q103" s="112" t="str">
        <f t="shared" si="393"/>
        <v>x</v>
      </c>
      <c r="R103" s="112"/>
      <c r="S103" s="112" t="str">
        <f t="shared" si="394"/>
        <v>x</v>
      </c>
      <c r="T103" s="112" t="str">
        <f t="shared" si="395"/>
        <v>x</v>
      </c>
      <c r="U103" s="112"/>
      <c r="V103" s="112"/>
      <c r="W103" s="112" t="str">
        <f t="shared" si="396"/>
        <v>x</v>
      </c>
      <c r="X103" s="112" t="str">
        <f t="shared" si="397"/>
        <v>x</v>
      </c>
      <c r="Y103" s="112"/>
      <c r="Z103" s="112"/>
      <c r="AA103" s="112"/>
      <c r="AB103" s="112" t="str">
        <f t="shared" si="398"/>
        <v>x</v>
      </c>
      <c r="AC103" s="112" t="str">
        <f t="shared" si="399"/>
        <v>x</v>
      </c>
      <c r="AD103" s="112" t="str">
        <f t="shared" si="400"/>
        <v>x</v>
      </c>
      <c r="AE103" s="112" t="str">
        <f t="shared" si="536"/>
        <v>x</v>
      </c>
      <c r="AF103" s="112" t="str">
        <f t="shared" si="401"/>
        <v>x</v>
      </c>
      <c r="AG103" s="112" t="str">
        <f t="shared" si="402"/>
        <v>x</v>
      </c>
      <c r="AH103" s="112" t="str">
        <f t="shared" si="403"/>
        <v>x</v>
      </c>
      <c r="AI103" s="112" t="str">
        <f t="shared" si="404"/>
        <v>x</v>
      </c>
      <c r="AJ103" s="112" t="str">
        <f t="shared" si="405"/>
        <v>x</v>
      </c>
      <c r="AK103" s="112" t="str">
        <f t="shared" si="406"/>
        <v>x</v>
      </c>
      <c r="AL103" s="112"/>
      <c r="AM103" s="112" t="str">
        <f t="shared" si="537"/>
        <v>x</v>
      </c>
      <c r="AN103" s="112"/>
      <c r="AO103" s="112"/>
      <c r="AP103" s="112"/>
      <c r="AQ103" s="112"/>
      <c r="AR103" s="112"/>
      <c r="AS103" s="112"/>
      <c r="AT103" s="112" t="str">
        <f t="shared" si="407"/>
        <v>x</v>
      </c>
      <c r="AU103" s="113"/>
      <c r="AV103" s="114" t="str">
        <f t="shared" si="408"/>
        <v>x</v>
      </c>
      <c r="AW103" s="114" t="str">
        <f t="shared" si="409"/>
        <v>x</v>
      </c>
      <c r="AX103" s="112" t="str">
        <f t="shared" si="410"/>
        <v>x</v>
      </c>
      <c r="AY103" s="111"/>
      <c r="AZ103" s="112" t="str">
        <f t="shared" si="411"/>
        <v>x</v>
      </c>
      <c r="BA103" s="112" t="str">
        <f t="shared" si="412"/>
        <v>x</v>
      </c>
      <c r="BB103" s="111"/>
      <c r="BC103" s="111"/>
      <c r="BD103" s="112" t="str">
        <f t="shared" si="413"/>
        <v>x</v>
      </c>
      <c r="BE103" s="112"/>
      <c r="BF103" s="111"/>
      <c r="BG103" s="112" t="str">
        <f t="shared" si="414"/>
        <v>x</v>
      </c>
      <c r="BH103" s="112" t="str">
        <f t="shared" si="538"/>
        <v>x</v>
      </c>
      <c r="BI103" s="112" t="str">
        <f t="shared" si="415"/>
        <v>x</v>
      </c>
      <c r="BJ103" s="111"/>
      <c r="BK103" s="112" t="str">
        <f t="shared" si="416"/>
        <v>x</v>
      </c>
      <c r="BL103" s="112" t="str">
        <f t="shared" si="417"/>
        <v>x</v>
      </c>
      <c r="BM103" s="112" t="str">
        <f t="shared" si="418"/>
        <v>x</v>
      </c>
      <c r="BN103" s="112" t="str">
        <f t="shared" si="419"/>
        <v>x</v>
      </c>
      <c r="BO103" s="111"/>
      <c r="BP103" s="111"/>
      <c r="BQ103" s="111"/>
      <c r="BR103" s="112" t="str">
        <f t="shared" si="420"/>
        <v>x</v>
      </c>
      <c r="BS103" s="112"/>
      <c r="BT103" s="111"/>
      <c r="BU103" s="112" t="str">
        <f t="shared" si="421"/>
        <v>x</v>
      </c>
      <c r="BV103" s="112" t="str">
        <f t="shared" si="422"/>
        <v>x</v>
      </c>
      <c r="BW103" s="112"/>
      <c r="BX103" s="112"/>
      <c r="BY103" s="112"/>
      <c r="BZ103" s="112" t="str">
        <f t="shared" si="423"/>
        <v>x</v>
      </c>
      <c r="CA103" s="112" t="str">
        <f t="shared" si="424"/>
        <v>x</v>
      </c>
      <c r="CB103" s="112" t="str">
        <f t="shared" si="425"/>
        <v>x</v>
      </c>
      <c r="CC103" s="112"/>
      <c r="CD103" s="112"/>
      <c r="CE103" s="111"/>
      <c r="CF103" s="112" t="str">
        <f t="shared" si="426"/>
        <v>x</v>
      </c>
      <c r="CG103" s="112" t="str">
        <f t="shared" si="539"/>
        <v>x</v>
      </c>
      <c r="CH103" s="112" t="str">
        <f t="shared" si="427"/>
        <v>x</v>
      </c>
      <c r="CI103" s="112" t="str">
        <f t="shared" si="428"/>
        <v>x</v>
      </c>
      <c r="CJ103" s="112" t="str">
        <f t="shared" si="429"/>
        <v>x</v>
      </c>
      <c r="CK103" s="112" t="str">
        <f t="shared" si="430"/>
        <v>x</v>
      </c>
      <c r="CL103" s="112" t="str">
        <f t="shared" si="431"/>
        <v>x</v>
      </c>
      <c r="CM103" s="112"/>
      <c r="CN103" s="112"/>
      <c r="CO103" s="112" t="str">
        <f t="shared" si="540"/>
        <v>x</v>
      </c>
      <c r="CP103" s="112"/>
      <c r="CQ103" s="112" t="str">
        <f t="shared" si="541"/>
        <v>x</v>
      </c>
      <c r="CR103" s="112" t="str">
        <f t="shared" si="432"/>
        <v>x</v>
      </c>
      <c r="CS103" s="112"/>
      <c r="CT103" s="112" t="str">
        <f t="shared" si="542"/>
        <v>x</v>
      </c>
      <c r="CU103" s="112" t="str">
        <f t="shared" si="433"/>
        <v>x</v>
      </c>
      <c r="CV103" s="112" t="str">
        <f t="shared" si="434"/>
        <v>x</v>
      </c>
      <c r="CW103" s="112" t="str">
        <f t="shared" si="435"/>
        <v>x</v>
      </c>
      <c r="CX103" s="112" t="str">
        <f t="shared" si="436"/>
        <v>x</v>
      </c>
      <c r="CY103" s="112" t="str">
        <f t="shared" si="543"/>
        <v>x</v>
      </c>
      <c r="CZ103" s="112"/>
      <c r="DA103" s="112"/>
      <c r="DB103" s="115" t="str">
        <f t="shared" si="437"/>
        <v>x</v>
      </c>
      <c r="DC103" s="112"/>
      <c r="DD103" s="112"/>
      <c r="DE103" s="112" t="str">
        <f t="shared" si="438"/>
        <v>x</v>
      </c>
      <c r="DF103" s="115" t="str">
        <f t="shared" si="439"/>
        <v>x</v>
      </c>
      <c r="DG103" s="112" t="str">
        <f t="shared" si="440"/>
        <v>x</v>
      </c>
      <c r="DH103" s="112" t="str">
        <f t="shared" si="441"/>
        <v>x</v>
      </c>
      <c r="DI103" s="112"/>
      <c r="DJ103" s="112"/>
      <c r="DK103" s="112"/>
      <c r="DL103" s="112"/>
      <c r="DM103" s="112"/>
      <c r="DN103" s="112" t="str">
        <f t="shared" si="442"/>
        <v>x</v>
      </c>
      <c r="DO103" s="111"/>
      <c r="DP103" s="111"/>
      <c r="DQ103" s="112" t="str">
        <f t="shared" si="443"/>
        <v>x</v>
      </c>
      <c r="DR103" s="112" t="str">
        <f t="shared" si="544"/>
        <v>x</v>
      </c>
      <c r="DS103" s="112" t="str">
        <f t="shared" si="545"/>
        <v>x</v>
      </c>
      <c r="DT103" s="112"/>
      <c r="DU103" s="112" t="str">
        <f t="shared" si="444"/>
        <v>x</v>
      </c>
      <c r="DV103" s="112"/>
      <c r="DW103" s="112" t="str">
        <f t="shared" si="546"/>
        <v>x</v>
      </c>
      <c r="DX103" s="112" t="str">
        <f t="shared" si="445"/>
        <v>x</v>
      </c>
      <c r="DY103" s="112" t="str">
        <f t="shared" si="446"/>
        <v>x</v>
      </c>
      <c r="DZ103" s="112" t="str">
        <f t="shared" si="447"/>
        <v>x</v>
      </c>
      <c r="EA103" s="112" t="str">
        <f t="shared" si="448"/>
        <v>x</v>
      </c>
      <c r="EB103" s="112" t="str">
        <f t="shared" si="449"/>
        <v>x</v>
      </c>
      <c r="EC103" s="111"/>
      <c r="ED103" s="111"/>
      <c r="EE103" s="111"/>
      <c r="EF103" s="111"/>
      <c r="EG103" s="111"/>
      <c r="EH103" s="111"/>
      <c r="EI103" s="112"/>
      <c r="EJ103" s="112" t="str">
        <f t="shared" si="450"/>
        <v>x</v>
      </c>
      <c r="EK103" s="112" t="str">
        <f t="shared" si="451"/>
        <v>x</v>
      </c>
      <c r="EL103" s="112" t="str">
        <f t="shared" si="452"/>
        <v>x</v>
      </c>
      <c r="EM103" s="112" t="str">
        <f t="shared" si="453"/>
        <v>x</v>
      </c>
      <c r="EN103" s="112" t="str">
        <f t="shared" si="454"/>
        <v>x</v>
      </c>
      <c r="EO103" s="117" t="str">
        <f t="shared" si="455"/>
        <v>x</v>
      </c>
      <c r="EP103" s="117" t="str">
        <f t="shared" si="456"/>
        <v>x</v>
      </c>
      <c r="EQ103" s="112" t="str">
        <f t="shared" si="457"/>
        <v>x</v>
      </c>
      <c r="ER103" s="111"/>
      <c r="ES103" s="111"/>
      <c r="ET103" s="112" t="str">
        <f t="shared" si="458"/>
        <v>x</v>
      </c>
      <c r="EU103" s="112" t="str">
        <f t="shared" si="459"/>
        <v>x</v>
      </c>
      <c r="EV103" s="112" t="str">
        <f t="shared" si="460"/>
        <v>x</v>
      </c>
      <c r="EW103" s="112" t="str">
        <f t="shared" si="461"/>
        <v>x</v>
      </c>
      <c r="EX103" s="112" t="str">
        <f t="shared" si="462"/>
        <v>x</v>
      </c>
      <c r="EY103" s="112" t="str">
        <f t="shared" si="463"/>
        <v>x</v>
      </c>
      <c r="EZ103" s="112"/>
      <c r="FA103" s="112" t="str">
        <f t="shared" si="464"/>
        <v>x</v>
      </c>
      <c r="FB103" s="112" t="str">
        <f t="shared" si="465"/>
        <v>x</v>
      </c>
      <c r="FC103" s="112" t="str">
        <f t="shared" si="466"/>
        <v>x</v>
      </c>
      <c r="FD103" s="112" t="str">
        <f t="shared" si="467"/>
        <v>x</v>
      </c>
      <c r="FE103" s="112" t="str">
        <f t="shared" si="468"/>
        <v>x</v>
      </c>
      <c r="FF103" s="112" t="str">
        <f t="shared" si="469"/>
        <v>x</v>
      </c>
      <c r="FG103" s="111"/>
      <c r="FH103" s="111"/>
      <c r="FI103" s="112" t="str">
        <f t="shared" si="470"/>
        <v>x</v>
      </c>
      <c r="FJ103" s="112" t="str">
        <f t="shared" si="471"/>
        <v>x</v>
      </c>
      <c r="FK103" s="112" t="str">
        <f t="shared" si="472"/>
        <v>x</v>
      </c>
      <c r="FL103" s="112"/>
      <c r="FM103" s="112" t="str">
        <f t="shared" si="473"/>
        <v>x</v>
      </c>
      <c r="FN103" s="112" t="str">
        <f t="shared" si="547"/>
        <v>x</v>
      </c>
      <c r="FO103" s="112" t="str">
        <f t="shared" si="474"/>
        <v>x</v>
      </c>
      <c r="FP103" s="112" t="str">
        <f t="shared" si="475"/>
        <v>x</v>
      </c>
      <c r="FQ103" s="112" t="str">
        <f t="shared" si="476"/>
        <v>x</v>
      </c>
      <c r="FR103" s="112" t="str">
        <f t="shared" si="477"/>
        <v>x</v>
      </c>
      <c r="FS103" s="112" t="str">
        <f t="shared" si="478"/>
        <v>x</v>
      </c>
      <c r="FT103" s="112" t="str">
        <f t="shared" si="479"/>
        <v>x</v>
      </c>
      <c r="FU103" s="112" t="str">
        <f t="shared" si="480"/>
        <v>x</v>
      </c>
      <c r="FV103" s="112" t="str">
        <f t="shared" si="481"/>
        <v>x</v>
      </c>
      <c r="FW103" s="111"/>
      <c r="FX103" s="112"/>
      <c r="FY103" s="112"/>
      <c r="FZ103" s="111"/>
      <c r="GA103" s="111"/>
      <c r="GB103" s="111"/>
      <c r="GC103" s="112" t="str">
        <f t="shared" si="482"/>
        <v>x</v>
      </c>
      <c r="GD103" s="111"/>
      <c r="GE103" s="111"/>
      <c r="GF103" s="111"/>
      <c r="GG103" s="112"/>
      <c r="GH103" s="111"/>
      <c r="GI103" s="111"/>
      <c r="GJ103" s="112" t="str">
        <f t="shared" si="483"/>
        <v>x</v>
      </c>
      <c r="GK103" s="111"/>
      <c r="GL103" s="112" t="str">
        <f t="shared" si="484"/>
        <v>x</v>
      </c>
      <c r="GM103" s="111"/>
      <c r="GN103" s="112" t="str">
        <f t="shared" si="485"/>
        <v>x</v>
      </c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2" t="str">
        <f t="shared" si="48"/>
        <v>x</v>
      </c>
      <c r="HC103" s="112" t="str">
        <f t="shared" si="486"/>
        <v>x</v>
      </c>
      <c r="HD103" s="112" t="str">
        <f t="shared" si="487"/>
        <v>x</v>
      </c>
      <c r="HE103" s="112" t="str">
        <f t="shared" si="488"/>
        <v>x</v>
      </c>
      <c r="HF103" s="112" t="str">
        <f t="shared" si="489"/>
        <v>x</v>
      </c>
      <c r="HG103" s="112"/>
      <c r="HH103" s="112" t="str">
        <f t="shared" si="548"/>
        <v>x</v>
      </c>
      <c r="HI103" s="112"/>
      <c r="HJ103" s="112" t="str">
        <f t="shared" si="490"/>
        <v>x</v>
      </c>
      <c r="HK103" s="111"/>
      <c r="HL103" s="112" t="str">
        <f t="shared" si="491"/>
        <v>x</v>
      </c>
      <c r="HM103" s="112" t="str">
        <f t="shared" si="492"/>
        <v>x</v>
      </c>
      <c r="HN103" s="112" t="str">
        <f t="shared" si="493"/>
        <v>x</v>
      </c>
      <c r="HO103" s="112" t="str">
        <f t="shared" si="494"/>
        <v>x</v>
      </c>
      <c r="HP103" s="112" t="str">
        <f t="shared" si="495"/>
        <v>x</v>
      </c>
      <c r="HQ103" s="112" t="str">
        <f t="shared" si="496"/>
        <v>x</v>
      </c>
      <c r="HR103" s="112" t="str">
        <f t="shared" si="497"/>
        <v>x</v>
      </c>
      <c r="HS103" s="112" t="str">
        <f t="shared" si="498"/>
        <v>x</v>
      </c>
      <c r="HT103" s="112"/>
      <c r="HU103" s="112" t="str">
        <f t="shared" si="499"/>
        <v>x</v>
      </c>
      <c r="HV103" s="112"/>
      <c r="HW103" s="112" t="str">
        <f t="shared" si="549"/>
        <v>x</v>
      </c>
      <c r="HX103" s="112" t="str">
        <f t="shared" si="500"/>
        <v>x</v>
      </c>
      <c r="HY103" s="112" t="str">
        <f t="shared" si="501"/>
        <v>x</v>
      </c>
      <c r="HZ103" s="112" t="str">
        <f t="shared" si="502"/>
        <v>x</v>
      </c>
      <c r="IA103" s="112"/>
      <c r="IB103" s="112"/>
      <c r="IC103" s="112" t="str">
        <f t="shared" si="550"/>
        <v>x</v>
      </c>
      <c r="ID103" s="112" t="str">
        <f t="shared" si="503"/>
        <v>x</v>
      </c>
      <c r="IE103" s="112"/>
      <c r="IF103" s="112"/>
      <c r="IG103" s="111"/>
      <c r="IH103" s="112" t="str">
        <f t="shared" si="504"/>
        <v>x</v>
      </c>
      <c r="II103" s="112" t="str">
        <f t="shared" si="505"/>
        <v>x</v>
      </c>
      <c r="IJ103" s="112" t="str">
        <f t="shared" si="506"/>
        <v>x</v>
      </c>
      <c r="IK103" s="115" t="str">
        <f t="shared" si="507"/>
        <v>x</v>
      </c>
      <c r="IL103" s="112" t="str">
        <f t="shared" si="508"/>
        <v>x</v>
      </c>
      <c r="IM103" s="112" t="str">
        <f t="shared" si="509"/>
        <v>x</v>
      </c>
      <c r="IN103" s="112"/>
      <c r="IO103" s="112"/>
      <c r="IP103" s="112" t="str">
        <f t="shared" si="510"/>
        <v>x</v>
      </c>
      <c r="IQ103" s="112" t="str">
        <f t="shared" si="511"/>
        <v>x</v>
      </c>
      <c r="IR103" s="111"/>
      <c r="IS103" s="112" t="str">
        <f t="shared" si="512"/>
        <v>x</v>
      </c>
      <c r="IT103" s="111"/>
      <c r="IU103" s="112" t="str">
        <f t="shared" si="513"/>
        <v>x</v>
      </c>
      <c r="IV103" s="112"/>
      <c r="IW103" s="112" t="str">
        <f t="shared" si="514"/>
        <v>x</v>
      </c>
      <c r="IX103" s="112" t="str">
        <f t="shared" si="515"/>
        <v>x</v>
      </c>
      <c r="IY103" s="111"/>
      <c r="IZ103" s="112" t="str">
        <f t="shared" si="516"/>
        <v>x</v>
      </c>
      <c r="JA103" s="111"/>
      <c r="JB103" s="112" t="str">
        <f t="shared" si="517"/>
        <v>x</v>
      </c>
      <c r="JC103" s="111"/>
      <c r="JD103" s="112"/>
      <c r="JE103" s="112"/>
      <c r="JF103" s="112" t="str">
        <f t="shared" si="518"/>
        <v>x</v>
      </c>
      <c r="JG103" s="112" t="str">
        <f t="shared" si="519"/>
        <v>x</v>
      </c>
      <c r="JH103" s="112" t="str">
        <f t="shared" si="520"/>
        <v>x</v>
      </c>
      <c r="JI103" s="112"/>
      <c r="JJ103" s="112" t="str">
        <f t="shared" si="521"/>
        <v>x</v>
      </c>
      <c r="JK103" s="112" t="str">
        <f t="shared" si="551"/>
        <v>x</v>
      </c>
      <c r="JL103" s="112" t="str">
        <f t="shared" si="522"/>
        <v>x</v>
      </c>
      <c r="JM103" s="112"/>
      <c r="JN103" s="112"/>
      <c r="JO103" s="112"/>
      <c r="JP103" s="112"/>
      <c r="JQ103" s="112" t="str">
        <f t="shared" si="523"/>
        <v>x</v>
      </c>
      <c r="JR103" s="112"/>
      <c r="JS103" s="112" t="str">
        <f t="shared" si="524"/>
        <v>x</v>
      </c>
      <c r="JT103" s="111"/>
      <c r="JU103" s="111"/>
      <c r="JV103" s="112"/>
      <c r="JW103" s="112" t="str">
        <f t="shared" si="525"/>
        <v>x</v>
      </c>
      <c r="JX103" s="112"/>
      <c r="JY103" s="112"/>
      <c r="JZ103" s="112"/>
      <c r="KA103" s="112" t="str">
        <f t="shared" si="526"/>
        <v>x</v>
      </c>
      <c r="KB103" s="112" t="str">
        <f t="shared" si="527"/>
        <v>x</v>
      </c>
      <c r="KC103" s="112" t="str">
        <f t="shared" si="528"/>
        <v>x</v>
      </c>
      <c r="KD103" s="112" t="str">
        <f t="shared" si="529"/>
        <v>x</v>
      </c>
      <c r="KE103" s="112" t="str">
        <f t="shared" si="530"/>
        <v>x</v>
      </c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1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1"/>
      <c r="MC103" s="112" t="str">
        <f t="shared" si="531"/>
        <v>x</v>
      </c>
      <c r="MD103" s="112"/>
      <c r="ME103" s="112" t="str">
        <f t="shared" si="532"/>
        <v>x</v>
      </c>
      <c r="MF103" s="112" t="str">
        <f t="shared" si="533"/>
        <v>x</v>
      </c>
      <c r="MG103" s="112" t="str">
        <f t="shared" si="552"/>
        <v>x</v>
      </c>
      <c r="MH103" s="112" t="str">
        <f t="shared" si="534"/>
        <v>x</v>
      </c>
    </row>
    <row r="104" spans="1:346" x14ac:dyDescent="0.25">
      <c r="A104" s="110" t="s">
        <v>4</v>
      </c>
      <c r="B104" s="101" t="s">
        <v>396</v>
      </c>
      <c r="C104" s="102"/>
      <c r="D104" s="102"/>
      <c r="E104" s="102"/>
      <c r="F104" s="102"/>
      <c r="G104" s="102"/>
      <c r="H104" s="102"/>
      <c r="I104" s="102"/>
      <c r="J104" s="103"/>
      <c r="K104" s="111"/>
      <c r="L104" s="111"/>
      <c r="M104" s="112" t="str">
        <f t="shared" si="390"/>
        <v>x</v>
      </c>
      <c r="N104" s="112" t="str">
        <f t="shared" si="391"/>
        <v>x</v>
      </c>
      <c r="O104" s="112" t="str">
        <f t="shared" si="535"/>
        <v>x</v>
      </c>
      <c r="P104" s="112" t="str">
        <f t="shared" si="392"/>
        <v>x</v>
      </c>
      <c r="Q104" s="112" t="str">
        <f t="shared" si="393"/>
        <v>x</v>
      </c>
      <c r="R104" s="112"/>
      <c r="S104" s="112" t="str">
        <f t="shared" si="394"/>
        <v>x</v>
      </c>
      <c r="T104" s="112" t="str">
        <f t="shared" si="395"/>
        <v>x</v>
      </c>
      <c r="U104" s="112"/>
      <c r="V104" s="112"/>
      <c r="W104" s="112" t="str">
        <f t="shared" si="396"/>
        <v>x</v>
      </c>
      <c r="X104" s="112" t="str">
        <f t="shared" si="397"/>
        <v>x</v>
      </c>
      <c r="Y104" s="112"/>
      <c r="Z104" s="112"/>
      <c r="AA104" s="112"/>
      <c r="AB104" s="112" t="str">
        <f t="shared" si="398"/>
        <v>x</v>
      </c>
      <c r="AC104" s="112" t="str">
        <f t="shared" si="399"/>
        <v>x</v>
      </c>
      <c r="AD104" s="112" t="str">
        <f t="shared" si="400"/>
        <v>x</v>
      </c>
      <c r="AE104" s="112" t="str">
        <f t="shared" si="536"/>
        <v>x</v>
      </c>
      <c r="AF104" s="112" t="str">
        <f t="shared" si="401"/>
        <v>x</v>
      </c>
      <c r="AG104" s="112" t="str">
        <f t="shared" si="402"/>
        <v>x</v>
      </c>
      <c r="AH104" s="112" t="str">
        <f t="shared" si="403"/>
        <v>x</v>
      </c>
      <c r="AI104" s="112" t="str">
        <f t="shared" si="404"/>
        <v>x</v>
      </c>
      <c r="AJ104" s="112" t="str">
        <f t="shared" si="405"/>
        <v>x</v>
      </c>
      <c r="AK104" s="112" t="str">
        <f t="shared" si="406"/>
        <v>x</v>
      </c>
      <c r="AL104" s="112"/>
      <c r="AM104" s="112" t="str">
        <f t="shared" si="537"/>
        <v>x</v>
      </c>
      <c r="AN104" s="112"/>
      <c r="AO104" s="112"/>
      <c r="AP104" s="112"/>
      <c r="AQ104" s="112"/>
      <c r="AR104" s="112"/>
      <c r="AS104" s="112"/>
      <c r="AT104" s="112" t="str">
        <f t="shared" si="407"/>
        <v>x</v>
      </c>
      <c r="AU104" s="113"/>
      <c r="AV104" s="114" t="str">
        <f t="shared" si="408"/>
        <v>x</v>
      </c>
      <c r="AW104" s="114" t="str">
        <f t="shared" si="409"/>
        <v>x</v>
      </c>
      <c r="AX104" s="112" t="str">
        <f t="shared" si="410"/>
        <v>x</v>
      </c>
      <c r="AY104" s="111"/>
      <c r="AZ104" s="112" t="str">
        <f t="shared" si="411"/>
        <v>x</v>
      </c>
      <c r="BA104" s="112" t="str">
        <f t="shared" si="412"/>
        <v>x</v>
      </c>
      <c r="BB104" s="111"/>
      <c r="BC104" s="111"/>
      <c r="BD104" s="112" t="str">
        <f t="shared" si="413"/>
        <v>x</v>
      </c>
      <c r="BE104" s="112"/>
      <c r="BF104" s="111"/>
      <c r="BG104" s="112" t="str">
        <f t="shared" si="414"/>
        <v>x</v>
      </c>
      <c r="BH104" s="112" t="str">
        <f t="shared" si="538"/>
        <v>x</v>
      </c>
      <c r="BI104" s="112" t="str">
        <f t="shared" si="415"/>
        <v>x</v>
      </c>
      <c r="BJ104" s="111"/>
      <c r="BK104" s="112" t="str">
        <f t="shared" si="416"/>
        <v>x</v>
      </c>
      <c r="BL104" s="112" t="str">
        <f t="shared" si="417"/>
        <v>x</v>
      </c>
      <c r="BM104" s="112" t="str">
        <f t="shared" si="418"/>
        <v>x</v>
      </c>
      <c r="BN104" s="112" t="str">
        <f t="shared" si="419"/>
        <v>x</v>
      </c>
      <c r="BO104" s="111"/>
      <c r="BP104" s="111"/>
      <c r="BQ104" s="111"/>
      <c r="BR104" s="112" t="str">
        <f t="shared" si="420"/>
        <v>x</v>
      </c>
      <c r="BS104" s="112"/>
      <c r="BT104" s="111"/>
      <c r="BU104" s="112" t="str">
        <f t="shared" si="421"/>
        <v>x</v>
      </c>
      <c r="BV104" s="112" t="str">
        <f t="shared" si="422"/>
        <v>x</v>
      </c>
      <c r="BW104" s="112"/>
      <c r="BX104" s="112"/>
      <c r="BY104" s="112"/>
      <c r="BZ104" s="112" t="str">
        <f t="shared" si="423"/>
        <v>x</v>
      </c>
      <c r="CA104" s="112" t="str">
        <f t="shared" si="424"/>
        <v>x</v>
      </c>
      <c r="CB104" s="112" t="str">
        <f t="shared" si="425"/>
        <v>x</v>
      </c>
      <c r="CC104" s="112"/>
      <c r="CD104" s="112"/>
      <c r="CE104" s="111"/>
      <c r="CF104" s="112" t="str">
        <f t="shared" si="426"/>
        <v>x</v>
      </c>
      <c r="CG104" s="112" t="str">
        <f t="shared" si="539"/>
        <v>x</v>
      </c>
      <c r="CH104" s="112" t="str">
        <f t="shared" si="427"/>
        <v>x</v>
      </c>
      <c r="CI104" s="112" t="str">
        <f t="shared" si="428"/>
        <v>x</v>
      </c>
      <c r="CJ104" s="112" t="str">
        <f t="shared" si="429"/>
        <v>x</v>
      </c>
      <c r="CK104" s="112" t="str">
        <f t="shared" si="430"/>
        <v>x</v>
      </c>
      <c r="CL104" s="112" t="str">
        <f t="shared" si="431"/>
        <v>x</v>
      </c>
      <c r="CM104" s="112"/>
      <c r="CN104" s="112"/>
      <c r="CO104" s="112" t="str">
        <f t="shared" si="540"/>
        <v>x</v>
      </c>
      <c r="CP104" s="112"/>
      <c r="CQ104" s="112" t="str">
        <f t="shared" si="541"/>
        <v>x</v>
      </c>
      <c r="CR104" s="112" t="str">
        <f t="shared" si="432"/>
        <v>x</v>
      </c>
      <c r="CS104" s="112"/>
      <c r="CT104" s="112" t="str">
        <f t="shared" si="542"/>
        <v>x</v>
      </c>
      <c r="CU104" s="112" t="str">
        <f t="shared" si="433"/>
        <v>x</v>
      </c>
      <c r="CV104" s="112" t="str">
        <f t="shared" si="434"/>
        <v>x</v>
      </c>
      <c r="CW104" s="112" t="str">
        <f t="shared" si="435"/>
        <v>x</v>
      </c>
      <c r="CX104" s="112" t="str">
        <f t="shared" si="436"/>
        <v>x</v>
      </c>
      <c r="CY104" s="112" t="str">
        <f t="shared" si="543"/>
        <v>x</v>
      </c>
      <c r="CZ104" s="112"/>
      <c r="DA104" s="112"/>
      <c r="DB104" s="115" t="str">
        <f t="shared" si="437"/>
        <v>x</v>
      </c>
      <c r="DC104" s="112"/>
      <c r="DD104" s="112"/>
      <c r="DE104" s="112" t="str">
        <f t="shared" si="438"/>
        <v>x</v>
      </c>
      <c r="DF104" s="115" t="str">
        <f t="shared" si="439"/>
        <v>x</v>
      </c>
      <c r="DG104" s="112" t="str">
        <f t="shared" si="440"/>
        <v>x</v>
      </c>
      <c r="DH104" s="112" t="str">
        <f t="shared" si="441"/>
        <v>x</v>
      </c>
      <c r="DI104" s="112"/>
      <c r="DJ104" s="112"/>
      <c r="DK104" s="112"/>
      <c r="DL104" s="112"/>
      <c r="DM104" s="112"/>
      <c r="DN104" s="112" t="str">
        <f t="shared" si="442"/>
        <v>x</v>
      </c>
      <c r="DO104" s="111"/>
      <c r="DP104" s="111"/>
      <c r="DQ104" s="112" t="str">
        <f t="shared" si="443"/>
        <v>x</v>
      </c>
      <c r="DR104" s="112" t="str">
        <f t="shared" si="544"/>
        <v>x</v>
      </c>
      <c r="DS104" s="112" t="str">
        <f t="shared" si="545"/>
        <v>x</v>
      </c>
      <c r="DT104" s="112"/>
      <c r="DU104" s="112" t="str">
        <f t="shared" si="444"/>
        <v>x</v>
      </c>
      <c r="DV104" s="112"/>
      <c r="DW104" s="112" t="str">
        <f t="shared" si="546"/>
        <v>x</v>
      </c>
      <c r="DX104" s="112" t="str">
        <f t="shared" si="445"/>
        <v>x</v>
      </c>
      <c r="DY104" s="112" t="str">
        <f t="shared" si="446"/>
        <v>x</v>
      </c>
      <c r="DZ104" s="112" t="str">
        <f t="shared" si="447"/>
        <v>x</v>
      </c>
      <c r="EA104" s="112" t="str">
        <f t="shared" si="448"/>
        <v>x</v>
      </c>
      <c r="EB104" s="112" t="str">
        <f t="shared" si="449"/>
        <v>x</v>
      </c>
      <c r="EC104" s="111"/>
      <c r="ED104" s="111"/>
      <c r="EE104" s="111"/>
      <c r="EF104" s="111"/>
      <c r="EG104" s="111"/>
      <c r="EH104" s="111"/>
      <c r="EI104" s="112"/>
      <c r="EJ104" s="112" t="str">
        <f t="shared" si="450"/>
        <v>x</v>
      </c>
      <c r="EK104" s="112" t="str">
        <f t="shared" si="451"/>
        <v>x</v>
      </c>
      <c r="EL104" s="112" t="str">
        <f t="shared" si="452"/>
        <v>x</v>
      </c>
      <c r="EM104" s="112" t="str">
        <f t="shared" si="453"/>
        <v>x</v>
      </c>
      <c r="EN104" s="112" t="str">
        <f t="shared" si="454"/>
        <v>x</v>
      </c>
      <c r="EO104" s="117" t="str">
        <f t="shared" si="455"/>
        <v>x</v>
      </c>
      <c r="EP104" s="117" t="str">
        <f t="shared" si="456"/>
        <v>x</v>
      </c>
      <c r="EQ104" s="112" t="str">
        <f t="shared" si="457"/>
        <v>x</v>
      </c>
      <c r="ER104" s="111"/>
      <c r="ES104" s="111"/>
      <c r="ET104" s="112" t="str">
        <f t="shared" si="458"/>
        <v>x</v>
      </c>
      <c r="EU104" s="112" t="str">
        <f t="shared" si="459"/>
        <v>x</v>
      </c>
      <c r="EV104" s="112" t="str">
        <f t="shared" si="460"/>
        <v>x</v>
      </c>
      <c r="EW104" s="112" t="str">
        <f t="shared" si="461"/>
        <v>x</v>
      </c>
      <c r="EX104" s="112" t="str">
        <f t="shared" si="462"/>
        <v>x</v>
      </c>
      <c r="EY104" s="112" t="str">
        <f t="shared" si="463"/>
        <v>x</v>
      </c>
      <c r="EZ104" s="112"/>
      <c r="FA104" s="112" t="str">
        <f t="shared" si="464"/>
        <v>x</v>
      </c>
      <c r="FB104" s="112" t="str">
        <f t="shared" si="465"/>
        <v>x</v>
      </c>
      <c r="FC104" s="112" t="str">
        <f t="shared" si="466"/>
        <v>x</v>
      </c>
      <c r="FD104" s="112" t="str">
        <f t="shared" si="467"/>
        <v>x</v>
      </c>
      <c r="FE104" s="112" t="str">
        <f t="shared" si="468"/>
        <v>x</v>
      </c>
      <c r="FF104" s="112" t="str">
        <f t="shared" si="469"/>
        <v>x</v>
      </c>
      <c r="FG104" s="111"/>
      <c r="FH104" s="111"/>
      <c r="FI104" s="112" t="str">
        <f t="shared" si="470"/>
        <v>x</v>
      </c>
      <c r="FJ104" s="112" t="str">
        <f t="shared" si="471"/>
        <v>x</v>
      </c>
      <c r="FK104" s="112" t="str">
        <f t="shared" si="472"/>
        <v>x</v>
      </c>
      <c r="FL104" s="112"/>
      <c r="FM104" s="112" t="str">
        <f t="shared" si="473"/>
        <v>x</v>
      </c>
      <c r="FN104" s="112" t="str">
        <f t="shared" si="547"/>
        <v>x</v>
      </c>
      <c r="FO104" s="112" t="str">
        <f t="shared" si="474"/>
        <v>x</v>
      </c>
      <c r="FP104" s="112" t="str">
        <f t="shared" si="475"/>
        <v>x</v>
      </c>
      <c r="FQ104" s="112" t="str">
        <f t="shared" si="476"/>
        <v>x</v>
      </c>
      <c r="FR104" s="112" t="str">
        <f t="shared" si="477"/>
        <v>x</v>
      </c>
      <c r="FS104" s="112" t="str">
        <f t="shared" si="478"/>
        <v>x</v>
      </c>
      <c r="FT104" s="112" t="str">
        <f t="shared" si="479"/>
        <v>x</v>
      </c>
      <c r="FU104" s="112" t="str">
        <f t="shared" si="480"/>
        <v>x</v>
      </c>
      <c r="FV104" s="112" t="str">
        <f t="shared" si="481"/>
        <v>x</v>
      </c>
      <c r="FW104" s="111"/>
      <c r="FX104" s="112"/>
      <c r="FY104" s="112"/>
      <c r="FZ104" s="111"/>
      <c r="GA104" s="111"/>
      <c r="GB104" s="111"/>
      <c r="GC104" s="112" t="str">
        <f t="shared" si="482"/>
        <v>x</v>
      </c>
      <c r="GD104" s="111"/>
      <c r="GE104" s="111"/>
      <c r="GF104" s="111"/>
      <c r="GG104" s="112"/>
      <c r="GH104" s="111"/>
      <c r="GI104" s="111"/>
      <c r="GJ104" s="112" t="str">
        <f t="shared" si="483"/>
        <v>x</v>
      </c>
      <c r="GK104" s="111"/>
      <c r="GL104" s="112" t="str">
        <f t="shared" si="484"/>
        <v>x</v>
      </c>
      <c r="GM104" s="111"/>
      <c r="GN104" s="112" t="str">
        <f t="shared" si="485"/>
        <v>x</v>
      </c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2" t="str">
        <f t="shared" si="48"/>
        <v>x</v>
      </c>
      <c r="HC104" s="112" t="str">
        <f t="shared" si="486"/>
        <v>x</v>
      </c>
      <c r="HD104" s="112" t="str">
        <f t="shared" si="487"/>
        <v>x</v>
      </c>
      <c r="HE104" s="112" t="str">
        <f t="shared" si="488"/>
        <v>x</v>
      </c>
      <c r="HF104" s="112" t="str">
        <f t="shared" si="489"/>
        <v>x</v>
      </c>
      <c r="HG104" s="112"/>
      <c r="HH104" s="112" t="str">
        <f t="shared" si="548"/>
        <v>x</v>
      </c>
      <c r="HI104" s="112"/>
      <c r="HJ104" s="112" t="str">
        <f t="shared" si="490"/>
        <v>x</v>
      </c>
      <c r="HK104" s="111"/>
      <c r="HL104" s="112" t="str">
        <f t="shared" si="491"/>
        <v>x</v>
      </c>
      <c r="HM104" s="112" t="str">
        <f t="shared" si="492"/>
        <v>x</v>
      </c>
      <c r="HN104" s="112" t="str">
        <f t="shared" si="493"/>
        <v>x</v>
      </c>
      <c r="HO104" s="112" t="str">
        <f t="shared" si="494"/>
        <v>x</v>
      </c>
      <c r="HP104" s="112" t="str">
        <f t="shared" si="495"/>
        <v>x</v>
      </c>
      <c r="HQ104" s="112" t="str">
        <f t="shared" si="496"/>
        <v>x</v>
      </c>
      <c r="HR104" s="112" t="str">
        <f t="shared" si="497"/>
        <v>x</v>
      </c>
      <c r="HS104" s="112" t="str">
        <f t="shared" si="498"/>
        <v>x</v>
      </c>
      <c r="HT104" s="112"/>
      <c r="HU104" s="112" t="str">
        <f t="shared" si="499"/>
        <v>x</v>
      </c>
      <c r="HV104" s="112"/>
      <c r="HW104" s="112" t="str">
        <f t="shared" si="549"/>
        <v>x</v>
      </c>
      <c r="HX104" s="112" t="str">
        <f t="shared" si="500"/>
        <v>x</v>
      </c>
      <c r="HY104" s="112" t="str">
        <f t="shared" si="501"/>
        <v>x</v>
      </c>
      <c r="HZ104" s="112" t="str">
        <f t="shared" si="502"/>
        <v>x</v>
      </c>
      <c r="IA104" s="112"/>
      <c r="IB104" s="112"/>
      <c r="IC104" s="112" t="str">
        <f t="shared" si="550"/>
        <v>x</v>
      </c>
      <c r="ID104" s="112" t="str">
        <f t="shared" si="503"/>
        <v>x</v>
      </c>
      <c r="IE104" s="112"/>
      <c r="IF104" s="112"/>
      <c r="IG104" s="111"/>
      <c r="IH104" s="112" t="str">
        <f t="shared" si="504"/>
        <v>x</v>
      </c>
      <c r="II104" s="112" t="str">
        <f t="shared" si="505"/>
        <v>x</v>
      </c>
      <c r="IJ104" s="112" t="str">
        <f t="shared" si="506"/>
        <v>x</v>
      </c>
      <c r="IK104" s="115" t="str">
        <f t="shared" si="507"/>
        <v>x</v>
      </c>
      <c r="IL104" s="112" t="str">
        <f t="shared" si="508"/>
        <v>x</v>
      </c>
      <c r="IM104" s="112" t="str">
        <f t="shared" si="509"/>
        <v>x</v>
      </c>
      <c r="IN104" s="112"/>
      <c r="IO104" s="112"/>
      <c r="IP104" s="112" t="str">
        <f t="shared" si="510"/>
        <v>x</v>
      </c>
      <c r="IQ104" s="112" t="str">
        <f t="shared" si="511"/>
        <v>x</v>
      </c>
      <c r="IR104" s="111"/>
      <c r="IS104" s="112" t="str">
        <f t="shared" si="512"/>
        <v>x</v>
      </c>
      <c r="IT104" s="111"/>
      <c r="IU104" s="112" t="str">
        <f t="shared" si="513"/>
        <v>x</v>
      </c>
      <c r="IV104" s="112"/>
      <c r="IW104" s="112" t="str">
        <f t="shared" si="514"/>
        <v>x</v>
      </c>
      <c r="IX104" s="112" t="str">
        <f t="shared" si="515"/>
        <v>x</v>
      </c>
      <c r="IY104" s="111"/>
      <c r="IZ104" s="112" t="str">
        <f t="shared" si="516"/>
        <v>x</v>
      </c>
      <c r="JA104" s="111"/>
      <c r="JB104" s="112" t="str">
        <f t="shared" si="517"/>
        <v>x</v>
      </c>
      <c r="JC104" s="111"/>
      <c r="JD104" s="112"/>
      <c r="JE104" s="112"/>
      <c r="JF104" s="112" t="str">
        <f t="shared" si="518"/>
        <v>x</v>
      </c>
      <c r="JG104" s="112" t="str">
        <f t="shared" si="519"/>
        <v>x</v>
      </c>
      <c r="JH104" s="112" t="str">
        <f t="shared" si="520"/>
        <v>x</v>
      </c>
      <c r="JI104" s="112"/>
      <c r="JJ104" s="112" t="str">
        <f t="shared" si="521"/>
        <v>x</v>
      </c>
      <c r="JK104" s="112" t="str">
        <f t="shared" si="551"/>
        <v>x</v>
      </c>
      <c r="JL104" s="112" t="str">
        <f t="shared" si="522"/>
        <v>x</v>
      </c>
      <c r="JM104" s="112"/>
      <c r="JN104" s="112"/>
      <c r="JO104" s="112"/>
      <c r="JP104" s="112"/>
      <c r="JQ104" s="112" t="str">
        <f t="shared" si="523"/>
        <v>x</v>
      </c>
      <c r="JR104" s="112"/>
      <c r="JS104" s="112" t="str">
        <f t="shared" si="524"/>
        <v>x</v>
      </c>
      <c r="JT104" s="111"/>
      <c r="JU104" s="111"/>
      <c r="JV104" s="112"/>
      <c r="JW104" s="112" t="str">
        <f t="shared" si="525"/>
        <v>x</v>
      </c>
      <c r="JX104" s="112"/>
      <c r="JY104" s="112"/>
      <c r="JZ104" s="112"/>
      <c r="KA104" s="112" t="str">
        <f t="shared" si="526"/>
        <v>x</v>
      </c>
      <c r="KB104" s="112" t="str">
        <f t="shared" si="527"/>
        <v>x</v>
      </c>
      <c r="KC104" s="112" t="str">
        <f t="shared" si="528"/>
        <v>x</v>
      </c>
      <c r="KD104" s="112" t="str">
        <f t="shared" si="529"/>
        <v>x</v>
      </c>
      <c r="KE104" s="112" t="str">
        <f t="shared" si="530"/>
        <v>x</v>
      </c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1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1"/>
      <c r="MC104" s="112" t="str">
        <f t="shared" si="531"/>
        <v>x</v>
      </c>
      <c r="MD104" s="112"/>
      <c r="ME104" s="112" t="str">
        <f t="shared" si="532"/>
        <v>x</v>
      </c>
      <c r="MF104" s="112" t="str">
        <f t="shared" si="533"/>
        <v>x</v>
      </c>
      <c r="MG104" s="112" t="str">
        <f t="shared" si="552"/>
        <v>x</v>
      </c>
      <c r="MH104" s="112" t="str">
        <f t="shared" si="534"/>
        <v>x</v>
      </c>
    </row>
    <row r="105" spans="1:346" x14ac:dyDescent="0.25">
      <c r="A105" s="110" t="s">
        <v>4</v>
      </c>
      <c r="B105" s="101" t="s">
        <v>397</v>
      </c>
      <c r="C105" s="102"/>
      <c r="D105" s="102"/>
      <c r="E105" s="102"/>
      <c r="F105" s="102"/>
      <c r="G105" s="102"/>
      <c r="H105" s="102"/>
      <c r="I105" s="102"/>
      <c r="J105" s="103"/>
      <c r="K105" s="111"/>
      <c r="L105" s="111"/>
      <c r="M105" s="112" t="str">
        <f t="shared" si="390"/>
        <v>x</v>
      </c>
      <c r="N105" s="112" t="str">
        <f t="shared" si="391"/>
        <v>x</v>
      </c>
      <c r="O105" s="112" t="str">
        <f t="shared" si="535"/>
        <v>x</v>
      </c>
      <c r="P105" s="112" t="str">
        <f t="shared" si="392"/>
        <v>x</v>
      </c>
      <c r="Q105" s="112" t="str">
        <f t="shared" si="393"/>
        <v>x</v>
      </c>
      <c r="R105" s="112"/>
      <c r="S105" s="112" t="str">
        <f t="shared" si="394"/>
        <v>x</v>
      </c>
      <c r="T105" s="112" t="str">
        <f t="shared" si="395"/>
        <v>x</v>
      </c>
      <c r="U105" s="112"/>
      <c r="V105" s="112"/>
      <c r="W105" s="112" t="str">
        <f t="shared" si="396"/>
        <v>x</v>
      </c>
      <c r="X105" s="112" t="str">
        <f t="shared" si="397"/>
        <v>x</v>
      </c>
      <c r="Y105" s="112"/>
      <c r="Z105" s="112"/>
      <c r="AA105" s="112"/>
      <c r="AB105" s="112" t="str">
        <f t="shared" si="398"/>
        <v>x</v>
      </c>
      <c r="AC105" s="112" t="str">
        <f t="shared" si="399"/>
        <v>x</v>
      </c>
      <c r="AD105" s="112" t="str">
        <f t="shared" si="400"/>
        <v>x</v>
      </c>
      <c r="AE105" s="112" t="str">
        <f t="shared" si="536"/>
        <v>x</v>
      </c>
      <c r="AF105" s="112" t="str">
        <f t="shared" si="401"/>
        <v>x</v>
      </c>
      <c r="AG105" s="112" t="str">
        <f t="shared" si="402"/>
        <v>x</v>
      </c>
      <c r="AH105" s="112" t="str">
        <f t="shared" si="403"/>
        <v>x</v>
      </c>
      <c r="AI105" s="112" t="str">
        <f t="shared" si="404"/>
        <v>x</v>
      </c>
      <c r="AJ105" s="112" t="str">
        <f t="shared" si="405"/>
        <v>x</v>
      </c>
      <c r="AK105" s="112" t="str">
        <f t="shared" si="406"/>
        <v>x</v>
      </c>
      <c r="AL105" s="112"/>
      <c r="AM105" s="112" t="str">
        <f t="shared" si="537"/>
        <v>x</v>
      </c>
      <c r="AN105" s="112"/>
      <c r="AO105" s="112"/>
      <c r="AP105" s="112"/>
      <c r="AQ105" s="112"/>
      <c r="AR105" s="112"/>
      <c r="AS105" s="112"/>
      <c r="AT105" s="112" t="str">
        <f t="shared" si="407"/>
        <v>x</v>
      </c>
      <c r="AU105" s="113"/>
      <c r="AV105" s="114" t="str">
        <f t="shared" si="408"/>
        <v>x</v>
      </c>
      <c r="AW105" s="114" t="str">
        <f t="shared" si="409"/>
        <v>x</v>
      </c>
      <c r="AX105" s="112" t="str">
        <f t="shared" si="410"/>
        <v>x</v>
      </c>
      <c r="AY105" s="111"/>
      <c r="AZ105" s="112" t="str">
        <f t="shared" si="411"/>
        <v>x</v>
      </c>
      <c r="BA105" s="112" t="str">
        <f t="shared" si="412"/>
        <v>x</v>
      </c>
      <c r="BB105" s="111"/>
      <c r="BC105" s="111"/>
      <c r="BD105" s="112" t="str">
        <f t="shared" si="413"/>
        <v>x</v>
      </c>
      <c r="BE105" s="112"/>
      <c r="BF105" s="111"/>
      <c r="BG105" s="112" t="str">
        <f t="shared" si="414"/>
        <v>x</v>
      </c>
      <c r="BH105" s="112" t="str">
        <f t="shared" si="538"/>
        <v>x</v>
      </c>
      <c r="BI105" s="112" t="str">
        <f t="shared" si="415"/>
        <v>x</v>
      </c>
      <c r="BJ105" s="111"/>
      <c r="BK105" s="112" t="str">
        <f t="shared" si="416"/>
        <v>x</v>
      </c>
      <c r="BL105" s="112" t="str">
        <f t="shared" si="417"/>
        <v>x</v>
      </c>
      <c r="BM105" s="112" t="str">
        <f t="shared" si="418"/>
        <v>x</v>
      </c>
      <c r="BN105" s="112" t="str">
        <f t="shared" si="419"/>
        <v>x</v>
      </c>
      <c r="BO105" s="111"/>
      <c r="BP105" s="111"/>
      <c r="BQ105" s="111"/>
      <c r="BR105" s="112" t="str">
        <f t="shared" si="420"/>
        <v>x</v>
      </c>
      <c r="BS105" s="112"/>
      <c r="BT105" s="111"/>
      <c r="BU105" s="112" t="str">
        <f t="shared" si="421"/>
        <v>x</v>
      </c>
      <c r="BV105" s="112" t="str">
        <f t="shared" si="422"/>
        <v>x</v>
      </c>
      <c r="BW105" s="112"/>
      <c r="BX105" s="112"/>
      <c r="BY105" s="112"/>
      <c r="BZ105" s="112" t="str">
        <f t="shared" si="423"/>
        <v>x</v>
      </c>
      <c r="CA105" s="112" t="str">
        <f t="shared" si="424"/>
        <v>x</v>
      </c>
      <c r="CB105" s="112" t="str">
        <f t="shared" si="425"/>
        <v>x</v>
      </c>
      <c r="CC105" s="112"/>
      <c r="CD105" s="112"/>
      <c r="CE105" s="111"/>
      <c r="CF105" s="112" t="str">
        <f t="shared" si="426"/>
        <v>x</v>
      </c>
      <c r="CG105" s="112" t="str">
        <f t="shared" si="539"/>
        <v>x</v>
      </c>
      <c r="CH105" s="112" t="str">
        <f t="shared" si="427"/>
        <v>x</v>
      </c>
      <c r="CI105" s="112" t="str">
        <f t="shared" si="428"/>
        <v>x</v>
      </c>
      <c r="CJ105" s="112" t="str">
        <f t="shared" si="429"/>
        <v>x</v>
      </c>
      <c r="CK105" s="112" t="str">
        <f t="shared" si="430"/>
        <v>x</v>
      </c>
      <c r="CL105" s="112" t="str">
        <f t="shared" si="431"/>
        <v>x</v>
      </c>
      <c r="CM105" s="112"/>
      <c r="CN105" s="112"/>
      <c r="CO105" s="112" t="str">
        <f t="shared" si="540"/>
        <v>x</v>
      </c>
      <c r="CP105" s="112"/>
      <c r="CQ105" s="112" t="str">
        <f t="shared" si="541"/>
        <v>x</v>
      </c>
      <c r="CR105" s="112" t="str">
        <f t="shared" si="432"/>
        <v>x</v>
      </c>
      <c r="CS105" s="112"/>
      <c r="CT105" s="112" t="str">
        <f t="shared" si="542"/>
        <v>x</v>
      </c>
      <c r="CU105" s="112" t="str">
        <f t="shared" si="433"/>
        <v>x</v>
      </c>
      <c r="CV105" s="112" t="str">
        <f t="shared" si="434"/>
        <v>x</v>
      </c>
      <c r="CW105" s="112" t="str">
        <f t="shared" si="435"/>
        <v>x</v>
      </c>
      <c r="CX105" s="112" t="str">
        <f t="shared" si="436"/>
        <v>x</v>
      </c>
      <c r="CY105" s="112" t="str">
        <f t="shared" si="543"/>
        <v>x</v>
      </c>
      <c r="CZ105" s="112"/>
      <c r="DA105" s="112"/>
      <c r="DB105" s="115" t="str">
        <f t="shared" si="437"/>
        <v>x</v>
      </c>
      <c r="DC105" s="112"/>
      <c r="DD105" s="112"/>
      <c r="DE105" s="112" t="str">
        <f t="shared" si="438"/>
        <v>x</v>
      </c>
      <c r="DF105" s="115" t="str">
        <f t="shared" si="439"/>
        <v>x</v>
      </c>
      <c r="DG105" s="112" t="str">
        <f t="shared" si="440"/>
        <v>x</v>
      </c>
      <c r="DH105" s="112" t="str">
        <f t="shared" si="441"/>
        <v>x</v>
      </c>
      <c r="DI105" s="112"/>
      <c r="DJ105" s="112"/>
      <c r="DK105" s="112"/>
      <c r="DL105" s="112"/>
      <c r="DM105" s="112"/>
      <c r="DN105" s="112" t="str">
        <f t="shared" si="442"/>
        <v>x</v>
      </c>
      <c r="DO105" s="111"/>
      <c r="DP105" s="111"/>
      <c r="DQ105" s="112" t="str">
        <f t="shared" si="443"/>
        <v>x</v>
      </c>
      <c r="DR105" s="112" t="str">
        <f t="shared" si="544"/>
        <v>x</v>
      </c>
      <c r="DS105" s="112" t="str">
        <f t="shared" si="545"/>
        <v>x</v>
      </c>
      <c r="DT105" s="112"/>
      <c r="DU105" s="112" t="str">
        <f t="shared" si="444"/>
        <v>x</v>
      </c>
      <c r="DV105" s="112"/>
      <c r="DW105" s="112" t="str">
        <f t="shared" si="546"/>
        <v>x</v>
      </c>
      <c r="DX105" s="112" t="str">
        <f t="shared" si="445"/>
        <v>x</v>
      </c>
      <c r="DY105" s="112" t="str">
        <f t="shared" si="446"/>
        <v>x</v>
      </c>
      <c r="DZ105" s="112" t="str">
        <f t="shared" si="447"/>
        <v>x</v>
      </c>
      <c r="EA105" s="112" t="str">
        <f t="shared" si="448"/>
        <v>x</v>
      </c>
      <c r="EB105" s="112" t="str">
        <f t="shared" si="449"/>
        <v>x</v>
      </c>
      <c r="EC105" s="111"/>
      <c r="ED105" s="111"/>
      <c r="EE105" s="111"/>
      <c r="EF105" s="111"/>
      <c r="EG105" s="111"/>
      <c r="EH105" s="111"/>
      <c r="EI105" s="112"/>
      <c r="EJ105" s="112" t="str">
        <f t="shared" si="450"/>
        <v>x</v>
      </c>
      <c r="EK105" s="112" t="str">
        <f t="shared" si="451"/>
        <v>x</v>
      </c>
      <c r="EL105" s="112" t="str">
        <f t="shared" si="452"/>
        <v>x</v>
      </c>
      <c r="EM105" s="112" t="str">
        <f t="shared" si="453"/>
        <v>x</v>
      </c>
      <c r="EN105" s="112" t="str">
        <f t="shared" si="454"/>
        <v>x</v>
      </c>
      <c r="EO105" s="117" t="str">
        <f t="shared" si="455"/>
        <v>x</v>
      </c>
      <c r="EP105" s="117" t="str">
        <f t="shared" si="456"/>
        <v>x</v>
      </c>
      <c r="EQ105" s="112" t="str">
        <f t="shared" si="457"/>
        <v>x</v>
      </c>
      <c r="ER105" s="111"/>
      <c r="ES105" s="111"/>
      <c r="ET105" s="112" t="str">
        <f t="shared" si="458"/>
        <v>x</v>
      </c>
      <c r="EU105" s="112" t="str">
        <f t="shared" si="459"/>
        <v>x</v>
      </c>
      <c r="EV105" s="112" t="str">
        <f t="shared" si="460"/>
        <v>x</v>
      </c>
      <c r="EW105" s="112" t="str">
        <f t="shared" si="461"/>
        <v>x</v>
      </c>
      <c r="EX105" s="112" t="str">
        <f t="shared" si="462"/>
        <v>x</v>
      </c>
      <c r="EY105" s="112" t="str">
        <f t="shared" si="463"/>
        <v>x</v>
      </c>
      <c r="EZ105" s="112"/>
      <c r="FA105" s="112" t="str">
        <f t="shared" si="464"/>
        <v>x</v>
      </c>
      <c r="FB105" s="112" t="str">
        <f t="shared" si="465"/>
        <v>x</v>
      </c>
      <c r="FC105" s="112" t="str">
        <f t="shared" si="466"/>
        <v>x</v>
      </c>
      <c r="FD105" s="112" t="str">
        <f t="shared" si="467"/>
        <v>x</v>
      </c>
      <c r="FE105" s="112" t="str">
        <f t="shared" si="468"/>
        <v>x</v>
      </c>
      <c r="FF105" s="112" t="str">
        <f t="shared" si="469"/>
        <v>x</v>
      </c>
      <c r="FG105" s="111"/>
      <c r="FH105" s="111"/>
      <c r="FI105" s="112" t="str">
        <f t="shared" si="470"/>
        <v>x</v>
      </c>
      <c r="FJ105" s="112" t="str">
        <f t="shared" si="471"/>
        <v>x</v>
      </c>
      <c r="FK105" s="112" t="str">
        <f t="shared" si="472"/>
        <v>x</v>
      </c>
      <c r="FL105" s="112"/>
      <c r="FM105" s="112" t="str">
        <f t="shared" si="473"/>
        <v>x</v>
      </c>
      <c r="FN105" s="112" t="str">
        <f t="shared" si="547"/>
        <v>x</v>
      </c>
      <c r="FO105" s="112" t="str">
        <f t="shared" si="474"/>
        <v>x</v>
      </c>
      <c r="FP105" s="112" t="str">
        <f t="shared" si="475"/>
        <v>x</v>
      </c>
      <c r="FQ105" s="112" t="str">
        <f t="shared" si="476"/>
        <v>x</v>
      </c>
      <c r="FR105" s="112" t="str">
        <f t="shared" si="477"/>
        <v>x</v>
      </c>
      <c r="FS105" s="112" t="str">
        <f t="shared" si="478"/>
        <v>x</v>
      </c>
      <c r="FT105" s="112" t="str">
        <f t="shared" si="479"/>
        <v>x</v>
      </c>
      <c r="FU105" s="112" t="str">
        <f t="shared" si="480"/>
        <v>x</v>
      </c>
      <c r="FV105" s="112" t="str">
        <f t="shared" si="481"/>
        <v>x</v>
      </c>
      <c r="FW105" s="111"/>
      <c r="FX105" s="112"/>
      <c r="FY105" s="112"/>
      <c r="FZ105" s="111"/>
      <c r="GA105" s="111"/>
      <c r="GB105" s="111"/>
      <c r="GC105" s="112" t="str">
        <f t="shared" si="482"/>
        <v>x</v>
      </c>
      <c r="GD105" s="111"/>
      <c r="GE105" s="111"/>
      <c r="GF105" s="111"/>
      <c r="GG105" s="112"/>
      <c r="GH105" s="111"/>
      <c r="GI105" s="111"/>
      <c r="GJ105" s="112" t="str">
        <f t="shared" si="483"/>
        <v>x</v>
      </c>
      <c r="GK105" s="111"/>
      <c r="GL105" s="112" t="str">
        <f t="shared" si="484"/>
        <v>x</v>
      </c>
      <c r="GM105" s="111"/>
      <c r="GN105" s="112" t="str">
        <f t="shared" si="485"/>
        <v>x</v>
      </c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2" t="str">
        <f t="shared" si="48"/>
        <v>x</v>
      </c>
      <c r="HC105" s="112" t="str">
        <f t="shared" si="486"/>
        <v>x</v>
      </c>
      <c r="HD105" s="112" t="str">
        <f t="shared" si="487"/>
        <v>x</v>
      </c>
      <c r="HE105" s="112" t="str">
        <f t="shared" si="488"/>
        <v>x</v>
      </c>
      <c r="HF105" s="112" t="str">
        <f t="shared" si="489"/>
        <v>x</v>
      </c>
      <c r="HG105" s="112"/>
      <c r="HH105" s="112" t="str">
        <f t="shared" si="548"/>
        <v>x</v>
      </c>
      <c r="HI105" s="112"/>
      <c r="HJ105" s="112" t="str">
        <f t="shared" si="490"/>
        <v>x</v>
      </c>
      <c r="HK105" s="111"/>
      <c r="HL105" s="112" t="str">
        <f t="shared" si="491"/>
        <v>x</v>
      </c>
      <c r="HM105" s="112" t="str">
        <f t="shared" si="492"/>
        <v>x</v>
      </c>
      <c r="HN105" s="112" t="str">
        <f t="shared" si="493"/>
        <v>x</v>
      </c>
      <c r="HO105" s="112" t="str">
        <f t="shared" si="494"/>
        <v>x</v>
      </c>
      <c r="HP105" s="112" t="str">
        <f t="shared" si="495"/>
        <v>x</v>
      </c>
      <c r="HQ105" s="112" t="str">
        <f t="shared" si="496"/>
        <v>x</v>
      </c>
      <c r="HR105" s="112" t="str">
        <f t="shared" si="497"/>
        <v>x</v>
      </c>
      <c r="HS105" s="112" t="str">
        <f t="shared" si="498"/>
        <v>x</v>
      </c>
      <c r="HT105" s="112"/>
      <c r="HU105" s="112" t="str">
        <f t="shared" si="499"/>
        <v>x</v>
      </c>
      <c r="HV105" s="112"/>
      <c r="HW105" s="112" t="str">
        <f t="shared" si="549"/>
        <v>x</v>
      </c>
      <c r="HX105" s="112" t="str">
        <f t="shared" si="500"/>
        <v>x</v>
      </c>
      <c r="HY105" s="112" t="str">
        <f t="shared" si="501"/>
        <v>x</v>
      </c>
      <c r="HZ105" s="112" t="str">
        <f t="shared" si="502"/>
        <v>x</v>
      </c>
      <c r="IA105" s="112"/>
      <c r="IB105" s="112"/>
      <c r="IC105" s="112" t="str">
        <f t="shared" si="550"/>
        <v>x</v>
      </c>
      <c r="ID105" s="112" t="str">
        <f t="shared" si="503"/>
        <v>x</v>
      </c>
      <c r="IE105" s="112"/>
      <c r="IF105" s="112"/>
      <c r="IG105" s="111"/>
      <c r="IH105" s="112" t="str">
        <f t="shared" si="504"/>
        <v>x</v>
      </c>
      <c r="II105" s="112" t="str">
        <f t="shared" si="505"/>
        <v>x</v>
      </c>
      <c r="IJ105" s="112" t="str">
        <f t="shared" si="506"/>
        <v>x</v>
      </c>
      <c r="IK105" s="115" t="str">
        <f t="shared" si="507"/>
        <v>x</v>
      </c>
      <c r="IL105" s="112" t="str">
        <f t="shared" si="508"/>
        <v>x</v>
      </c>
      <c r="IM105" s="112" t="str">
        <f t="shared" si="509"/>
        <v>x</v>
      </c>
      <c r="IN105" s="112"/>
      <c r="IO105" s="112"/>
      <c r="IP105" s="112" t="str">
        <f t="shared" si="510"/>
        <v>x</v>
      </c>
      <c r="IQ105" s="112" t="str">
        <f t="shared" si="511"/>
        <v>x</v>
      </c>
      <c r="IR105" s="111"/>
      <c r="IS105" s="112" t="str">
        <f t="shared" si="512"/>
        <v>x</v>
      </c>
      <c r="IT105" s="111"/>
      <c r="IU105" s="112" t="str">
        <f t="shared" si="513"/>
        <v>x</v>
      </c>
      <c r="IV105" s="112"/>
      <c r="IW105" s="112" t="str">
        <f t="shared" si="514"/>
        <v>x</v>
      </c>
      <c r="IX105" s="112" t="str">
        <f t="shared" si="515"/>
        <v>x</v>
      </c>
      <c r="IY105" s="111"/>
      <c r="IZ105" s="112" t="str">
        <f t="shared" si="516"/>
        <v>x</v>
      </c>
      <c r="JA105" s="111"/>
      <c r="JB105" s="112" t="str">
        <f t="shared" si="517"/>
        <v>x</v>
      </c>
      <c r="JC105" s="111"/>
      <c r="JD105" s="112"/>
      <c r="JE105" s="112"/>
      <c r="JF105" s="112" t="str">
        <f t="shared" si="518"/>
        <v>x</v>
      </c>
      <c r="JG105" s="112" t="str">
        <f t="shared" si="519"/>
        <v>x</v>
      </c>
      <c r="JH105" s="112" t="str">
        <f t="shared" si="520"/>
        <v>x</v>
      </c>
      <c r="JI105" s="112"/>
      <c r="JJ105" s="112" t="str">
        <f t="shared" si="521"/>
        <v>x</v>
      </c>
      <c r="JK105" s="112" t="str">
        <f t="shared" si="551"/>
        <v>x</v>
      </c>
      <c r="JL105" s="112" t="str">
        <f t="shared" si="522"/>
        <v>x</v>
      </c>
      <c r="JM105" s="112"/>
      <c r="JN105" s="112"/>
      <c r="JO105" s="112"/>
      <c r="JP105" s="112"/>
      <c r="JQ105" s="112" t="str">
        <f t="shared" si="523"/>
        <v>x</v>
      </c>
      <c r="JR105" s="112"/>
      <c r="JS105" s="112" t="str">
        <f t="shared" si="524"/>
        <v>x</v>
      </c>
      <c r="JT105" s="111"/>
      <c r="JU105" s="111"/>
      <c r="JV105" s="112"/>
      <c r="JW105" s="112" t="str">
        <f t="shared" si="525"/>
        <v>x</v>
      </c>
      <c r="JX105" s="112"/>
      <c r="JY105" s="112"/>
      <c r="JZ105" s="112"/>
      <c r="KA105" s="112" t="str">
        <f t="shared" si="526"/>
        <v>x</v>
      </c>
      <c r="KB105" s="112" t="str">
        <f t="shared" si="527"/>
        <v>x</v>
      </c>
      <c r="KC105" s="112" t="str">
        <f t="shared" si="528"/>
        <v>x</v>
      </c>
      <c r="KD105" s="112" t="str">
        <f t="shared" si="529"/>
        <v>x</v>
      </c>
      <c r="KE105" s="112" t="str">
        <f t="shared" si="530"/>
        <v>x</v>
      </c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1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1"/>
      <c r="MC105" s="112" t="str">
        <f t="shared" si="531"/>
        <v>x</v>
      </c>
      <c r="MD105" s="112"/>
      <c r="ME105" s="112" t="str">
        <f t="shared" si="532"/>
        <v>x</v>
      </c>
      <c r="MF105" s="112" t="str">
        <f t="shared" si="533"/>
        <v>x</v>
      </c>
      <c r="MG105" s="112" t="str">
        <f t="shared" si="552"/>
        <v>x</v>
      </c>
      <c r="MH105" s="112" t="str">
        <f t="shared" si="534"/>
        <v>x</v>
      </c>
    </row>
    <row r="106" spans="1:346" x14ac:dyDescent="0.25">
      <c r="A106" s="101" t="s">
        <v>17</v>
      </c>
      <c r="B106" s="102"/>
      <c r="C106" s="102"/>
      <c r="D106" s="102"/>
      <c r="E106" s="102"/>
      <c r="F106" s="102"/>
      <c r="G106" s="102"/>
      <c r="H106" s="102"/>
      <c r="I106" s="102"/>
      <c r="J106" s="103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6"/>
      <c r="AV106" s="106"/>
      <c r="AW106" s="106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9"/>
      <c r="EP106" s="109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5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4"/>
      <c r="JJ106" s="104"/>
      <c r="JK106" s="104"/>
      <c r="JL106" s="104"/>
      <c r="JM106" s="104"/>
      <c r="JN106" s="104"/>
      <c r="JO106" s="104"/>
      <c r="JP106" s="104"/>
      <c r="JQ106" s="104"/>
      <c r="JR106" s="104"/>
      <c r="JS106" s="104"/>
      <c r="JT106" s="104"/>
      <c r="JU106" s="104"/>
      <c r="JV106" s="104"/>
      <c r="JW106" s="104"/>
      <c r="JX106" s="104"/>
      <c r="JY106" s="104"/>
      <c r="JZ106" s="104"/>
      <c r="KA106" s="104"/>
      <c r="KB106" s="104"/>
      <c r="KC106" s="104"/>
      <c r="KD106" s="104"/>
      <c r="KE106" s="104"/>
      <c r="KF106" s="104"/>
      <c r="KG106" s="104"/>
      <c r="KH106" s="104"/>
      <c r="KI106" s="104"/>
      <c r="KJ106" s="104"/>
      <c r="KK106" s="104"/>
      <c r="KL106" s="104"/>
      <c r="KM106" s="104"/>
      <c r="KN106" s="104"/>
      <c r="KO106" s="104"/>
      <c r="KP106" s="104"/>
      <c r="KQ106" s="104"/>
      <c r="KR106" s="104"/>
      <c r="KS106" s="104"/>
      <c r="KT106" s="104"/>
      <c r="KU106" s="104"/>
      <c r="KV106" s="104"/>
      <c r="KW106" s="104"/>
      <c r="KX106" s="104"/>
      <c r="KY106" s="104"/>
      <c r="KZ106" s="104"/>
      <c r="LA106" s="104"/>
      <c r="LB106" s="104"/>
      <c r="LC106" s="104"/>
      <c r="LD106" s="104"/>
      <c r="LE106" s="104"/>
      <c r="LF106" s="104"/>
      <c r="LG106" s="104"/>
      <c r="LH106" s="104"/>
      <c r="LI106" s="104"/>
      <c r="LJ106" s="104"/>
      <c r="LK106" s="104"/>
      <c r="LL106" s="104"/>
      <c r="LM106" s="104"/>
      <c r="LN106" s="104"/>
      <c r="LO106" s="104"/>
      <c r="LP106" s="104"/>
      <c r="LQ106" s="104"/>
      <c r="LR106" s="104"/>
      <c r="LS106" s="104"/>
      <c r="LT106" s="104"/>
      <c r="LU106" s="104"/>
      <c r="LV106" s="104"/>
      <c r="LW106" s="104"/>
      <c r="LX106" s="104"/>
      <c r="LY106" s="104"/>
      <c r="LZ106" s="104"/>
      <c r="MA106" s="104"/>
      <c r="MB106" s="104"/>
      <c r="MC106" s="104"/>
      <c r="MD106" s="104"/>
      <c r="ME106" s="104"/>
      <c r="MF106" s="104"/>
      <c r="MG106" s="104"/>
      <c r="MH106" s="104"/>
    </row>
    <row r="107" spans="1:346" x14ac:dyDescent="0.25">
      <c r="A107" s="110" t="s">
        <v>17</v>
      </c>
      <c r="B107" s="101" t="s">
        <v>74</v>
      </c>
      <c r="C107" s="102"/>
      <c r="D107" s="102"/>
      <c r="E107" s="102"/>
      <c r="F107" s="102"/>
      <c r="G107" s="102"/>
      <c r="H107" s="102"/>
      <c r="I107" s="102"/>
      <c r="J107" s="103"/>
      <c r="K107" s="111"/>
      <c r="L107" s="111"/>
      <c r="M107" s="112" t="str">
        <f>HYPERLINK("http://www.ag-fluechtlingshilfe-wetterau.de/uploads/infos/170.pdf","x")</f>
        <v>x</v>
      </c>
      <c r="N107" s="112"/>
      <c r="O107" s="112" t="str">
        <f>HYPERLINK("https://willkommensteamelmshorn.files.wordpress.com/2015/11/sortieranleitung_pinneberg_2015_farsi.pd","x")</f>
        <v>x</v>
      </c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 t="str">
        <f>HYPERLINK("http://asyl-in-moenchengladbach.de/wp-content/uploads/2015/11/100711-Flyer_farsi.pdf","x")</f>
        <v>x</v>
      </c>
      <c r="AG107" s="112" t="str">
        <f>HYPERLINK("http://sghanstedt.elbnetz.com/ueber-uns/","x")</f>
        <v>x</v>
      </c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3"/>
      <c r="AV107" s="114" t="str">
        <f>HYPERLINK("http://sab.landtag.sachsen.de/dokumente/landtagskurier/SAB_DeutschLernen_DinA5_WEB141115.pdf","x")</f>
        <v>x</v>
      </c>
      <c r="AW107" s="114" t="str">
        <f>HYPERLINK("http://sab.landtag.sachsen.de/dokumente/landtagskurier/SAB_PL_Lernposter_WEB091115.pdf","x")</f>
        <v>x</v>
      </c>
      <c r="AX107" s="112" t="str">
        <f>HYPERLINK("http://fi-lohmar-siegburg.de/data/documents/Findefix_farsi-Bildwoerterbuch.pdf","x")</f>
        <v>x</v>
      </c>
      <c r="AY107" s="111"/>
      <c r="AZ10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07" s="112" t="str">
        <f>HYPERLINK("http://wie-kann-ich-helfen.info/WoerterbuchAnalphabet_innen_%28c%29_Dagmar_Schmeelcke.pdf","x")</f>
        <v>x</v>
      </c>
      <c r="BB107" s="112" t="str">
        <f>HYPERLINK("http://www.tobiidynavox.com/wp-content/uploads/2015/09/Tobii-Dynavox-Kommunikationstafel-farsi-deutsch.pdf","x")</f>
        <v>x</v>
      </c>
      <c r="BC107" s="111"/>
      <c r="BD107" s="111"/>
      <c r="BE107" s="111"/>
      <c r="BF107" s="111"/>
      <c r="BG107" s="111"/>
      <c r="BH107" s="112" t="str">
        <f>HYPERLINK("https://www.advanced-online.eu/downloads/RefugeePhrasebookCards_German-Farsi.pdf","x")</f>
        <v>x</v>
      </c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2" t="str">
        <f>HYPERLINK("http://www.goethe.de/lrn/prj/wnd/deu/lti/deindex.htm#13322010","x")</f>
        <v>x</v>
      </c>
      <c r="BS107" s="112"/>
      <c r="BT107" s="111"/>
      <c r="BU107" s="112" t="str">
        <f>HYPERLINK("https://s3-eu-west-1.amazonaws.com/lingolia/download/lingolia_daf.pdf","x")</f>
        <v>x</v>
      </c>
      <c r="BV107" s="112" t="str">
        <f>HYPERLINK("http://www.welcomegrooves.de/wp-content/uploads/2015/10/welcomegrooves_DE-FARSI.pdf","x")</f>
        <v>x</v>
      </c>
      <c r="BW107" s="112" t="str">
        <f>HYPERLINK("http://www.almanibefarsi.com/","x")</f>
        <v>x</v>
      </c>
      <c r="BX107" s="112"/>
      <c r="BY107" s="112"/>
      <c r="BZ107" s="112" t="str">
        <f>HYPERLINK("http://www.hueber.de/shared/uebungen/schritte-plus","x")</f>
        <v>x</v>
      </c>
      <c r="CA107" s="112" t="str">
        <f>HYPERLINK("https://www.hueber.de/shared/uebungen/menschen-hier/ab/a1-1/menu.html","x")</f>
        <v>x</v>
      </c>
      <c r="CB107" s="112" t="str">
        <f>HYPERLINK("http://www.goethe-verlag.com/DE/","x")</f>
        <v>x</v>
      </c>
      <c r="CC107" s="112"/>
      <c r="CD107" s="112"/>
      <c r="CE107" s="111"/>
      <c r="CF107" s="111"/>
      <c r="CG107" s="111"/>
      <c r="CH107" s="111"/>
      <c r="CI107" s="111"/>
      <c r="CJ107" s="112" t="str">
        <f>HYPERLINK("http://www.e-migrantinnen.de/index.php?de_wichtige-links","x")</f>
        <v>x</v>
      </c>
      <c r="CK107" s="112"/>
      <c r="CL107" s="112"/>
      <c r="CM107" s="112"/>
      <c r="CN107" s="112"/>
      <c r="CO107" s="112" t="str">
        <f>HYPERLINK("http://www.schwanger-und-viele-fragen.de/fa/","x")</f>
        <v>x</v>
      </c>
      <c r="CP107" s="112"/>
      <c r="CQ107" s="112"/>
      <c r="CR107" s="112"/>
      <c r="CS107" s="111"/>
      <c r="CT107" s="111"/>
      <c r="CU107" s="111"/>
      <c r="CV107" s="111"/>
      <c r="CW107" s="111"/>
      <c r="CX107" s="111"/>
      <c r="CY107" s="112"/>
      <c r="CZ107" s="112"/>
      <c r="DA107" s="112"/>
      <c r="DB107" s="115"/>
      <c r="DC107" s="112"/>
      <c r="DD107" s="112"/>
      <c r="DE107" s="112" t="str">
        <f>HYPERLINK("http://fi-lohmar-siegburg.de/data/documents/130-37_Inklusion_im_Anfangsunterricht_-_Poster_mit_Situationsbildern.pdf","x")</f>
        <v>x</v>
      </c>
      <c r="DF107" s="115" t="str">
        <f>HYPERLINK("http://s3-eu-west-1.amazonaws.com/lingolia/calendar/2016/lingolia_2016_de.pdf","x")</f>
        <v>x</v>
      </c>
      <c r="DG107" s="112" t="str">
        <f>HYPERLINK("http://www.bibliomedia.ch/de/angebote/img/Wimmelbild.jpg","x")</f>
        <v>x</v>
      </c>
      <c r="DH107" s="112" t="str">
        <f>HYPERLINK("http://www.bibliomedia.ch/de/angebote/dokumente/Wimmelbild_Fehler.jpg","x")</f>
        <v>x</v>
      </c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2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7" t="str">
        <f>HYPERLINK("http://www.medi-bild.de/pdf/anamnese/Welche_Sprache.pdf","x")</f>
        <v>x</v>
      </c>
      <c r="EP107" s="117" t="str">
        <f>HYPERLINK("http://www.medknowledge.de/migration/tipdoc/anamnesebogen/tipdoc_Anamnese_farsi.pdf","x")</f>
        <v>x</v>
      </c>
      <c r="EQ107" s="111"/>
      <c r="ER107" s="111"/>
      <c r="ES107" s="111"/>
      <c r="ET107" s="111"/>
      <c r="EU107" s="112" t="str">
        <f t="shared" ref="EU107:EU108" si="553">HYPERLINK("http://www.adler-apotheke-hh.de/fileadmin/user_upload/PDF-Dateien/Dosierzettel_mehrsprachig_AUF_0_.pdf","x")</f>
        <v>x</v>
      </c>
      <c r="EV107" s="112" t="str">
        <f t="shared" ref="EV107:EV108" si="554">HYPERLINK("http://www.lak-rlp.de/fileadmin/redakteure/pdf/download/Piktogramme_Dosieretiketten_AoG.pdf","x")</f>
        <v>x</v>
      </c>
      <c r="EW107" s="111"/>
      <c r="EX107" s="111"/>
      <c r="EY107" s="111"/>
      <c r="EZ107" s="111"/>
      <c r="FA107" s="111"/>
      <c r="FB107" s="111"/>
      <c r="FC107" s="112" t="str">
        <f>HYPERLINK("http://mige.ix-tech.de/index.php?id=241","x")</f>
        <v>x</v>
      </c>
      <c r="FD107" s="112" t="str">
        <f>HYPERLINK("http://sghanstedt.elbnetz.com/ueber-uns/","x")</f>
        <v>x</v>
      </c>
      <c r="FE107" s="112" t="str">
        <f>HYPERLINK("http://www.fuhlenhagen.com/pdf_dateien/uebertzungshilfe_aerzte_mehrsprachig.pdf","x")</f>
        <v>x</v>
      </c>
      <c r="FF107" s="112" t="str">
        <f>HYPERLINK("http://www.tipdoc.de/grafik/asyl/Gesundheitsheft_Asyl.pdf","x")</f>
        <v>x</v>
      </c>
      <c r="FG107" s="111"/>
      <c r="FH107" s="111"/>
      <c r="FI107" s="111"/>
      <c r="FJ107" s="112" t="str">
        <f>HYPERLINK("http://www.rki.de/DE/Content/Infekt/Impfen/Materialien/Downloads-Impfkalender/Impfkalender_Farsi.pdf?__blob=publicationFile","x")</f>
        <v>x</v>
      </c>
      <c r="FK107" s="111"/>
      <c r="FL107" s="111"/>
      <c r="FM107" s="111"/>
      <c r="FN107" s="111"/>
      <c r="FO107" s="112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2" t="str">
        <f>HYPERLINK("http://www.tipdoc.de/grafik/pdf/kopflaeuse/Kopflaeuse_FARSI.pdf","x")</f>
        <v>x</v>
      </c>
      <c r="GP107" s="112"/>
      <c r="GQ107" s="112" t="str">
        <f>HYPERLINK("http://www.tipdoc.com/bus/pdf/kraetze/tipdoc_Scabies_FARSI.pdf","x")</f>
        <v>x</v>
      </c>
      <c r="GR107" s="112" t="str">
        <f>HYPERLINK("http://www.tipdoc.com/bus/pdf/MagenDarmHaende/MagenDarmHaende_FARSI.pdf","x")</f>
        <v>x</v>
      </c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2" t="str">
        <f t="shared" si="48"/>
        <v>x</v>
      </c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2" t="str">
        <f>HYPERLINK("http://www.selfhelpfortrauma.org/","x")</f>
        <v>x</v>
      </c>
      <c r="HY107" s="112" t="str">
        <f>HYPERLINK("http://peacefulheart.se/wp-content/uploads/2014/12/Resolving-Yesterday-20141201-Self-Tapping.pdf","x")</f>
        <v>x</v>
      </c>
      <c r="HZ107" s="111"/>
      <c r="IA107" s="111"/>
      <c r="IB107" s="111"/>
      <c r="IC107" s="112" t="str">
        <f>HYPERLINK("http://www.susannestein.de/VIA-online/assets/trauma-bilderbuch-farsi.pdf","x")</f>
        <v>x</v>
      </c>
      <c r="ID107" s="111"/>
      <c r="IE107" s="111"/>
      <c r="IF107" s="111"/>
      <c r="IG107" s="111"/>
      <c r="IH107" s="111"/>
      <c r="II107" s="111"/>
      <c r="IJ107" s="111"/>
      <c r="IK107" s="112" t="str">
        <f>HYPERLINK("http://www.bamf.de/SharedDocs/Anlagen/DE/Publikationen/Flyer/flyer-erstorientierung-asylsuchende_farsi.pdf?__blob=publicationFile","x")</f>
        <v>x</v>
      </c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  <c r="IY107" s="111"/>
      <c r="IZ107" s="112" t="str">
        <f>HYPERLINK("http://fluechtlingsrat-bw.de/informationen-fuer-fluechtlinge.html","x")</f>
        <v>x</v>
      </c>
      <c r="JA107" s="111"/>
      <c r="JB107" s="111"/>
      <c r="JC107" s="111"/>
      <c r="JD107" s="111"/>
      <c r="JE107" s="111"/>
      <c r="JF107" s="111"/>
      <c r="JG107" s="111"/>
      <c r="JH107" s="111"/>
      <c r="JI107" s="112"/>
      <c r="JJ107" s="112" t="str">
        <f>HYPERLINK("https://www.arbeitsagentur.de/web/wcm/idc/groups/public/documents/webdatei/mdaw/mjkw/~edisp/l6019022dstbai800463.pdf?_ba.sid=L6019022DSTBAI800470","x")</f>
        <v>x</v>
      </c>
      <c r="JK107" s="111"/>
      <c r="JL107" s="111"/>
      <c r="JM107" s="111"/>
      <c r="JN107" s="111"/>
      <c r="JO107" s="111"/>
      <c r="JP107" s="111"/>
      <c r="JQ107" s="111"/>
      <c r="JR107" s="111"/>
      <c r="JS107" s="111"/>
      <c r="JT107" s="111"/>
      <c r="JU107" s="111"/>
      <c r="JV107" s="111"/>
      <c r="JW107" s="111"/>
      <c r="JX107" s="111"/>
      <c r="JY107" s="111"/>
      <c r="JZ107" s="111"/>
      <c r="KA107" s="111"/>
      <c r="KB107" s="111"/>
      <c r="KC107" s="112" t="str">
        <f t="shared" ref="KC107:KC108" si="555">HYPERLINK("http://www.wedel.de/fileadmin/user_upload/media/pdf/Rathaus_und_Politik/20160118_PM_Broschuere.pdf","x")</f>
        <v>x</v>
      </c>
      <c r="KD107" s="112" t="str">
        <f t="shared" ref="KD107:KD108" si="556">HYPERLINK("http://www.frauenrechte.de/online/images/downloads/allgemein/TDF_Flyer_Women_Men.pdf","x")</f>
        <v>x</v>
      </c>
      <c r="KE107" s="112" t="str">
        <f>HYPERLINK("http://sab.landtag.sachsen.de/dokumente/landtagskurier/Grundwerte-A5-international_web_08012016.pdf","x")</f>
        <v>x</v>
      </c>
      <c r="KF107" s="111"/>
      <c r="KG107" s="111"/>
      <c r="KH107" s="111"/>
      <c r="KI107" s="111"/>
      <c r="KJ107" s="111"/>
      <c r="KK107" s="111"/>
      <c r="KL107" s="111"/>
      <c r="KM107" s="111"/>
      <c r="KN107" s="111"/>
      <c r="KO107" s="111"/>
      <c r="KP107" s="111"/>
      <c r="KQ107" s="111"/>
      <c r="KR107" s="111"/>
      <c r="KS107" s="111"/>
      <c r="KT107" s="111"/>
      <c r="KU107" s="111"/>
      <c r="KV107" s="111"/>
      <c r="KW107" s="111"/>
      <c r="KX107" s="111"/>
      <c r="KY107" s="111"/>
      <c r="KZ107" s="111"/>
      <c r="LA107" s="111"/>
      <c r="LB107" s="111"/>
      <c r="LC107" s="111"/>
      <c r="LD107" s="111"/>
      <c r="LE107" s="111"/>
      <c r="LF107" s="112"/>
      <c r="LG107" s="111"/>
      <c r="LH107" s="111"/>
      <c r="LI107" s="111"/>
      <c r="LJ107" s="111"/>
      <c r="LK107" s="111"/>
      <c r="LL107" s="111"/>
      <c r="LM107" s="111"/>
      <c r="LN107" s="111"/>
      <c r="LO107" s="111"/>
      <c r="LP107" s="111"/>
      <c r="LQ107" s="111"/>
      <c r="LR107" s="111"/>
      <c r="LS107" s="112"/>
      <c r="LT107" s="111"/>
      <c r="LU107" s="111"/>
      <c r="LV107" s="111"/>
      <c r="LW107" s="111"/>
      <c r="LX107" s="111"/>
      <c r="LY107" s="111"/>
      <c r="LZ107" s="111"/>
      <c r="MA107" s="111"/>
      <c r="MB107" s="111"/>
      <c r="MC107" s="111"/>
      <c r="MD107" s="111"/>
      <c r="ME107" s="112" t="str">
        <f t="shared" ref="ME107:ME108" si="557">HYPERLINK("http://www.gdv.de/wp-content/uploads/2016/01/Information_Brandschutz_Fluechtlingsheim_-Sicherheit_mehrsprachig.pdf","x")</f>
        <v>x</v>
      </c>
      <c r="MF107" s="112" t="str">
        <f t="shared" ref="MF107:MF108" si="558">HYPERLINK("http://www.gdv.de/wp-content/uploads/2016/01/Information_Verhalten-im-Brandfall_mehrsprachig.pdf","x")</f>
        <v>x</v>
      </c>
      <c r="MG107" s="112"/>
      <c r="MH107" s="112" t="str">
        <f t="shared" ref="MH107:MH108" si="559">HYPERLINK("http://www.kindersicherheit.de/pdf/2012_poster_achtunggiftig_8sprachig.pdf","x")</f>
        <v>x</v>
      </c>
    </row>
    <row r="108" spans="1:346" x14ac:dyDescent="0.25">
      <c r="A108" s="110" t="s">
        <v>17</v>
      </c>
      <c r="B108" s="101" t="s">
        <v>50</v>
      </c>
      <c r="C108" s="102"/>
      <c r="D108" s="102"/>
      <c r="E108" s="102"/>
      <c r="F108" s="102"/>
      <c r="G108" s="102"/>
      <c r="H108" s="102"/>
      <c r="I108" s="102"/>
      <c r="J108" s="103"/>
      <c r="K108" s="111"/>
      <c r="L108" s="111"/>
      <c r="M108" s="112" t="str">
        <f>HYPERLINK("http://www.ag-fluechtlingshilfe-wetterau.de/uploads/infos/170.pdf","x")</f>
        <v>x</v>
      </c>
      <c r="N108" s="112"/>
      <c r="O108" s="112" t="str">
        <f>HYPERLINK("https://willkommensteamelmshorn.files.wordpress.com/2015/11/sortieranleitung_pinneberg_2015_farsi.pd","x")</f>
        <v>x</v>
      </c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 t="str">
        <f>HYPERLINK("http://asyl-in-moenchengladbach.de/wp-content/uploads/2015/11/100711-Flyer_farsi.pdf","x")</f>
        <v>x</v>
      </c>
      <c r="AG108" s="112" t="str">
        <f>HYPERLINK("http://sghanstedt.elbnetz.com/ueber-uns/","x")</f>
        <v>x</v>
      </c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3"/>
      <c r="AV108" s="114" t="str">
        <f>HYPERLINK("http://sab.landtag.sachsen.de/dokumente/landtagskurier/SAB_DeutschLernen_DinA5_WEB141115.pdf","x")</f>
        <v>x</v>
      </c>
      <c r="AW108" s="114" t="str">
        <f>HYPERLINK("http://sab.landtag.sachsen.de/dokumente/landtagskurier/SAB_PL_Lernposter_WEB091115.pdf","x")</f>
        <v>x</v>
      </c>
      <c r="AX108" s="112" t="str">
        <f>HYPERLINK("http://fi-lohmar-siegburg.de/data/documents/Findefix_farsi-Bildwoerterbuch.pdf","x")</f>
        <v>x</v>
      </c>
      <c r="AY108" s="111"/>
      <c r="AZ10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08" s="112" t="str">
        <f>HYPERLINK("http://wie-kann-ich-helfen.info/WoerterbuchAnalphabet_innen_%28c%29_Dagmar_Schmeelcke.pdf","x")</f>
        <v>x</v>
      </c>
      <c r="BB108" s="112" t="str">
        <f>HYPERLINK("http://www.tobiidynavox.com/wp-content/uploads/2015/09/Tobii-Dynavox-Kommunikationstafel-farsi-deutsch.pdf","x")</f>
        <v>x</v>
      </c>
      <c r="BC108" s="111"/>
      <c r="BD108" s="111"/>
      <c r="BE108" s="111"/>
      <c r="BF108" s="111"/>
      <c r="BG108" s="111"/>
      <c r="BH108" s="112" t="str">
        <f>HYPERLINK("https://www.advanced-online.eu/downloads/RefugeePhrasebookCards_German-Farsi.pdf","x")</f>
        <v>x</v>
      </c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2" t="str">
        <f>HYPERLINK("http://www.goethe.de/lrn/prj/wnd/deu/lti/deindex.htm#13322010","x")</f>
        <v>x</v>
      </c>
      <c r="BS108" s="112"/>
      <c r="BT108" s="111"/>
      <c r="BU108" s="112" t="str">
        <f>HYPERLINK("https://s3-eu-west-1.amazonaws.com/lingolia/download/lingolia_daf.pdf","x")</f>
        <v>x</v>
      </c>
      <c r="BV108" s="112" t="str">
        <f>HYPERLINK("http://www.welcomegrooves.de/wp-content/uploads/2015/10/welcomegrooves_DE-FARSI.pdf","x")</f>
        <v>x</v>
      </c>
      <c r="BW108" s="112" t="str">
        <f>HYPERLINK("http://www.almanibefarsi.com/","x")</f>
        <v>x</v>
      </c>
      <c r="BX108" s="112"/>
      <c r="BY108" s="112"/>
      <c r="BZ108" s="112" t="str">
        <f>HYPERLINK("http://www.hueber.de/shared/uebungen/schritte-plus","x")</f>
        <v>x</v>
      </c>
      <c r="CA108" s="112" t="str">
        <f>HYPERLINK("https://www.hueber.de/shared/uebungen/menschen-hier/ab/a1-1/menu.html","x")</f>
        <v>x</v>
      </c>
      <c r="CB108" s="112" t="str">
        <f>HYPERLINK("http://www.goethe-verlag.com/DE/","x")</f>
        <v>x</v>
      </c>
      <c r="CC108" s="112"/>
      <c r="CD108" s="112"/>
      <c r="CE108" s="111"/>
      <c r="CF108" s="111"/>
      <c r="CG108" s="111"/>
      <c r="CH108" s="111"/>
      <c r="CI108" s="111"/>
      <c r="CJ108" s="112" t="str">
        <f>HYPERLINK("http://www.e-migrantinnen.de/index.php?de_wichtige-links","x")</f>
        <v>x</v>
      </c>
      <c r="CK108" s="112"/>
      <c r="CL108" s="112"/>
      <c r="CM108" s="112"/>
      <c r="CN108" s="112"/>
      <c r="CO108" s="112" t="str">
        <f>HYPERLINK("http://www.schwanger-und-viele-fragen.de/fa/","x")</f>
        <v>x</v>
      </c>
      <c r="CP108" s="112"/>
      <c r="CQ108" s="112"/>
      <c r="CR108" s="112"/>
      <c r="CS108" s="111"/>
      <c r="CT108" s="111"/>
      <c r="CU108" s="111"/>
      <c r="CV108" s="111"/>
      <c r="CW108" s="111"/>
      <c r="CX108" s="111"/>
      <c r="CY108" s="112"/>
      <c r="CZ108" s="112"/>
      <c r="DA108" s="112"/>
      <c r="DB108" s="115"/>
      <c r="DC108" s="112"/>
      <c r="DD108" s="112"/>
      <c r="DE108" s="112" t="str">
        <f>HYPERLINK("http://fi-lohmar-siegburg.de/data/documents/130-37_Inklusion_im_Anfangsunterricht_-_Poster_mit_Situationsbildern.pdf","x")</f>
        <v>x</v>
      </c>
      <c r="DF108" s="115" t="str">
        <f>HYPERLINK("http://s3-eu-west-1.amazonaws.com/lingolia/calendar/2016/lingolia_2016_de.pdf","x")</f>
        <v>x</v>
      </c>
      <c r="DG108" s="112" t="str">
        <f>HYPERLINK("http://www.bibliomedia.ch/de/angebote/img/Wimmelbild.jpg","x")</f>
        <v>x</v>
      </c>
      <c r="DH108" s="112" t="str">
        <f>HYPERLINK("http://www.bibliomedia.ch/de/angebote/dokumente/Wimmelbild_Fehler.jpg","x")</f>
        <v>x</v>
      </c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2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7" t="str">
        <f>HYPERLINK("http://www.medi-bild.de/pdf/anamnese/Welche_Sprache.pdf","x")</f>
        <v>x</v>
      </c>
      <c r="EP108" s="117" t="str">
        <f>HYPERLINK("http://www.medknowledge.de/migration/tipdoc/anamnesebogen/tipdoc_Anamnese_farsi.pdf","x")</f>
        <v>x</v>
      </c>
      <c r="EQ108" s="111"/>
      <c r="ER108" s="111"/>
      <c r="ES108" s="111"/>
      <c r="ET108" s="111"/>
      <c r="EU108" s="112" t="str">
        <f t="shared" si="553"/>
        <v>x</v>
      </c>
      <c r="EV108" s="112" t="str">
        <f t="shared" si="554"/>
        <v>x</v>
      </c>
      <c r="EW108" s="111"/>
      <c r="EX108" s="111"/>
      <c r="EY108" s="111"/>
      <c r="EZ108" s="111"/>
      <c r="FA108" s="111"/>
      <c r="FB108" s="111"/>
      <c r="FC108" s="112" t="str">
        <f>HYPERLINK("http://mige.ix-tech.de/index.php?id=241","x")</f>
        <v>x</v>
      </c>
      <c r="FD108" s="112" t="str">
        <f>HYPERLINK("http://sghanstedt.elbnetz.com/ueber-uns/","x")</f>
        <v>x</v>
      </c>
      <c r="FE108" s="112" t="str">
        <f>HYPERLINK("http://www.fuhlenhagen.com/pdf_dateien/uebertzungshilfe_aerzte_mehrsprachig.pdf","x")</f>
        <v>x</v>
      </c>
      <c r="FF108" s="112" t="str">
        <f>HYPERLINK("http://www.tipdoc.de/grafik/asyl/Gesundheitsheft_Asyl.pdf","x")</f>
        <v>x</v>
      </c>
      <c r="FG108" s="111"/>
      <c r="FH108" s="111"/>
      <c r="FI108" s="111"/>
      <c r="FJ108" s="112" t="str">
        <f>HYPERLINK("http://www.rki.de/DE/Content/Infekt/Impfen/Materialien/Downloads-Impfkalender/Impfkalender_Farsi.pdf?__blob=publicationFile","x")</f>
        <v>x</v>
      </c>
      <c r="FK108" s="111"/>
      <c r="FL108" s="111"/>
      <c r="FM108" s="111"/>
      <c r="FN108" s="111"/>
      <c r="FO108" s="112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2" t="str">
        <f>HYPERLINK("http://www.tipdoc.de/grafik/pdf/kopflaeuse/Kopflaeuse_FARSI.pdf","x")</f>
        <v>x</v>
      </c>
      <c r="GP108" s="112"/>
      <c r="GQ108" s="112" t="str">
        <f>HYPERLINK("http://www.tipdoc.com/bus/pdf/kraetze/tipdoc_Scabies_FARSI.pdf","x")</f>
        <v>x</v>
      </c>
      <c r="GR108" s="112" t="str">
        <f>HYPERLINK("http://www.tipdoc.com/bus/pdf/MagenDarmHaende/MagenDarmHaende_FARSI.pdf","x")</f>
        <v>x</v>
      </c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2" t="str">
        <f t="shared" si="48"/>
        <v>x</v>
      </c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2" t="str">
        <f>HYPERLINK("http://www.selfhelpfortrauma.org/","x")</f>
        <v>x</v>
      </c>
      <c r="HY108" s="112" t="str">
        <f>HYPERLINK("http://peacefulheart.se/wp-content/uploads/2014/12/Resolving-Yesterday-20141201-Self-Tapping.pdf","x")</f>
        <v>x</v>
      </c>
      <c r="HZ108" s="111"/>
      <c r="IA108" s="111"/>
      <c r="IB108" s="111"/>
      <c r="IC108" s="112" t="str">
        <f>HYPERLINK("http://www.susannestein.de/VIA-online/assets/trauma-bilderbuch-farsi.pdf","x")</f>
        <v>x</v>
      </c>
      <c r="ID108" s="111"/>
      <c r="IE108" s="111"/>
      <c r="IF108" s="111"/>
      <c r="IG108" s="111"/>
      <c r="IH108" s="111"/>
      <c r="II108" s="111"/>
      <c r="IJ108" s="111"/>
      <c r="IK108" s="112" t="str">
        <f>HYPERLINK("http://www.bamf.de/SharedDocs/Anlagen/DE/Publikationen/Flyer/flyer-erstorientierung-asylsuchende_farsi.pdf?__blob=publicationFile","x")</f>
        <v>x</v>
      </c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  <c r="IY108" s="111"/>
      <c r="IZ108" s="112" t="str">
        <f>HYPERLINK("http://fluechtlingsrat-bw.de/informationen-fuer-fluechtlinge.html","x")</f>
        <v>x</v>
      </c>
      <c r="JA108" s="111"/>
      <c r="JB108" s="111"/>
      <c r="JC108" s="111"/>
      <c r="JD108" s="111"/>
      <c r="JE108" s="111"/>
      <c r="JF108" s="111"/>
      <c r="JG108" s="111"/>
      <c r="JH108" s="111"/>
      <c r="JI108" s="112"/>
      <c r="JJ108" s="112" t="str">
        <f>HYPERLINK("https://www.arbeitsagentur.de/web/wcm/idc/groups/public/documents/webdatei/mdaw/mjkw/~edisp/l6019022dstbai800463.pdf?_ba.sid=L6019022DSTBAI800470","x")</f>
        <v>x</v>
      </c>
      <c r="JK108" s="111"/>
      <c r="JL108" s="111"/>
      <c r="JM108" s="111"/>
      <c r="JN108" s="111"/>
      <c r="JO108" s="111"/>
      <c r="JP108" s="111"/>
      <c r="JQ108" s="111"/>
      <c r="JR108" s="111"/>
      <c r="JS108" s="111"/>
      <c r="JT108" s="111"/>
      <c r="JU108" s="111"/>
      <c r="JV108" s="111"/>
      <c r="JW108" s="111"/>
      <c r="JX108" s="111"/>
      <c r="JY108" s="111"/>
      <c r="JZ108" s="111"/>
      <c r="KA108" s="111"/>
      <c r="KB108" s="111"/>
      <c r="KC108" s="112" t="str">
        <f t="shared" si="555"/>
        <v>x</v>
      </c>
      <c r="KD108" s="112" t="str">
        <f t="shared" si="556"/>
        <v>x</v>
      </c>
      <c r="KE108" s="112" t="str">
        <f>HYPERLINK("http://sab.landtag.sachsen.de/dokumente/landtagskurier/Grundwerte-A5-international_web_08012016.pdf","x")</f>
        <v>x</v>
      </c>
      <c r="KF108" s="111"/>
      <c r="KG108" s="111"/>
      <c r="KH108" s="111"/>
      <c r="KI108" s="111"/>
      <c r="KJ108" s="111"/>
      <c r="KK108" s="111"/>
      <c r="KL108" s="111"/>
      <c r="KM108" s="111"/>
      <c r="KN108" s="111"/>
      <c r="KO108" s="111"/>
      <c r="KP108" s="111"/>
      <c r="KQ108" s="111"/>
      <c r="KR108" s="111"/>
      <c r="KS108" s="111"/>
      <c r="KT108" s="111"/>
      <c r="KU108" s="111"/>
      <c r="KV108" s="111"/>
      <c r="KW108" s="111"/>
      <c r="KX108" s="111"/>
      <c r="KY108" s="111"/>
      <c r="KZ108" s="111"/>
      <c r="LA108" s="111"/>
      <c r="LB108" s="111"/>
      <c r="LC108" s="111"/>
      <c r="LD108" s="111"/>
      <c r="LE108" s="111"/>
      <c r="LF108" s="112"/>
      <c r="LG108" s="111"/>
      <c r="LH108" s="111"/>
      <c r="LI108" s="111"/>
      <c r="LJ108" s="111"/>
      <c r="LK108" s="111"/>
      <c r="LL108" s="111"/>
      <c r="LM108" s="111"/>
      <c r="LN108" s="111"/>
      <c r="LO108" s="111"/>
      <c r="LP108" s="111"/>
      <c r="LQ108" s="111"/>
      <c r="LR108" s="111"/>
      <c r="LS108" s="112"/>
      <c r="LT108" s="111"/>
      <c r="LU108" s="111"/>
      <c r="LV108" s="111"/>
      <c r="LW108" s="111"/>
      <c r="LX108" s="111"/>
      <c r="LY108" s="111"/>
      <c r="LZ108" s="111"/>
      <c r="MA108" s="111"/>
      <c r="MB108" s="111"/>
      <c r="MC108" s="111"/>
      <c r="MD108" s="111"/>
      <c r="ME108" s="112" t="str">
        <f t="shared" si="557"/>
        <v>x</v>
      </c>
      <c r="MF108" s="112" t="str">
        <f t="shared" si="558"/>
        <v>x</v>
      </c>
      <c r="MG108" s="112"/>
      <c r="MH108" s="112" t="str">
        <f t="shared" si="559"/>
        <v>x</v>
      </c>
    </row>
    <row r="109" spans="1:346" x14ac:dyDescent="0.25">
      <c r="A109" s="101" t="s">
        <v>5</v>
      </c>
      <c r="B109" s="102"/>
      <c r="C109" s="102"/>
      <c r="D109" s="102"/>
      <c r="E109" s="102"/>
      <c r="F109" s="102"/>
      <c r="G109" s="102"/>
      <c r="H109" s="102"/>
      <c r="I109" s="102"/>
      <c r="J109" s="103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6"/>
      <c r="AV109" s="106"/>
      <c r="AW109" s="106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9"/>
      <c r="EP109" s="109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5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4"/>
      <c r="JK109" s="104"/>
      <c r="JL109" s="104"/>
      <c r="JM109" s="104"/>
      <c r="JN109" s="104"/>
      <c r="JO109" s="104"/>
      <c r="JP109" s="104"/>
      <c r="JQ109" s="104"/>
      <c r="JR109" s="104"/>
      <c r="JS109" s="104"/>
      <c r="JT109" s="104"/>
      <c r="JU109" s="104"/>
      <c r="JV109" s="104"/>
      <c r="JW109" s="104"/>
      <c r="JX109" s="104"/>
      <c r="JY109" s="104"/>
      <c r="JZ109" s="104"/>
      <c r="KA109" s="104"/>
      <c r="KB109" s="104"/>
      <c r="KC109" s="104"/>
      <c r="KD109" s="104"/>
      <c r="KE109" s="104"/>
      <c r="KF109" s="104"/>
      <c r="KG109" s="104"/>
      <c r="KH109" s="104"/>
      <c r="KI109" s="104"/>
      <c r="KJ109" s="104"/>
      <c r="KK109" s="104"/>
      <c r="KL109" s="104"/>
      <c r="KM109" s="104"/>
      <c r="KN109" s="104"/>
      <c r="KO109" s="104"/>
      <c r="KP109" s="104"/>
      <c r="KQ109" s="104"/>
      <c r="KR109" s="104"/>
      <c r="KS109" s="104"/>
      <c r="KT109" s="104"/>
      <c r="KU109" s="104"/>
      <c r="KV109" s="104"/>
      <c r="KW109" s="104"/>
      <c r="KX109" s="104"/>
      <c r="KY109" s="104"/>
      <c r="KZ109" s="104"/>
      <c r="LA109" s="104"/>
      <c r="LB109" s="104"/>
      <c r="LC109" s="104"/>
      <c r="LD109" s="104"/>
      <c r="LE109" s="104"/>
      <c r="LF109" s="104"/>
      <c r="LG109" s="104"/>
      <c r="LH109" s="104"/>
      <c r="LI109" s="104"/>
      <c r="LJ109" s="104"/>
      <c r="LK109" s="104"/>
      <c r="LL109" s="104"/>
      <c r="LM109" s="104"/>
      <c r="LN109" s="104"/>
      <c r="LO109" s="104"/>
      <c r="LP109" s="104"/>
      <c r="LQ109" s="104"/>
      <c r="LR109" s="104"/>
      <c r="LS109" s="104"/>
      <c r="LT109" s="104"/>
      <c r="LU109" s="104"/>
      <c r="LV109" s="104"/>
      <c r="LW109" s="104"/>
      <c r="LX109" s="104"/>
      <c r="LY109" s="104"/>
      <c r="LZ109" s="104"/>
      <c r="MA109" s="104"/>
      <c r="MB109" s="104"/>
      <c r="MC109" s="104"/>
      <c r="MD109" s="104"/>
      <c r="ME109" s="104"/>
      <c r="MF109" s="104"/>
      <c r="MG109" s="104"/>
      <c r="MH109" s="104"/>
    </row>
    <row r="110" spans="1:346" x14ac:dyDescent="0.25">
      <c r="A110" s="110" t="s">
        <v>5</v>
      </c>
      <c r="B110" s="101" t="s">
        <v>398</v>
      </c>
      <c r="C110" s="102"/>
      <c r="D110" s="102"/>
      <c r="E110" s="102"/>
      <c r="F110" s="102"/>
      <c r="G110" s="102"/>
      <c r="H110" s="102"/>
      <c r="I110" s="102"/>
      <c r="J110" s="103"/>
      <c r="K110" s="111"/>
      <c r="L110" s="111"/>
      <c r="M110" s="111"/>
      <c r="N110" s="111"/>
      <c r="O110" s="112" t="str">
        <f>HYPERLINK("http://www.awb-ahrweiler.de/admin/data/ddownload/Abfall%20Sonderhinweise-Franzoesisch%202015.pdf","x")</f>
        <v>x</v>
      </c>
      <c r="P110" s="111"/>
      <c r="Q110" s="111"/>
      <c r="R110" s="111"/>
      <c r="S110" s="111"/>
      <c r="T110" s="112" t="str">
        <f t="shared" ref="T110:T126" si="560">HYPERLINK("http://www.ag-fluechtlingshilfe-wetterau.de/uploads/infos/191.pdf","x")</f>
        <v>x</v>
      </c>
      <c r="U110" s="112"/>
      <c r="V110" s="112"/>
      <c r="W110" s="111"/>
      <c r="X110" s="112"/>
      <c r="Y110" s="112"/>
      <c r="Z110" s="112"/>
      <c r="AA110" s="112"/>
      <c r="AB110" s="112"/>
      <c r="AC110" s="112" t="str">
        <f t="shared" ref="AC110:AC126" si="561">HYPERLINK("http://www.rundfunkbeitrag.de/e175/e1632/Informationsflyer_Buergerinnen_und_Buerger_franzoesisch.pdf","x")</f>
        <v>x</v>
      </c>
      <c r="AD110" s="112"/>
      <c r="AE110" s="112" t="str">
        <f>HYPERLINK("http://www.kub-berlin.org/formularprojekt/franzoesisch-antraege-und-anlagen-uebersetzungshilfen/","x")</f>
        <v>x</v>
      </c>
      <c r="AF110" s="112" t="str">
        <f t="shared" ref="AF110:AF126" si="562">HYPERLINK("http://asyl-in-moenchengladbach.de/wp-content/uploads/2015/11/100711-Flyer_FR.pdf","x")</f>
        <v>x</v>
      </c>
      <c r="AG110" s="112" t="str">
        <f t="shared" ref="AG110:AG126" si="563">HYPERLINK("http://sghanstedt.elbnetz.com/ueber-uns/","x")</f>
        <v>x</v>
      </c>
      <c r="AH110" s="111"/>
      <c r="AI110" s="111"/>
      <c r="AJ110" s="112" t="str">
        <f t="shared" ref="AJ110:AJ126" si="564">HYPERLINK("https://www.vrsinfo.de/fileadmin/Dateien/downloadcenter/Folder_MobilPassTicket_Refugees01012016.pdf","x")</f>
        <v>x</v>
      </c>
      <c r="AK110" s="112" t="str">
        <f t="shared" ref="AK110:AK126" si="565">HYPERLINK("https://www.vrsinfo.de/fileadmin/Dateien/downloadcenter/Willkommen_im_VRS2016_Druck.pdf","x")</f>
        <v>x</v>
      </c>
      <c r="AL110" s="112"/>
      <c r="AM110" s="112" t="str">
        <f>HYPERLINK("https://www.deutschebahn.com/file/de/2191748/eYdgZpqGpp5sMJ2KMKtg2r8aE4Q/10123812/data/infos_fuer_fluechtlinge.pdf","x")</f>
        <v>x</v>
      </c>
      <c r="AN110" s="112"/>
      <c r="AO110" s="112"/>
      <c r="AP110" s="112"/>
      <c r="AQ110" s="112"/>
      <c r="AR110" s="112"/>
      <c r="AS110" s="112"/>
      <c r="AT110" s="112"/>
      <c r="AU110" s="114" t="str">
        <f t="shared" ref="AU110:AU126" si="566">HYPERLINK("http://www.studentenwerke.de/de/content/illustriertes-wohnheimw%C3%B6rterbuch-1","x")</f>
        <v>x</v>
      </c>
      <c r="AV110" s="114" t="str">
        <f t="shared" ref="AV110:AV126" si="567">HYPERLINK("http://sab.landtag.sachsen.de/dokumente/landtagskurier/SAB_DeutschLernen_DinA5_WEB141115.pdf","x")</f>
        <v>x</v>
      </c>
      <c r="AW110" s="114" t="str">
        <f t="shared" ref="AW110:AW126" si="568">HYPERLINK("http://sab.landtag.sachsen.de/dokumente/landtagskurier/SAB_PL_Lernposter_WEB091115.pdf","x")</f>
        <v>x</v>
      </c>
      <c r="AX110" s="111"/>
      <c r="AY110" s="111"/>
      <c r="AZ110" s="112" t="str">
        <f t="shared" ref="AZ110:AZ126" si="5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10" s="112" t="str">
        <f t="shared" ref="BA110:BA126" si="570">HYPERLINK("http://wie-kann-ich-helfen.info/WoerterbuchAnalphabet_innen_%28c%29_Dagmar_Schmeelcke.pdf","x")</f>
        <v>x</v>
      </c>
      <c r="BB110" s="111"/>
      <c r="BC110" s="111"/>
      <c r="BD110" s="111"/>
      <c r="BE110" s="112" t="str">
        <f t="shared" ref="BE110:BE126" si="571">HYPERLINK("http://fi-lohmar-siegburg.de/data/documents/communicationboard-arabic-french.pdf","x")</f>
        <v>x</v>
      </c>
      <c r="BF110" s="111"/>
      <c r="BG110" s="112" t="str">
        <f t="shared" ref="BG110:BG126" si="572">HYPERLINK("http://www.refugeephrasebook.de/pdf/germany150920.pdf","x")</f>
        <v>x</v>
      </c>
      <c r="BH110" s="112" t="str">
        <f>HYPERLINK("https://www.advanced-online.eu/downloads/RefugeePhrasebookCards_German-French.pdf","x")</f>
        <v>x</v>
      </c>
      <c r="BI110" s="112" t="str">
        <f t="shared" ref="BI110:BI126" si="573">HYPERLINK("http://www.klett-sprachen.de/download/8638/W100255_Refugees_Welcome_Wortschatz.pdf","x")</f>
        <v>x</v>
      </c>
      <c r="BJ110" s="111"/>
      <c r="BK110" s="112" t="str">
        <f t="shared" ref="BK110:BK126" si="574">HYPERLINK("http://www.bundessprachenamt.de/deutsch/wir_ueber_uns/nachrichten/2015/20151103/Verständigungshilfe_Französisch_26_11_2015.pdf","x")</f>
        <v>x</v>
      </c>
      <c r="BL110" s="111"/>
      <c r="BM110" s="111"/>
      <c r="BN110" s="111"/>
      <c r="BO110" s="111"/>
      <c r="BP110" s="111"/>
      <c r="BQ110" s="111"/>
      <c r="BR110" s="112" t="str">
        <f t="shared" ref="BR110:BR126" si="575">HYPERLINK("http://www.goethe.de/lrn/prj/wnd/deu/lti/deindex.htm#13322010","x")</f>
        <v>x</v>
      </c>
      <c r="BS110" s="112"/>
      <c r="BT110" s="111"/>
      <c r="BU110" s="112" t="str">
        <f t="shared" ref="BU110:BU126" si="576">HYPERLINK("https://s3-eu-west-1.amazonaws.com/lingolia/download/lingolia_daf.pdf","x")</f>
        <v>x</v>
      </c>
      <c r="BV110" s="112" t="str">
        <f t="shared" ref="BV110:BV126" si="577">HYPERLINK("http://www.welcomegrooves.de/wp-content/uploads/2015/11/welcomegrooves-de-franzoesisch.pdf","x")</f>
        <v>x</v>
      </c>
      <c r="BW110" s="112"/>
      <c r="BX110" s="112"/>
      <c r="BY110" s="112" t="str">
        <f>HYPERLINK("http://fluechtlingshilfe-nettetal.de/ausbildung/video-sprachkurse-deutsch-fuer-fluechtlinge/video-sprachkurs-franzoesisch-deutsch/","x")</f>
        <v>x</v>
      </c>
      <c r="BZ110" s="112" t="str">
        <f t="shared" ref="BZ110:BZ126" si="578">HYPERLINK("http://www.hueber.de/shared/uebungen/schritte-plus","x")</f>
        <v>x</v>
      </c>
      <c r="CA110" s="112" t="str">
        <f t="shared" ref="CA110:CA126" si="579">HYPERLINK("https://www.hueber.de/shared/uebungen/menschen-hier/ab/a1-1/menu.html","x")</f>
        <v>x</v>
      </c>
      <c r="CB110" s="112" t="str">
        <f t="shared" ref="CB110:CB126" si="580">HYPERLINK("http://www.goethe-verlag.com/DE/","x")</f>
        <v>x</v>
      </c>
      <c r="CC110" s="112"/>
      <c r="CD110" s="112"/>
      <c r="CE110" s="111"/>
      <c r="CF110" s="111"/>
      <c r="CG110" s="112" t="str">
        <f>HYPERLINK("http://mifkjf.rlp.de/fileadmin/mifkjf/Frauen/Gewalt_gegen_Frauen/Downloads/Broschueren_Flyer/Flyer_Gewalt_franzoesisch.pdf","x")</f>
        <v>x</v>
      </c>
      <c r="CH110" s="112" t="str">
        <f t="shared" ref="CH110:CH126" si="581">HYPERLINK("https://www.hilfetelefon.de/fileadmin/hilfetelefon_de/Materialien/Flyer/Infoflyer_Hilfetelefon_Gewalt_gegen_Frauen141105_b2.pdf","x")</f>
        <v>x</v>
      </c>
      <c r="CI110" s="112" t="str">
        <f t="shared" ref="CI110:CI126" si="582">HYPERLINK("https://www.hilfetelefon.de/fileadmin/hilfetelefon_de/Materialien/weitere_werbemittel/Klappflyer_Vorder-_und_Rueckseite_opt2.pdf","x")</f>
        <v>x</v>
      </c>
      <c r="CJ110" s="112" t="str">
        <f t="shared" ref="CJ110:CJ126" si="583">HYPERLINK("http://www.e-migrantinnen.de/index.php?de_wichtige-links","x")</f>
        <v>x</v>
      </c>
      <c r="CK110" s="112"/>
      <c r="CL110" s="112"/>
      <c r="CM110" s="112"/>
      <c r="CN110" s="112"/>
      <c r="CO110" s="112" t="str">
        <f>HYPERLINK("http://www.schwanger-und-viele-fragen.de/fr/","x")</f>
        <v>x</v>
      </c>
      <c r="CP110" s="112"/>
      <c r="CQ110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R110" s="112" t="str">
        <f t="shared" ref="CR110:CR126" si="584">HYPERLINK("http://en.beststart.org/for_parents/are-you-looking-resources-languages-other-english-and-french","x")</f>
        <v>x</v>
      </c>
      <c r="CS110" s="112"/>
      <c r="CT110" s="112" t="str">
        <f>HYPERLINK("http://www.profamilia.de/fileadmin/publikationen/Erwachsene/mehrsprachig/Bro_Verhuetung_frz_141002.pdf","x")</f>
        <v>x</v>
      </c>
      <c r="CU110" s="112"/>
      <c r="CV110" s="112"/>
      <c r="CW110" s="112"/>
      <c r="CX110" s="112" t="str">
        <f t="shared" ref="CX110:CX126" si="585">HYPERLINK("http://www.caritas-schwarzwald-alb-donau.de/68854.html","x")</f>
        <v>x</v>
      </c>
      <c r="CY110" s="112"/>
      <c r="CZ110" s="112"/>
      <c r="DA110" s="112"/>
      <c r="DB110" s="115" t="str">
        <f>HYPERLINK("http://www.kindersicherheit.de/pdf/2013_BAG_Tomi_and_Mila_Deutsch_Francais.pdf","x")</f>
        <v>x</v>
      </c>
      <c r="DC110" s="112"/>
      <c r="DD110" s="112"/>
      <c r="DE110" s="112" t="str">
        <f t="shared" ref="DE110:DE126" si="586">HYPERLINK("http://fi-lohmar-siegburg.de/data/documents/130-37_Inklusion_im_Anfangsunterricht_-_Poster_mit_Situationsbildern.pdf","x")</f>
        <v>x</v>
      </c>
      <c r="DF110" s="115" t="str">
        <f t="shared" ref="DF110:DF126" si="587">HYPERLINK("http://s3-eu-west-1.amazonaws.com/lingolia/calendar/2016/lingolia_2016_de.pdf","x")</f>
        <v>x</v>
      </c>
      <c r="DG110" s="112" t="str">
        <f t="shared" ref="DG110:DG126" si="588">HYPERLINK("http://www.bibliomedia.ch/de/angebote/img/Wimmelbild.jpg","x")</f>
        <v>x</v>
      </c>
      <c r="DH110" s="112" t="str">
        <f t="shared" ref="DH110:DH126" si="589">HYPERLINK("http://www.bibliomedia.ch/de/angebote/dokumente/Wimmelbild_Fehler.jpg","x")</f>
        <v>x</v>
      </c>
      <c r="DI110" s="112"/>
      <c r="DJ110" s="112"/>
      <c r="DK110" s="112"/>
      <c r="DL110" s="112"/>
      <c r="DM110" s="112"/>
      <c r="DN110" s="112"/>
      <c r="DO110" s="111"/>
      <c r="DP110" s="111"/>
      <c r="DQ110" s="112" t="str">
        <f t="shared" ref="DQ110:DQ126" si="590">HYPERLINK("https://broschueren.nordrheinwestfalendirekt.de/broschuerenservice/msw/fr-das-schulsystem-in-nordrhein-westfalen-einfach-und-schnell-erklaert/1903","x")</f>
        <v>x</v>
      </c>
      <c r="DR110" s="112" t="str">
        <f>HYPERLINK("http://bildung.koeln.de/materialbibliothek/download.php?idx=6f75d59e17e7868506c0a48e6f7a44f2","x")</f>
        <v>x</v>
      </c>
      <c r="DS110" s="112" t="str">
        <f>HYPERLINK("http://bildung.koeln.de/materialbibliothek/download.php?idx=bde72be3f1bc4c51a4b0bcfe4a4187c4","x")</f>
        <v>x</v>
      </c>
      <c r="DT110" s="112"/>
      <c r="DU110" s="112" t="str">
        <f t="shared" ref="DU110:DU126" si="591">HYPERLINK("https://www.bmbf.de/pub/KAUSA_Elternratgeber_deutsch_franzoesisch.pdf","x")</f>
        <v>x</v>
      </c>
      <c r="DV110" s="111"/>
      <c r="DW110" s="112" t="str">
        <f>HYPERLINK("http://www.wissenschaft.nrw.de/studium/informieren/informationen-fuer-fluechtlinge-die-in-nrw-studieren-moechten/","x")</f>
        <v>x</v>
      </c>
      <c r="DX110" s="111"/>
      <c r="DY110" s="112" t="str">
        <f t="shared" ref="DY110:DY126" si="592">HYPERLINK("http://www.bamf.de/SharedDocs/Anlagen/DE/Publikationen/Flyer/AnerkennungBerufsabschluss/anerkennung-berufsabschluss_fr.pdf?__blob=publicationFile","x")</f>
        <v>x</v>
      </c>
      <c r="DZ110" s="112" t="str">
        <f t="shared" ref="DZ110:DZ126" si="593">HYPERLINK("http://www.bamf.de/SharedDocs/Anlagen/DE/Publikationen/Flyer/AnerkennungBerufsabschluss/anerkennung-berufsabschluss_ausland_fr.pdf?__blob=publicationFile","x")</f>
        <v>x</v>
      </c>
      <c r="EA110" s="112" t="str">
        <f t="shared" ref="EA110:EA126" si="594">HYPERLINK("http://www.bamf.de/SharedDocs/Anlagen/DE/Publikationen/Broschueren/willkommen-in-deutschland-info-blaue-karte-eu_fr.pdf?__blob=publicationFile","x")</f>
        <v>x</v>
      </c>
      <c r="EB110" s="112" t="str">
        <f t="shared" ref="EB110:EB126" si="595">HYPERLINK("http://www.bamf.de/SharedDocs/Anlagen/DE/Publikationen/Flyer/Berufsbezsprachf-ESF-BAMF/berufsbezsprachf-esf-bamf_fr.pdf?__blob=publicationFile","x")</f>
        <v>x</v>
      </c>
      <c r="EC110" s="111"/>
      <c r="ED110" s="111"/>
      <c r="EE110" s="111"/>
      <c r="EF110" s="111"/>
      <c r="EG110" s="111"/>
      <c r="EH110" s="111"/>
      <c r="EI110" s="112"/>
      <c r="EJ110" s="112" t="str">
        <f t="shared" ref="EJ110:EJ126" si="596">HYPERLINK("http://fluechtlingsrat-bw.de/files/Dateien/Dokumente/Materialbestellung/2014-12-flyer%20arbeitserlaubnis%20FRZ%20WEB.pdf","x")</f>
        <v>x</v>
      </c>
      <c r="EK110" s="111"/>
      <c r="EL110" s="112" t="str">
        <f t="shared" ref="EL110:EL126" si="597">HYPERLINK("http://www.kvs-sachsen.de/fileadmin/img/Mitglieder/Asylbewerber/Allg-Informationen/Anlage_1_Franzoesisch_LEK.pdf","x")</f>
        <v>x</v>
      </c>
      <c r="EM110" s="112" t="str">
        <f t="shared" ref="EM110:EM126" si="598">HYPERLINK("http://www.medizin-hilft-fluechtlingen.de/images/Dokumente/gSch/gSch_fra.pdf","x")</f>
        <v>x</v>
      </c>
      <c r="EN110" s="112"/>
      <c r="EO110" s="117" t="str">
        <f t="shared" ref="EO110:EO126" si="599">HYPERLINK("http://www.medi-bild.de/pdf/anamnese/Welche_Sprache.pdf","x")</f>
        <v>x</v>
      </c>
      <c r="EP110" s="117" t="str">
        <f t="shared" ref="EP110:EP126" si="600">HYPERLINK("http://www.armut-gesundheit.de/fileadmin/redakteur/dokumente/Anamnesebogen%20-%20franz%C3%B6sischnew.pdf","x")</f>
        <v>x</v>
      </c>
      <c r="EQ110" s="112" t="str">
        <f t="shared" ref="EQ110:EQ126" si="601">HYPERLINK("http://www.kvs-sachsen.de/fileadmin/img/Mitglieder/Asylbewerber/Allg-Informationen/Anlagen_2-1_2-2_Franzoesisch_LEK.pdf","x")</f>
        <v>x</v>
      </c>
      <c r="ER110" s="111"/>
      <c r="ES110" s="111"/>
      <c r="ET110" s="112" t="str">
        <f t="shared" ref="ET110:ET126" si="602">HYPERLINK("http://medizin-hilft-fluechtlingen.de/images/Dokumente/ein/ein_per.pdf","x")</f>
        <v>x</v>
      </c>
      <c r="EU110" s="112" t="str">
        <f t="shared" ref="EU110:EU126" si="603">HYPERLINK("http://www.adler-apotheke-hh.de/fileadmin/user_upload/PDF-Dateien/Dosierzettel_mehrsprachig_AUF_0_.pdf","x")</f>
        <v>x</v>
      </c>
      <c r="EV110" s="112" t="str">
        <f t="shared" ref="EV110:EV126" si="604">HYPERLINK("http://www.lak-rlp.de/fileadmin/redakteure/pdf/download/Piktogramme_Dosieretiketten_AoG.pdf","x")</f>
        <v>x</v>
      </c>
      <c r="EW110" s="112" t="str">
        <f t="shared" ref="EW110:EW126" si="605">HYPERLINK("http://www.rki.de/DE/Content/Infekt/IfSG/Belehrungsbogen/belehrungsbogen_eltern_franzoesisch.pdf?__blob=publicationFile","x")</f>
        <v>x</v>
      </c>
      <c r="EX110" s="111"/>
      <c r="EY110" s="112" t="str">
        <f t="shared" ref="EY110:EY126" si="606">HYPERLINK("https://www.mh-hannover.de/fileadmin/mhh/bilder/aktuelles_presse/pressestelle/bilder/Pilzvergif_franzoesisch.pdf","x")</f>
        <v>x</v>
      </c>
      <c r="EZ110" s="112"/>
      <c r="FA110" s="112" t="str">
        <f t="shared" ref="FA110:FA126" si="607">HYPERLINK("http://static.apotheken-umschau.de/media/gp/article_506373/bildwoerterbuch.pdf","x")</f>
        <v>x</v>
      </c>
      <c r="FB110" s="111"/>
      <c r="FC110" s="112" t="str">
        <f t="shared" ref="FC110:FC126" si="608">HYPERLINK("http://mige.ix-tech.de/index.php?id=241","x")</f>
        <v>x</v>
      </c>
      <c r="FD110" s="112" t="str">
        <f t="shared" ref="FD110:FD126" si="609">HYPERLINK("http://sghanstedt.elbnetz.com/ueber-uns/","x")</f>
        <v>x</v>
      </c>
      <c r="FE110" s="111"/>
      <c r="FF110" s="112" t="str">
        <f t="shared" ref="FF110:FF126" si="610">HYPERLINK("http://www.tipdoc.de/grafik/asyl/Gesundheitsheft_Asyl.pdf","x")</f>
        <v>x</v>
      </c>
      <c r="FG110" s="111"/>
      <c r="FH110" s="111"/>
      <c r="FI110" s="112"/>
      <c r="FJ110" s="112" t="str">
        <f t="shared" ref="FJ110:FJ126" si="611">HYPERLINK("http://www.rki.de/DE/Content/Infekt/Impfen/Materialien/Downloads-Impfkalender/Impfkalender_Franzoesisch.pdf?__blob=publicationFile","x")</f>
        <v>x</v>
      </c>
      <c r="FK110" s="112" t="str">
        <f t="shared" ref="FK110:FK126" si="612">HYPERLINK("http://www.ethno-medizinisches-zentrum.de/images/PDF-Files/impfwegweiser_franzosisch_2013_online.pdf","x")</f>
        <v>x</v>
      </c>
      <c r="FL110" s="112"/>
      <c r="FM110" s="112" t="str">
        <f t="shared" ref="FM110:FM126" si="613">HYPERLINK("http://www.rki.de/DE/Content/Infekt/Impfen/Materialien/Glossar-Downloads/glossar-de-franzoesisch.pdf?__blob=publicationFile","x")</f>
        <v>x</v>
      </c>
      <c r="FN110" s="112" t="str">
        <f>HYPERLINK("http://www.euro.who.int/__data/assets/pdf_file/0012/162300/VPD-Signs,-symptoms-and-complications-FRE.pdf","x")</f>
        <v>x</v>
      </c>
      <c r="FO110" s="112" t="str">
        <f t="shared" ref="FO110:FO126" si="614">HYPERLINK("http://www.rki.de/DE/Content/Infekt/Impfen/Materialien/Downloads-MMR/MMR-Impfinfo-franzoesisch.pdf?__blob=publicationFile","x")</f>
        <v>x</v>
      </c>
      <c r="FP110" s="112" t="str">
        <f t="shared" ref="FP110:FP126" si="615">HYPERLINK("http://www.rki.de/DE/Content/InfAZ/P/Polio/Ausbruch_Syrien/Informationsblatt_Polio_Franzoesisch.pdf?__blob=publicationFile","x")</f>
        <v>x</v>
      </c>
      <c r="FQ110" s="112" t="str">
        <f t="shared" ref="FQ110:FQ126" si="616">HYPERLINK("http://www.rki.de/DE/Content/Infekt/Impfen/Materialien/Downloads_HepA/Aufklaerung_HAV-Impfung_Franzoesisch.pdf?__blob=publicationFile","x")</f>
        <v>x</v>
      </c>
      <c r="FR110" s="112" t="str">
        <f t="shared" ref="FR110:FR126" si="617">HYPERLINK("http://www.rki.de/DE/Content/Infekt/Impfen/Materialien/Downloads_Pneumokokken/Aufklaerung_Pneumo-Impfung_Franzoesisch.pdf?__blob=publicationFile","x")</f>
        <v>x</v>
      </c>
      <c r="FS110" s="112" t="str">
        <f t="shared" ref="FS110:FS126" si="618">HYPERLINK("http://www.rki.de/DE/Content/Infekt/Impfen/Materialien/Downloads-DTaPIPVHibHepB/DTaPIPVHibHepB-franzoesisch.pdf?__blob=publicationFile","x")</f>
        <v>x</v>
      </c>
      <c r="FT110" s="112" t="str">
        <f t="shared" ref="FT110:FT126" si="619">HYPERLINK("http://www.rki.de/DE/Content/Infekt/Impfen/Materialien/Downloads-Varizellen/Varizellen-Impfinfo-franzoesisch.pdf;jsessionid=65B697F4EE7EDA8A1ED9E2C4CD6C74EC.2_cid363?__blob=publicationFile","x")</f>
        <v>x</v>
      </c>
      <c r="FU110" s="112" t="str">
        <f t="shared" ref="FU110:FU126" si="620">HYPERLINK("http://www.rki.de/DE/Content/Infekt/Impfen/Materialien/Downloads-Tdap-IPV/Tdap-IPV-franzoesisch.pdf?__blob=publicationFile","x")</f>
        <v>x</v>
      </c>
      <c r="FV110" s="112" t="str">
        <f t="shared" ref="FV110:FV126" si="621">HYPERLINK("http://www.rki.de/DE/Content/Infekt/Impfen/Materialien/Downloads-Influenza_nasal/Influenza_nasal-franzoesisch.pdf?__blob=publicationFile","x")</f>
        <v>x</v>
      </c>
      <c r="FW110" s="111"/>
      <c r="FX110" s="112"/>
      <c r="FY110" s="112"/>
      <c r="FZ110" s="111"/>
      <c r="GA110" s="111"/>
      <c r="GB110" s="111"/>
      <c r="GC110" s="112" t="str">
        <f t="shared" ref="GC110:GC126" si="622">HYPERLINK("http://www.ethno-medizinisches-zentrum.de/images/PDF-Files/lf_diabete_franzosisch.pdf","x")</f>
        <v>x</v>
      </c>
      <c r="GD110" s="111"/>
      <c r="GE110" s="111"/>
      <c r="GF110" s="111"/>
      <c r="GG110" s="112"/>
      <c r="GH110" s="111"/>
      <c r="GI110" s="111"/>
      <c r="GJ110" s="112" t="str">
        <f t="shared" ref="GJ110:GJ126" si="623">HYPERLINK("http://www.tipdoc.de/bus/pdf/hiv/HIV%20SRF_Webseite.pdf","x")</f>
        <v>x</v>
      </c>
      <c r="GK110" s="111"/>
      <c r="GL110" s="112" t="str">
        <f t="shared" ref="GL110:GL126" si="624">HYPERLINK("http://www.rki.de/DE/Content/Infekt/Impfen/Materialien/Downloads-Influenza/Influenza-franzoesisch.pdf?__blob=publicationFile","x")</f>
        <v>x</v>
      </c>
      <c r="GM110" s="111"/>
      <c r="GN110" s="111"/>
      <c r="GO110" s="112" t="str">
        <f t="shared" ref="GO110:GO126" si="625">HYPERLINK("http://www.tipdoc.de/grafik/pdf/kopflaeuse/Kopflaeuse_FRANZ.pdf","x")</f>
        <v>x</v>
      </c>
      <c r="GP110" s="112"/>
      <c r="GQ110" s="112" t="str">
        <f t="shared" ref="GQ110:GQ126" si="626">HYPERLINK("http://www.tipdoc.com/bus/pdf/kraetze/tipdoc_Scabies_FRANZ.pdf","x")</f>
        <v>x</v>
      </c>
      <c r="GR110" s="112" t="str">
        <f t="shared" ref="GR110:GR126" si="627">HYPERLINK("http://www.tipdoc.com/bus/pdf/MagenDarmHaende/MagenDarmHaende_FRANZ.pdf","x")</f>
        <v>x</v>
      </c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2" t="str">
        <f t="shared" ref="HB110:HB223" si="628">HYPERLINK("https://www.zahnaerzte-wl.de/images/_PDF-suche/KZV_ZÄK/piktogrammheft.pdf","x")</f>
        <v>x</v>
      </c>
      <c r="HC110" s="112" t="str">
        <f t="shared" ref="HC110:HC126" si="629">HYPERLINK("https://www.zahnaerzte-wl.de/images/_PDF-suche/KZV_ZÄK/ENDSTAND_Ankreuzbogen_Ich_verstehe.pdf","x")</f>
        <v>x</v>
      </c>
      <c r="HD110" s="112" t="str">
        <f t="shared" ref="HD110:HD126" si="630">HYPERLINK("https://www.zahnaerzte-wl.de/images/_PDF-suche/KZV_ZÄK/Anschreiben_Patienten_franzoesisch.pdf","x")</f>
        <v>x</v>
      </c>
      <c r="HE110" s="112" t="str">
        <f t="shared" ref="HE110:HE126" si="631">HYPERLINK("https://www.zahnaerzte-wl.de/images/_PDF-suche/KZV_ZÄK/Fragebogen_franzoesisch.pdf","x")</f>
        <v>x</v>
      </c>
      <c r="HF110" s="112" t="str">
        <f t="shared" ref="HF110:HF126" si="632">HYPERLINK("https://www.zahnaerzte-wl.de/images/_PDF-suche/KZV_ZÄK/Patientenerhebungsbogen_franzoesisch.pdf","x")</f>
        <v>x</v>
      </c>
      <c r="HG110" s="112"/>
      <c r="HH110" s="112" t="str">
        <f>HYPERLINK("http://www.bvkm.de/fileadmin/web_data/Behinderung_und_Migration_franzoesisch_2014.pdf","x")</f>
        <v>x</v>
      </c>
      <c r="HI110" s="112"/>
      <c r="HJ110" s="112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2" t="str">
        <f t="shared" ref="HX110:HX126" si="633">HYPERLINK("http://www.selfhelpfortrauma.org/","x")</f>
        <v>x</v>
      </c>
      <c r="HY110" s="112" t="str">
        <f t="shared" ref="HY110:HY126" si="634">HYPERLINK("http://peacefulheart.se/wp-content/uploads/2014/12/Resolving-Yesterday-20141201-Self-Tapping.pdf","x")</f>
        <v>x</v>
      </c>
      <c r="HZ110" s="112" t="str">
        <f t="shared" ref="HZ110:HZ126" si="635">HYPERLINK("http://peacefulheart.se/wp-content/uploads/2015/01/Tapping_French_Module-20150102-2.pdf","x")</f>
        <v>x</v>
      </c>
      <c r="IA110" s="111"/>
      <c r="IB110" s="111"/>
      <c r="IC110" s="111"/>
      <c r="ID110" s="111"/>
      <c r="IE110" s="111"/>
      <c r="IF110" s="111"/>
      <c r="IG110" s="111"/>
      <c r="IH110" s="112" t="str">
        <f t="shared" ref="IH110:IH126" si="636">HYPERLINK("http://www.caritas.de/hilfeundberatung/onlineberatung/suchtberatung/haeufiggestelltefragensucht/haeufiggestelltefragen-sucht","x")</f>
        <v>x</v>
      </c>
      <c r="II110" s="111"/>
      <c r="IJ110" s="112" t="str">
        <f t="shared" ref="IJ110:IJ126" si="637">HYPERLINK("http://www.bamf.de/SharedDocs/Anlagen/DE/Publikationen/Flyer/Lassen-Sie-Sich-Beraten/lassen-sie-sich-beraten_fr.pdf?__blob=publicationFile","x")</f>
        <v>x</v>
      </c>
      <c r="IK110" s="112" t="str">
        <f t="shared" ref="IK110:IK126" si="638">HYPERLINK("http://www.bamf.de/SharedDocs/Anlagen/DE/Publikationen/Flyer/flyer-erstorientierung-asylsuchende_franzoesisch.pdf?__blob=publicationFile","x")</f>
        <v>x</v>
      </c>
      <c r="IL110" s="112" t="str">
        <f t="shared" ref="IL110:IL126" si="639">HYPERLINK("http://www.frnrw.de/index.php/inhaltliche-themen/arbeitshilfen/item/3710-erstinfos-fuer-asylsuchende","x")</f>
        <v>x</v>
      </c>
      <c r="IM110" s="112" t="str">
        <f t="shared" ref="IM110:IM126" si="640">HYPERLINK("https://www.bamf.de/SharedDocs/Anlagen/DE/Publikationen/Broschueren/willkommen-in-deutschland_fr.pdf?__blob=publicationFile","x")</f>
        <v>x</v>
      </c>
      <c r="IN110" s="112"/>
      <c r="IO110" s="112"/>
      <c r="IP110" s="112" t="str">
        <f t="shared" ref="IP110:IP126" si="641">HYPERLINK("http://www.bamf.de/SharedDocs/Anlagen/DE/Publikationen/Flyer/Lernen-Sie-Deutsch/lernen-sie-deutsch_fr.pdf?__blob=publicationFile","x")</f>
        <v>x</v>
      </c>
      <c r="IQ110" s="112"/>
      <c r="IR110" s="111"/>
      <c r="IS110" s="111"/>
      <c r="IT110" s="111"/>
      <c r="IU110" s="112" t="str">
        <f t="shared" ref="IU110:IU126" si="642">HYPERLINK("http://www.asyl.net/fileadmin/user_upload/infoblatt_anhoerung/Frz_final.pdf","x")</f>
        <v>x</v>
      </c>
      <c r="IV110" s="112"/>
      <c r="IW110" s="112" t="str">
        <f t="shared" ref="IW110:IW126" si="643">HYPERLINK("http://www.berlin.de/labo/willkommen-in-berlin/service/downloads/artikel.273193.php","x")</f>
        <v>x</v>
      </c>
      <c r="IX110" s="112" t="str">
        <f t="shared" ref="IX110:IX126" si="644">HYPERLINK("http://www.bamf.de/SharedDocs/Anlagen/DE/Publikationen/Broschueren/broschuere-eat-a4-fr-franzoesisch.pdf?__blob=publicationFile","x")</f>
        <v>x</v>
      </c>
      <c r="IY110" s="111"/>
      <c r="IZ110" s="112" t="str">
        <f t="shared" ref="IZ110:IZ126" si="645">HYPERLINK("http://fluechtlingsrat-bw.de/informationen-fuer-fluechtlinge.html","x")</f>
        <v>x</v>
      </c>
      <c r="JA110" s="111"/>
      <c r="JB110" s="112" t="str">
        <f t="shared" ref="JB110:JB126" si="646">HYPERLINK("http://www.bamf.de/SharedDocs/Anlagen/DE/Publikationen/Flyer/20150223_ura2_fra.pdf?__blob=publicationFile","x")</f>
        <v>x</v>
      </c>
      <c r="JC110" s="111"/>
      <c r="JD110" s="112"/>
      <c r="JE110" s="112"/>
      <c r="JF110" s="112"/>
      <c r="JG110" s="112"/>
      <c r="JH110" s="111"/>
      <c r="JI110" s="112" t="str">
        <f>HYPERLINK("http://www.kub-berlin.org/formularprojekt/franzoesisch-antraege-und-anlagen-uebersetzungshilfen/","x")</f>
        <v>x</v>
      </c>
      <c r="JJ110" s="112" t="str">
        <f>HYPERLINK("https://www.arbeitsagentur.de/web/wcm/idc/groups/public/documents/webdatei/mdaw/mjg1/~edisp/l6019022dstbai788667.pdf?_ba.sid=L6019022DSTBAI784626","x")</f>
        <v>x</v>
      </c>
      <c r="JK110" s="112" t="str">
        <f>HYPERLINK("http://www.kub-berlin.org/formularprojekt/franzoesisch-antraege-und-anlagen-uebersetzungshilfen/","x")</f>
        <v>x</v>
      </c>
      <c r="JL110" s="112" t="str">
        <f t="shared" ref="JL110:JL126" si="647">HYPERLINK("https://www.arbeitsagentur.de/web/content/DE/Formulare/Detail/index.htm?dfContentId=L6019022DSTBAI485740","x")</f>
        <v>x</v>
      </c>
      <c r="JM110" s="112"/>
      <c r="JN110" s="112"/>
      <c r="JO110" s="112"/>
      <c r="JP110" s="112"/>
      <c r="JQ110" s="112" t="str">
        <f t="shared" ref="JQ110:JQ126" si="648">HYPERLINK("http://www.ibla-germany.de/merkblaetter.php","x")</f>
        <v>x</v>
      </c>
      <c r="JR110" s="112"/>
      <c r="JS110" s="112" t="str">
        <f t="shared" ref="JS110:JS126" si="649">HYPERLINK("http://www.b-umf.de/images/willkommen/willkommensbroschurefranzoesisch-web.pdf","x")</f>
        <v>x</v>
      </c>
      <c r="JT110" s="111"/>
      <c r="JU110" s="111"/>
      <c r="JV110" s="112"/>
      <c r="JW110" s="112"/>
      <c r="JX110" s="112"/>
      <c r="JY110" s="112"/>
      <c r="JZ110" s="112"/>
      <c r="KA110" s="112" t="str">
        <f t="shared" ref="KA110:KA126" si="650">HYPERLINK("http://www.refugeeguide.de/dl/RefugeeGuide_fr_925.pdf","x")</f>
        <v>x</v>
      </c>
      <c r="KB110" s="111"/>
      <c r="KC110" s="112" t="str">
        <f t="shared" ref="KC110:KC126" si="651">HYPERLINK("http://www.wedel.de/fileadmin/user_upload/media/pdf/Rathaus_und_Politik/20160118_PM_Broschuere.pdf","x")</f>
        <v>x</v>
      </c>
      <c r="KD110" s="112" t="str">
        <f t="shared" ref="KD110:KD126" si="652">HYPERLINK("http://www.frauenrechte.de/online/images/downloads/allgemein/TDF_Flyer_Women_Men.pdf","x")</f>
        <v>x</v>
      </c>
      <c r="KE110" s="112" t="str">
        <f t="shared" ref="KE110:KE126" si="653">HYPERLINK("http://sab.landtag.sachsen.de/dokumente/landtagskurier/Grundwerte-A5-international_web_08012016.pdf","x")</f>
        <v>x</v>
      </c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1"/>
      <c r="LC110" s="112"/>
      <c r="LD110" s="112"/>
      <c r="LE110" s="112"/>
      <c r="LF110" s="112"/>
      <c r="LG110" s="112"/>
      <c r="LH110" s="112"/>
      <c r="LI110" s="112"/>
      <c r="LJ110" s="112"/>
      <c r="LK110" s="112"/>
      <c r="LL110" s="111"/>
      <c r="LM110" s="111"/>
      <c r="LN110" s="111"/>
      <c r="LO110" s="111"/>
      <c r="LP110" s="112"/>
      <c r="LQ110" s="111"/>
      <c r="LR110" s="112"/>
      <c r="LS110" s="112"/>
      <c r="LT110" s="111"/>
      <c r="LU110" s="111"/>
      <c r="LV110" s="111"/>
      <c r="LW110" s="111"/>
      <c r="LX110" s="111"/>
      <c r="LY110" s="111"/>
      <c r="LZ110" s="111"/>
      <c r="MA110" s="112"/>
      <c r="MB110" s="111"/>
      <c r="MC110" s="112" t="str">
        <f t="shared" ref="MC110:MC126" si="654">HYPERLINK("http://www.rki.de/DE/Content/Infekt/IfSG/Belehrungsbogen/belehrungsbogen_lebensmittel_franzoesisch.pdf?__blob=publicationFile","x")</f>
        <v>x</v>
      </c>
      <c r="MD110" s="111"/>
      <c r="ME110" s="112" t="str">
        <f t="shared" ref="ME110:ME126" si="655">HYPERLINK("http://www.gdv.de/wp-content/uploads/2016/01/Information_Brandschutz_Fluechtlingsheim_-Sicherheit_mehrsprachig.pdf","x")</f>
        <v>x</v>
      </c>
      <c r="MF110" s="112" t="str">
        <f t="shared" ref="MF110:MF126" si="656">HYPERLINK("http://www.gdv.de/wp-content/uploads/2016/01/Information_Verhalten-im-Brandfall_mehrsprachig.pdf","x")</f>
        <v>x</v>
      </c>
      <c r="MG110" s="112" t="str">
        <f>HYPERLINK("http://www.aha-region.de/fileadmin/Download/pdf/aha_Plakat_Muelltrennung_fr.pdf","x")</f>
        <v>x</v>
      </c>
      <c r="MH110" s="112" t="str">
        <f t="shared" ref="MH110:MH126" si="657">HYPERLINK("http://www.kindersicherheit.de/pdf/2012_poster_achtunggiftig_8sprachig.pdf","x")</f>
        <v>x</v>
      </c>
    </row>
    <row r="111" spans="1:346" x14ac:dyDescent="0.25">
      <c r="A111" s="110" t="s">
        <v>5</v>
      </c>
      <c r="B111" s="101" t="s">
        <v>399</v>
      </c>
      <c r="C111" s="102"/>
      <c r="D111" s="102"/>
      <c r="E111" s="102"/>
      <c r="F111" s="102"/>
      <c r="G111" s="102"/>
      <c r="H111" s="102"/>
      <c r="I111" s="102"/>
      <c r="J111" s="103"/>
      <c r="K111" s="111"/>
      <c r="L111" s="111"/>
      <c r="M111" s="111"/>
      <c r="N111" s="111"/>
      <c r="O111" s="112" t="str">
        <f t="shared" ref="O111:O126" si="658">HYPERLINK("http://www.awb-ahrweiler.de/admin/data/ddownload/Abfall%20Sonderhinweise-Franzoesisch%202015.pdf","x")</f>
        <v>x</v>
      </c>
      <c r="P111" s="111"/>
      <c r="Q111" s="111"/>
      <c r="R111" s="111"/>
      <c r="S111" s="111"/>
      <c r="T111" s="112" t="str">
        <f t="shared" si="560"/>
        <v>x</v>
      </c>
      <c r="U111" s="112"/>
      <c r="V111" s="112"/>
      <c r="W111" s="111"/>
      <c r="X111" s="112"/>
      <c r="Y111" s="112"/>
      <c r="Z111" s="112"/>
      <c r="AA111" s="112"/>
      <c r="AB111" s="112"/>
      <c r="AC111" s="112" t="str">
        <f t="shared" si="561"/>
        <v>x</v>
      </c>
      <c r="AD111" s="112"/>
      <c r="AE111" s="112" t="str">
        <f t="shared" ref="AE111:AE126" si="659">HYPERLINK("http://www.kub-berlin.org/formularprojekt/franzoesisch-antraege-und-anlagen-uebersetzungshilfen/","x")</f>
        <v>x</v>
      </c>
      <c r="AF111" s="112" t="str">
        <f t="shared" si="562"/>
        <v>x</v>
      </c>
      <c r="AG111" s="112" t="str">
        <f t="shared" si="563"/>
        <v>x</v>
      </c>
      <c r="AH111" s="111"/>
      <c r="AI111" s="111"/>
      <c r="AJ111" s="112" t="str">
        <f t="shared" si="564"/>
        <v>x</v>
      </c>
      <c r="AK111" s="112" t="str">
        <f t="shared" si="565"/>
        <v>x</v>
      </c>
      <c r="AL111" s="112"/>
      <c r="AM111" s="112" t="str">
        <f t="shared" ref="AM111:AM126" si="660">HYPERLINK("https://www.deutschebahn.com/file/de/2191748/eYdgZpqGpp5sMJ2KMKtg2r8aE4Q/10123812/data/infos_fuer_fluechtlinge.pdf","x")</f>
        <v>x</v>
      </c>
      <c r="AN111" s="112"/>
      <c r="AO111" s="112"/>
      <c r="AP111" s="112"/>
      <c r="AQ111" s="112"/>
      <c r="AR111" s="112"/>
      <c r="AS111" s="112"/>
      <c r="AT111" s="112"/>
      <c r="AU111" s="114" t="str">
        <f t="shared" si="566"/>
        <v>x</v>
      </c>
      <c r="AV111" s="114" t="str">
        <f t="shared" si="567"/>
        <v>x</v>
      </c>
      <c r="AW111" s="114" t="str">
        <f t="shared" si="568"/>
        <v>x</v>
      </c>
      <c r="AX111" s="111"/>
      <c r="AY111" s="111"/>
      <c r="AZ111" s="112" t="str">
        <f t="shared" si="569"/>
        <v>x</v>
      </c>
      <c r="BA111" s="112" t="str">
        <f t="shared" si="570"/>
        <v>x</v>
      </c>
      <c r="BB111" s="111"/>
      <c r="BC111" s="111"/>
      <c r="BD111" s="111"/>
      <c r="BE111" s="112" t="str">
        <f t="shared" si="571"/>
        <v>x</v>
      </c>
      <c r="BF111" s="111"/>
      <c r="BG111" s="112" t="str">
        <f t="shared" si="572"/>
        <v>x</v>
      </c>
      <c r="BH111" s="112" t="str">
        <f t="shared" ref="BH111:BH126" si="661">HYPERLINK("https://www.advanced-online.eu/downloads/RefugeePhrasebookCards_German-French.pdf","x")</f>
        <v>x</v>
      </c>
      <c r="BI111" s="112" t="str">
        <f t="shared" si="573"/>
        <v>x</v>
      </c>
      <c r="BJ111" s="111"/>
      <c r="BK111" s="112" t="str">
        <f t="shared" si="574"/>
        <v>x</v>
      </c>
      <c r="BL111" s="111"/>
      <c r="BM111" s="111"/>
      <c r="BN111" s="111"/>
      <c r="BO111" s="111"/>
      <c r="BP111" s="111"/>
      <c r="BQ111" s="111"/>
      <c r="BR111" s="112" t="str">
        <f t="shared" si="575"/>
        <v>x</v>
      </c>
      <c r="BS111" s="112"/>
      <c r="BT111" s="111"/>
      <c r="BU111" s="112" t="str">
        <f t="shared" si="576"/>
        <v>x</v>
      </c>
      <c r="BV111" s="112" t="str">
        <f t="shared" si="577"/>
        <v>x</v>
      </c>
      <c r="BW111" s="112"/>
      <c r="BX111" s="112"/>
      <c r="BY111" s="112" t="str">
        <f t="shared" ref="BY111:BY126" si="662">HYPERLINK("http://fluechtlingshilfe-nettetal.de/ausbildung/video-sprachkurse-deutsch-fuer-fluechtlinge/video-sprachkurs-franzoesisch-deutsch/","x")</f>
        <v>x</v>
      </c>
      <c r="BZ111" s="112" t="str">
        <f t="shared" si="578"/>
        <v>x</v>
      </c>
      <c r="CA111" s="112" t="str">
        <f t="shared" si="579"/>
        <v>x</v>
      </c>
      <c r="CB111" s="112" t="str">
        <f t="shared" si="580"/>
        <v>x</v>
      </c>
      <c r="CC111" s="112"/>
      <c r="CD111" s="112"/>
      <c r="CE111" s="111"/>
      <c r="CF111" s="111"/>
      <c r="CG111" s="112" t="str">
        <f t="shared" ref="CG111:CG126" si="663">HYPERLINK("http://mifkjf.rlp.de/fileadmin/mifkjf/Frauen/Gewalt_gegen_Frauen/Downloads/Broschueren_Flyer/Flyer_Gewalt_franzoesisch.pdf","x")</f>
        <v>x</v>
      </c>
      <c r="CH111" s="112" t="str">
        <f t="shared" si="581"/>
        <v>x</v>
      </c>
      <c r="CI111" s="112" t="str">
        <f t="shared" si="582"/>
        <v>x</v>
      </c>
      <c r="CJ111" s="112" t="str">
        <f t="shared" si="583"/>
        <v>x</v>
      </c>
      <c r="CK111" s="112"/>
      <c r="CL111" s="112"/>
      <c r="CM111" s="112"/>
      <c r="CN111" s="112"/>
      <c r="CO111" s="112" t="str">
        <f t="shared" ref="CO111:CO126" si="664">HYPERLINK("http://www.schwanger-und-viele-fragen.de/fr/","x")</f>
        <v>x</v>
      </c>
      <c r="CP111" s="112"/>
      <c r="CQ111" s="112" t="str">
        <f t="shared" ref="CQ111:CQ126" si="665"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R111" s="112" t="str">
        <f t="shared" si="584"/>
        <v>x</v>
      </c>
      <c r="CS111" s="112"/>
      <c r="CT111" s="112" t="str">
        <f t="shared" ref="CT111:CT126" si="666">HYPERLINK("http://www.profamilia.de/fileadmin/publikationen/Erwachsene/mehrsprachig/Bro_Verhuetung_frz_141002.pdf","x")</f>
        <v>x</v>
      </c>
      <c r="CU111" s="112"/>
      <c r="CV111" s="112"/>
      <c r="CW111" s="112"/>
      <c r="CX111" s="112" t="str">
        <f t="shared" si="585"/>
        <v>x</v>
      </c>
      <c r="CY111" s="112"/>
      <c r="CZ111" s="112"/>
      <c r="DA111" s="112"/>
      <c r="DB111" s="115" t="str">
        <f t="shared" ref="DB111:DB126" si="667">HYPERLINK("http://www.kindersicherheit.de/pdf/2013_BAG_Tomi_and_Mila_Deutsch_Francais.pdf","x")</f>
        <v>x</v>
      </c>
      <c r="DC111" s="112"/>
      <c r="DD111" s="112"/>
      <c r="DE111" s="112" t="str">
        <f t="shared" si="586"/>
        <v>x</v>
      </c>
      <c r="DF111" s="115" t="str">
        <f t="shared" si="587"/>
        <v>x</v>
      </c>
      <c r="DG111" s="112" t="str">
        <f t="shared" si="588"/>
        <v>x</v>
      </c>
      <c r="DH111" s="112" t="str">
        <f t="shared" si="589"/>
        <v>x</v>
      </c>
      <c r="DI111" s="112"/>
      <c r="DJ111" s="112"/>
      <c r="DK111" s="112"/>
      <c r="DL111" s="112"/>
      <c r="DM111" s="112"/>
      <c r="DN111" s="112"/>
      <c r="DO111" s="111"/>
      <c r="DP111" s="111"/>
      <c r="DQ111" s="112" t="str">
        <f t="shared" si="590"/>
        <v>x</v>
      </c>
      <c r="DR111" s="112" t="str">
        <f t="shared" ref="DR111:DR126" si="668">HYPERLINK("http://bildung.koeln.de/materialbibliothek/download.php?idx=6f75d59e17e7868506c0a48e6f7a44f2","x")</f>
        <v>x</v>
      </c>
      <c r="DS111" s="112" t="str">
        <f t="shared" ref="DS111:DS126" si="669">HYPERLINK("http://bildung.koeln.de/materialbibliothek/download.php?idx=bde72be3f1bc4c51a4b0bcfe4a4187c4","x")</f>
        <v>x</v>
      </c>
      <c r="DT111" s="112"/>
      <c r="DU111" s="112" t="str">
        <f t="shared" si="591"/>
        <v>x</v>
      </c>
      <c r="DV111" s="111"/>
      <c r="DW111" s="112" t="str">
        <f t="shared" ref="DW111:DW126" si="670">HYPERLINK("http://www.wissenschaft.nrw.de/studium/informieren/informationen-fuer-fluechtlinge-die-in-nrw-studieren-moechten/","x")</f>
        <v>x</v>
      </c>
      <c r="DX111" s="111"/>
      <c r="DY111" s="112" t="str">
        <f t="shared" si="592"/>
        <v>x</v>
      </c>
      <c r="DZ111" s="112" t="str">
        <f t="shared" si="593"/>
        <v>x</v>
      </c>
      <c r="EA111" s="112" t="str">
        <f t="shared" si="594"/>
        <v>x</v>
      </c>
      <c r="EB111" s="112" t="str">
        <f t="shared" si="595"/>
        <v>x</v>
      </c>
      <c r="EC111" s="111"/>
      <c r="ED111" s="111"/>
      <c r="EE111" s="111"/>
      <c r="EF111" s="111"/>
      <c r="EG111" s="111"/>
      <c r="EH111" s="111"/>
      <c r="EI111" s="112"/>
      <c r="EJ111" s="112" t="str">
        <f t="shared" si="596"/>
        <v>x</v>
      </c>
      <c r="EK111" s="111"/>
      <c r="EL111" s="112" t="str">
        <f t="shared" si="597"/>
        <v>x</v>
      </c>
      <c r="EM111" s="112" t="str">
        <f t="shared" si="598"/>
        <v>x</v>
      </c>
      <c r="EN111" s="112"/>
      <c r="EO111" s="117" t="str">
        <f t="shared" si="599"/>
        <v>x</v>
      </c>
      <c r="EP111" s="117" t="str">
        <f t="shared" si="600"/>
        <v>x</v>
      </c>
      <c r="EQ111" s="112" t="str">
        <f t="shared" si="601"/>
        <v>x</v>
      </c>
      <c r="ER111" s="111"/>
      <c r="ES111" s="111"/>
      <c r="ET111" s="112" t="str">
        <f t="shared" si="602"/>
        <v>x</v>
      </c>
      <c r="EU111" s="112" t="str">
        <f t="shared" si="603"/>
        <v>x</v>
      </c>
      <c r="EV111" s="112" t="str">
        <f t="shared" si="604"/>
        <v>x</v>
      </c>
      <c r="EW111" s="112" t="str">
        <f t="shared" si="605"/>
        <v>x</v>
      </c>
      <c r="EX111" s="111"/>
      <c r="EY111" s="112" t="str">
        <f t="shared" si="606"/>
        <v>x</v>
      </c>
      <c r="EZ111" s="112"/>
      <c r="FA111" s="112" t="str">
        <f t="shared" si="607"/>
        <v>x</v>
      </c>
      <c r="FB111" s="111"/>
      <c r="FC111" s="112" t="str">
        <f t="shared" si="608"/>
        <v>x</v>
      </c>
      <c r="FD111" s="112" t="str">
        <f t="shared" si="609"/>
        <v>x</v>
      </c>
      <c r="FE111" s="111"/>
      <c r="FF111" s="112" t="str">
        <f t="shared" si="610"/>
        <v>x</v>
      </c>
      <c r="FG111" s="111"/>
      <c r="FH111" s="111"/>
      <c r="FI111" s="112"/>
      <c r="FJ111" s="112" t="str">
        <f t="shared" si="611"/>
        <v>x</v>
      </c>
      <c r="FK111" s="112" t="str">
        <f t="shared" si="612"/>
        <v>x</v>
      </c>
      <c r="FL111" s="112"/>
      <c r="FM111" s="112" t="str">
        <f t="shared" si="613"/>
        <v>x</v>
      </c>
      <c r="FN111" s="112" t="str">
        <f t="shared" ref="FN111:FN126" si="671">HYPERLINK("http://www.euro.who.int/__data/assets/pdf_file/0012/162300/VPD-Signs,-symptoms-and-complications-FRE.pdf","x")</f>
        <v>x</v>
      </c>
      <c r="FO111" s="112" t="str">
        <f t="shared" si="614"/>
        <v>x</v>
      </c>
      <c r="FP111" s="112" t="str">
        <f t="shared" si="615"/>
        <v>x</v>
      </c>
      <c r="FQ111" s="112" t="str">
        <f t="shared" si="616"/>
        <v>x</v>
      </c>
      <c r="FR111" s="112" t="str">
        <f t="shared" si="617"/>
        <v>x</v>
      </c>
      <c r="FS111" s="112" t="str">
        <f t="shared" si="618"/>
        <v>x</v>
      </c>
      <c r="FT111" s="112" t="str">
        <f t="shared" si="619"/>
        <v>x</v>
      </c>
      <c r="FU111" s="112" t="str">
        <f t="shared" si="620"/>
        <v>x</v>
      </c>
      <c r="FV111" s="112" t="str">
        <f t="shared" si="621"/>
        <v>x</v>
      </c>
      <c r="FW111" s="111"/>
      <c r="FX111" s="112"/>
      <c r="FY111" s="112"/>
      <c r="FZ111" s="111"/>
      <c r="GA111" s="111"/>
      <c r="GB111" s="111"/>
      <c r="GC111" s="112" t="str">
        <f t="shared" si="622"/>
        <v>x</v>
      </c>
      <c r="GD111" s="111"/>
      <c r="GE111" s="111"/>
      <c r="GF111" s="111"/>
      <c r="GG111" s="112"/>
      <c r="GH111" s="111"/>
      <c r="GI111" s="111"/>
      <c r="GJ111" s="112" t="str">
        <f t="shared" si="623"/>
        <v>x</v>
      </c>
      <c r="GK111" s="111"/>
      <c r="GL111" s="112" t="str">
        <f t="shared" si="624"/>
        <v>x</v>
      </c>
      <c r="GM111" s="111"/>
      <c r="GN111" s="111"/>
      <c r="GO111" s="112" t="str">
        <f t="shared" si="625"/>
        <v>x</v>
      </c>
      <c r="GP111" s="112"/>
      <c r="GQ111" s="112" t="str">
        <f t="shared" si="626"/>
        <v>x</v>
      </c>
      <c r="GR111" s="112" t="str">
        <f t="shared" si="627"/>
        <v>x</v>
      </c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2" t="str">
        <f t="shared" si="628"/>
        <v>x</v>
      </c>
      <c r="HC111" s="112" t="str">
        <f t="shared" si="629"/>
        <v>x</v>
      </c>
      <c r="HD111" s="112" t="str">
        <f t="shared" si="630"/>
        <v>x</v>
      </c>
      <c r="HE111" s="112" t="str">
        <f t="shared" si="631"/>
        <v>x</v>
      </c>
      <c r="HF111" s="112" t="str">
        <f t="shared" si="632"/>
        <v>x</v>
      </c>
      <c r="HG111" s="112"/>
      <c r="HH111" s="112" t="str">
        <f t="shared" ref="HH111:HH126" si="672">HYPERLINK("http://www.bvkm.de/fileadmin/web_data/Behinderung_und_Migration_franzoesisch_2014.pdf","x")</f>
        <v>x</v>
      </c>
      <c r="HI111" s="112"/>
      <c r="HJ111" s="112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2" t="str">
        <f t="shared" si="633"/>
        <v>x</v>
      </c>
      <c r="HY111" s="112" t="str">
        <f t="shared" si="634"/>
        <v>x</v>
      </c>
      <c r="HZ111" s="112" t="str">
        <f t="shared" si="635"/>
        <v>x</v>
      </c>
      <c r="IA111" s="111"/>
      <c r="IB111" s="111"/>
      <c r="IC111" s="111"/>
      <c r="ID111" s="111"/>
      <c r="IE111" s="111"/>
      <c r="IF111" s="111"/>
      <c r="IG111" s="111"/>
      <c r="IH111" s="112" t="str">
        <f t="shared" si="636"/>
        <v>x</v>
      </c>
      <c r="II111" s="111"/>
      <c r="IJ111" s="112" t="str">
        <f t="shared" si="637"/>
        <v>x</v>
      </c>
      <c r="IK111" s="112" t="str">
        <f t="shared" si="638"/>
        <v>x</v>
      </c>
      <c r="IL111" s="112" t="str">
        <f t="shared" si="639"/>
        <v>x</v>
      </c>
      <c r="IM111" s="112" t="str">
        <f t="shared" si="640"/>
        <v>x</v>
      </c>
      <c r="IN111" s="112"/>
      <c r="IO111" s="112"/>
      <c r="IP111" s="112" t="str">
        <f t="shared" si="641"/>
        <v>x</v>
      </c>
      <c r="IQ111" s="112"/>
      <c r="IR111" s="111"/>
      <c r="IS111" s="111"/>
      <c r="IT111" s="111"/>
      <c r="IU111" s="112" t="str">
        <f t="shared" si="642"/>
        <v>x</v>
      </c>
      <c r="IV111" s="112"/>
      <c r="IW111" s="112" t="str">
        <f t="shared" si="643"/>
        <v>x</v>
      </c>
      <c r="IX111" s="112" t="str">
        <f t="shared" si="644"/>
        <v>x</v>
      </c>
      <c r="IY111" s="111"/>
      <c r="IZ111" s="112" t="str">
        <f t="shared" si="645"/>
        <v>x</v>
      </c>
      <c r="JA111" s="111"/>
      <c r="JB111" s="112" t="str">
        <f t="shared" si="646"/>
        <v>x</v>
      </c>
      <c r="JC111" s="111"/>
      <c r="JD111" s="112"/>
      <c r="JE111" s="112"/>
      <c r="JF111" s="112"/>
      <c r="JG111" s="112"/>
      <c r="JH111" s="111"/>
      <c r="JI111" s="112" t="str">
        <f t="shared" ref="JI111:JI126" si="673">HYPERLINK("http://www.kub-berlin.org/formularprojekt/franzoesisch-antraege-und-anlagen-uebersetzungshilfen/","x")</f>
        <v>x</v>
      </c>
      <c r="JJ111" s="112" t="str">
        <f t="shared" ref="JJ111:JJ126" si="674">HYPERLINK("https://www.arbeitsagentur.de/web/wcm/idc/groups/public/documents/webdatei/mdaw/mjg1/~edisp/l6019022dstbai788667.pdf?_ba.sid=L6019022DSTBAI784626","x")</f>
        <v>x</v>
      </c>
      <c r="JK111" s="112" t="str">
        <f t="shared" ref="JK111:JK126" si="675">HYPERLINK("http://www.kub-berlin.org/formularprojekt/franzoesisch-antraege-und-anlagen-uebersetzungshilfen/","x")</f>
        <v>x</v>
      </c>
      <c r="JL111" s="112" t="str">
        <f t="shared" si="647"/>
        <v>x</v>
      </c>
      <c r="JM111" s="112"/>
      <c r="JN111" s="112"/>
      <c r="JO111" s="112"/>
      <c r="JP111" s="112"/>
      <c r="JQ111" s="112" t="str">
        <f t="shared" si="648"/>
        <v>x</v>
      </c>
      <c r="JR111" s="112"/>
      <c r="JS111" s="112" t="str">
        <f t="shared" si="649"/>
        <v>x</v>
      </c>
      <c r="JT111" s="111"/>
      <c r="JU111" s="111"/>
      <c r="JV111" s="112"/>
      <c r="JW111" s="112"/>
      <c r="JX111" s="112"/>
      <c r="JY111" s="112"/>
      <c r="JZ111" s="112"/>
      <c r="KA111" s="112" t="str">
        <f t="shared" si="650"/>
        <v>x</v>
      </c>
      <c r="KB111" s="111"/>
      <c r="KC111" s="112" t="str">
        <f t="shared" si="651"/>
        <v>x</v>
      </c>
      <c r="KD111" s="112" t="str">
        <f t="shared" si="652"/>
        <v>x</v>
      </c>
      <c r="KE111" s="112" t="str">
        <f t="shared" si="653"/>
        <v>x</v>
      </c>
      <c r="KF111" s="112"/>
      <c r="KG111" s="112"/>
      <c r="KH111" s="112"/>
      <c r="KI111" s="112"/>
      <c r="KJ111" s="112"/>
      <c r="KK111" s="112"/>
      <c r="KL111" s="112"/>
      <c r="KM111" s="112"/>
      <c r="KN111" s="112"/>
      <c r="KO111" s="112"/>
      <c r="KP111" s="112"/>
      <c r="KQ111" s="112"/>
      <c r="KR111" s="112"/>
      <c r="KS111" s="112"/>
      <c r="KT111" s="112"/>
      <c r="KU111" s="112"/>
      <c r="KV111" s="112"/>
      <c r="KW111" s="112"/>
      <c r="KX111" s="112"/>
      <c r="KY111" s="112"/>
      <c r="KZ111" s="112"/>
      <c r="LA111" s="112"/>
      <c r="LB111" s="111"/>
      <c r="LC111" s="112"/>
      <c r="LD111" s="112"/>
      <c r="LE111" s="112"/>
      <c r="LF111" s="112"/>
      <c r="LG111" s="112"/>
      <c r="LH111" s="112"/>
      <c r="LI111" s="112"/>
      <c r="LJ111" s="112"/>
      <c r="LK111" s="112"/>
      <c r="LL111" s="111"/>
      <c r="LM111" s="111"/>
      <c r="LN111" s="111"/>
      <c r="LO111" s="111"/>
      <c r="LP111" s="112"/>
      <c r="LQ111" s="111"/>
      <c r="LR111" s="112"/>
      <c r="LS111" s="112"/>
      <c r="LT111" s="111"/>
      <c r="LU111" s="111"/>
      <c r="LV111" s="111"/>
      <c r="LW111" s="111"/>
      <c r="LX111" s="111"/>
      <c r="LY111" s="111"/>
      <c r="LZ111" s="111"/>
      <c r="MA111" s="112"/>
      <c r="MB111" s="111"/>
      <c r="MC111" s="112" t="str">
        <f t="shared" si="654"/>
        <v>x</v>
      </c>
      <c r="MD111" s="111"/>
      <c r="ME111" s="112" t="str">
        <f t="shared" si="655"/>
        <v>x</v>
      </c>
      <c r="MF111" s="112" t="str">
        <f t="shared" si="656"/>
        <v>x</v>
      </c>
      <c r="MG111" s="112" t="str">
        <f t="shared" ref="MG111:MG126" si="676">HYPERLINK("http://www.aha-region.de/fileadmin/Download/pdf/aha_Plakat_Muelltrennung_fr.pdf","x")</f>
        <v>x</v>
      </c>
      <c r="MH111" s="112" t="str">
        <f t="shared" si="657"/>
        <v>x</v>
      </c>
    </row>
    <row r="112" spans="1:346" x14ac:dyDescent="0.25">
      <c r="A112" s="110" t="s">
        <v>5</v>
      </c>
      <c r="B112" s="101" t="s">
        <v>400</v>
      </c>
      <c r="C112" s="102"/>
      <c r="D112" s="102"/>
      <c r="E112" s="102"/>
      <c r="F112" s="102"/>
      <c r="G112" s="102"/>
      <c r="H112" s="102"/>
      <c r="I112" s="102"/>
      <c r="J112" s="103"/>
      <c r="K112" s="111"/>
      <c r="L112" s="111"/>
      <c r="M112" s="111"/>
      <c r="N112" s="111"/>
      <c r="O112" s="112" t="str">
        <f t="shared" si="658"/>
        <v>x</v>
      </c>
      <c r="P112" s="111"/>
      <c r="Q112" s="111"/>
      <c r="R112" s="111"/>
      <c r="S112" s="111"/>
      <c r="T112" s="112" t="str">
        <f t="shared" si="560"/>
        <v>x</v>
      </c>
      <c r="U112" s="112"/>
      <c r="V112" s="112"/>
      <c r="W112" s="111"/>
      <c r="X112" s="112"/>
      <c r="Y112" s="112"/>
      <c r="Z112" s="112"/>
      <c r="AA112" s="112"/>
      <c r="AB112" s="112"/>
      <c r="AC112" s="112" t="str">
        <f t="shared" si="561"/>
        <v>x</v>
      </c>
      <c r="AD112" s="112"/>
      <c r="AE112" s="112" t="str">
        <f t="shared" si="659"/>
        <v>x</v>
      </c>
      <c r="AF112" s="112" t="str">
        <f t="shared" si="562"/>
        <v>x</v>
      </c>
      <c r="AG112" s="112" t="str">
        <f t="shared" si="563"/>
        <v>x</v>
      </c>
      <c r="AH112" s="111"/>
      <c r="AI112" s="111"/>
      <c r="AJ112" s="112" t="str">
        <f t="shared" si="564"/>
        <v>x</v>
      </c>
      <c r="AK112" s="112" t="str">
        <f t="shared" si="565"/>
        <v>x</v>
      </c>
      <c r="AL112" s="112"/>
      <c r="AM112" s="112" t="str">
        <f t="shared" si="660"/>
        <v>x</v>
      </c>
      <c r="AN112" s="112"/>
      <c r="AO112" s="112"/>
      <c r="AP112" s="112"/>
      <c r="AQ112" s="112"/>
      <c r="AR112" s="112"/>
      <c r="AS112" s="112"/>
      <c r="AT112" s="112"/>
      <c r="AU112" s="114" t="str">
        <f t="shared" si="566"/>
        <v>x</v>
      </c>
      <c r="AV112" s="114" t="str">
        <f t="shared" si="567"/>
        <v>x</v>
      </c>
      <c r="AW112" s="114" t="str">
        <f t="shared" si="568"/>
        <v>x</v>
      </c>
      <c r="AX112" s="111"/>
      <c r="AY112" s="111"/>
      <c r="AZ112" s="112" t="str">
        <f t="shared" si="569"/>
        <v>x</v>
      </c>
      <c r="BA112" s="112" t="str">
        <f t="shared" si="570"/>
        <v>x</v>
      </c>
      <c r="BB112" s="111"/>
      <c r="BC112" s="111"/>
      <c r="BD112" s="111"/>
      <c r="BE112" s="112" t="str">
        <f t="shared" si="571"/>
        <v>x</v>
      </c>
      <c r="BF112" s="111"/>
      <c r="BG112" s="112" t="str">
        <f t="shared" si="572"/>
        <v>x</v>
      </c>
      <c r="BH112" s="112" t="str">
        <f t="shared" si="661"/>
        <v>x</v>
      </c>
      <c r="BI112" s="112" t="str">
        <f t="shared" si="573"/>
        <v>x</v>
      </c>
      <c r="BJ112" s="111"/>
      <c r="BK112" s="112" t="str">
        <f t="shared" si="574"/>
        <v>x</v>
      </c>
      <c r="BL112" s="111"/>
      <c r="BM112" s="111"/>
      <c r="BN112" s="111"/>
      <c r="BO112" s="111"/>
      <c r="BP112" s="111"/>
      <c r="BQ112" s="111"/>
      <c r="BR112" s="112" t="str">
        <f t="shared" si="575"/>
        <v>x</v>
      </c>
      <c r="BS112" s="112"/>
      <c r="BT112" s="111"/>
      <c r="BU112" s="112" t="str">
        <f t="shared" si="576"/>
        <v>x</v>
      </c>
      <c r="BV112" s="112" t="str">
        <f t="shared" si="577"/>
        <v>x</v>
      </c>
      <c r="BW112" s="112"/>
      <c r="BX112" s="112"/>
      <c r="BY112" s="112" t="str">
        <f t="shared" si="662"/>
        <v>x</v>
      </c>
      <c r="BZ112" s="112" t="str">
        <f t="shared" si="578"/>
        <v>x</v>
      </c>
      <c r="CA112" s="112" t="str">
        <f t="shared" si="579"/>
        <v>x</v>
      </c>
      <c r="CB112" s="112" t="str">
        <f t="shared" si="580"/>
        <v>x</v>
      </c>
      <c r="CC112" s="112"/>
      <c r="CD112" s="112"/>
      <c r="CE112" s="111"/>
      <c r="CF112" s="111"/>
      <c r="CG112" s="112" t="str">
        <f t="shared" si="663"/>
        <v>x</v>
      </c>
      <c r="CH112" s="112" t="str">
        <f t="shared" si="581"/>
        <v>x</v>
      </c>
      <c r="CI112" s="112" t="str">
        <f t="shared" si="582"/>
        <v>x</v>
      </c>
      <c r="CJ112" s="112" t="str">
        <f t="shared" si="583"/>
        <v>x</v>
      </c>
      <c r="CK112" s="112"/>
      <c r="CL112" s="112"/>
      <c r="CM112" s="112"/>
      <c r="CN112" s="112"/>
      <c r="CO112" s="112" t="str">
        <f t="shared" si="664"/>
        <v>x</v>
      </c>
      <c r="CP112" s="112"/>
      <c r="CQ112" s="112" t="str">
        <f t="shared" si="665"/>
        <v>x</v>
      </c>
      <c r="CR112" s="112" t="str">
        <f t="shared" si="584"/>
        <v>x</v>
      </c>
      <c r="CS112" s="112"/>
      <c r="CT112" s="112" t="str">
        <f t="shared" si="666"/>
        <v>x</v>
      </c>
      <c r="CU112" s="112"/>
      <c r="CV112" s="112"/>
      <c r="CW112" s="112"/>
      <c r="CX112" s="112" t="str">
        <f t="shared" si="585"/>
        <v>x</v>
      </c>
      <c r="CY112" s="112"/>
      <c r="CZ112" s="112"/>
      <c r="DA112" s="112"/>
      <c r="DB112" s="115" t="str">
        <f t="shared" si="667"/>
        <v>x</v>
      </c>
      <c r="DC112" s="112"/>
      <c r="DD112" s="112"/>
      <c r="DE112" s="112" t="str">
        <f t="shared" si="586"/>
        <v>x</v>
      </c>
      <c r="DF112" s="115" t="str">
        <f t="shared" si="587"/>
        <v>x</v>
      </c>
      <c r="DG112" s="112" t="str">
        <f t="shared" si="588"/>
        <v>x</v>
      </c>
      <c r="DH112" s="112" t="str">
        <f t="shared" si="589"/>
        <v>x</v>
      </c>
      <c r="DI112" s="112"/>
      <c r="DJ112" s="112"/>
      <c r="DK112" s="112"/>
      <c r="DL112" s="112"/>
      <c r="DM112" s="112"/>
      <c r="DN112" s="112"/>
      <c r="DO112" s="111"/>
      <c r="DP112" s="111"/>
      <c r="DQ112" s="112" t="str">
        <f t="shared" si="590"/>
        <v>x</v>
      </c>
      <c r="DR112" s="112" t="str">
        <f t="shared" si="668"/>
        <v>x</v>
      </c>
      <c r="DS112" s="112" t="str">
        <f t="shared" si="669"/>
        <v>x</v>
      </c>
      <c r="DT112" s="112"/>
      <c r="DU112" s="112" t="str">
        <f t="shared" si="591"/>
        <v>x</v>
      </c>
      <c r="DV112" s="111"/>
      <c r="DW112" s="112" t="str">
        <f t="shared" si="670"/>
        <v>x</v>
      </c>
      <c r="DX112" s="111"/>
      <c r="DY112" s="112" t="str">
        <f t="shared" si="592"/>
        <v>x</v>
      </c>
      <c r="DZ112" s="112" t="str">
        <f t="shared" si="593"/>
        <v>x</v>
      </c>
      <c r="EA112" s="112" t="str">
        <f t="shared" si="594"/>
        <v>x</v>
      </c>
      <c r="EB112" s="112" t="str">
        <f t="shared" si="595"/>
        <v>x</v>
      </c>
      <c r="EC112" s="111"/>
      <c r="ED112" s="111"/>
      <c r="EE112" s="111"/>
      <c r="EF112" s="111"/>
      <c r="EG112" s="111"/>
      <c r="EH112" s="111"/>
      <c r="EI112" s="112"/>
      <c r="EJ112" s="112" t="str">
        <f t="shared" si="596"/>
        <v>x</v>
      </c>
      <c r="EK112" s="111"/>
      <c r="EL112" s="112" t="str">
        <f t="shared" si="597"/>
        <v>x</v>
      </c>
      <c r="EM112" s="112" t="str">
        <f t="shared" si="598"/>
        <v>x</v>
      </c>
      <c r="EN112" s="112"/>
      <c r="EO112" s="117" t="str">
        <f t="shared" si="599"/>
        <v>x</v>
      </c>
      <c r="EP112" s="117" t="str">
        <f t="shared" si="600"/>
        <v>x</v>
      </c>
      <c r="EQ112" s="112" t="str">
        <f t="shared" si="601"/>
        <v>x</v>
      </c>
      <c r="ER112" s="111"/>
      <c r="ES112" s="111"/>
      <c r="ET112" s="112" t="str">
        <f t="shared" si="602"/>
        <v>x</v>
      </c>
      <c r="EU112" s="112" t="str">
        <f t="shared" si="603"/>
        <v>x</v>
      </c>
      <c r="EV112" s="112" t="str">
        <f t="shared" si="604"/>
        <v>x</v>
      </c>
      <c r="EW112" s="112" t="str">
        <f t="shared" si="605"/>
        <v>x</v>
      </c>
      <c r="EX112" s="111"/>
      <c r="EY112" s="112" t="str">
        <f t="shared" si="606"/>
        <v>x</v>
      </c>
      <c r="EZ112" s="112"/>
      <c r="FA112" s="112" t="str">
        <f t="shared" si="607"/>
        <v>x</v>
      </c>
      <c r="FB112" s="111"/>
      <c r="FC112" s="112" t="str">
        <f t="shared" si="608"/>
        <v>x</v>
      </c>
      <c r="FD112" s="112" t="str">
        <f t="shared" si="609"/>
        <v>x</v>
      </c>
      <c r="FE112" s="111"/>
      <c r="FF112" s="112" t="str">
        <f t="shared" si="610"/>
        <v>x</v>
      </c>
      <c r="FG112" s="111"/>
      <c r="FH112" s="111"/>
      <c r="FI112" s="112"/>
      <c r="FJ112" s="112" t="str">
        <f t="shared" si="611"/>
        <v>x</v>
      </c>
      <c r="FK112" s="112" t="str">
        <f t="shared" si="612"/>
        <v>x</v>
      </c>
      <c r="FL112" s="112"/>
      <c r="FM112" s="112" t="str">
        <f t="shared" si="613"/>
        <v>x</v>
      </c>
      <c r="FN112" s="112" t="str">
        <f t="shared" si="671"/>
        <v>x</v>
      </c>
      <c r="FO112" s="112" t="str">
        <f t="shared" si="614"/>
        <v>x</v>
      </c>
      <c r="FP112" s="112" t="str">
        <f t="shared" si="615"/>
        <v>x</v>
      </c>
      <c r="FQ112" s="112" t="str">
        <f t="shared" si="616"/>
        <v>x</v>
      </c>
      <c r="FR112" s="112" t="str">
        <f t="shared" si="617"/>
        <v>x</v>
      </c>
      <c r="FS112" s="112" t="str">
        <f t="shared" si="618"/>
        <v>x</v>
      </c>
      <c r="FT112" s="112" t="str">
        <f t="shared" si="619"/>
        <v>x</v>
      </c>
      <c r="FU112" s="112" t="str">
        <f t="shared" si="620"/>
        <v>x</v>
      </c>
      <c r="FV112" s="112" t="str">
        <f t="shared" si="621"/>
        <v>x</v>
      </c>
      <c r="FW112" s="111"/>
      <c r="FX112" s="112"/>
      <c r="FY112" s="112"/>
      <c r="FZ112" s="111"/>
      <c r="GA112" s="111"/>
      <c r="GB112" s="111"/>
      <c r="GC112" s="112" t="str">
        <f t="shared" si="622"/>
        <v>x</v>
      </c>
      <c r="GD112" s="111"/>
      <c r="GE112" s="111"/>
      <c r="GF112" s="111"/>
      <c r="GG112" s="112"/>
      <c r="GH112" s="111"/>
      <c r="GI112" s="111"/>
      <c r="GJ112" s="112" t="str">
        <f t="shared" si="623"/>
        <v>x</v>
      </c>
      <c r="GK112" s="111"/>
      <c r="GL112" s="112" t="str">
        <f t="shared" si="624"/>
        <v>x</v>
      </c>
      <c r="GM112" s="111"/>
      <c r="GN112" s="111"/>
      <c r="GO112" s="112" t="str">
        <f t="shared" si="625"/>
        <v>x</v>
      </c>
      <c r="GP112" s="112"/>
      <c r="GQ112" s="112" t="str">
        <f t="shared" si="626"/>
        <v>x</v>
      </c>
      <c r="GR112" s="112" t="str">
        <f t="shared" si="627"/>
        <v>x</v>
      </c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2" t="str">
        <f t="shared" si="628"/>
        <v>x</v>
      </c>
      <c r="HC112" s="112" t="str">
        <f t="shared" si="629"/>
        <v>x</v>
      </c>
      <c r="HD112" s="112" t="str">
        <f t="shared" si="630"/>
        <v>x</v>
      </c>
      <c r="HE112" s="112" t="str">
        <f t="shared" si="631"/>
        <v>x</v>
      </c>
      <c r="HF112" s="112" t="str">
        <f t="shared" si="632"/>
        <v>x</v>
      </c>
      <c r="HG112" s="112"/>
      <c r="HH112" s="112" t="str">
        <f t="shared" si="672"/>
        <v>x</v>
      </c>
      <c r="HI112" s="112"/>
      <c r="HJ112" s="112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2" t="str">
        <f t="shared" si="633"/>
        <v>x</v>
      </c>
      <c r="HY112" s="112" t="str">
        <f t="shared" si="634"/>
        <v>x</v>
      </c>
      <c r="HZ112" s="112" t="str">
        <f t="shared" si="635"/>
        <v>x</v>
      </c>
      <c r="IA112" s="111"/>
      <c r="IB112" s="111"/>
      <c r="IC112" s="111"/>
      <c r="ID112" s="111"/>
      <c r="IE112" s="111"/>
      <c r="IF112" s="111"/>
      <c r="IG112" s="111"/>
      <c r="IH112" s="112" t="str">
        <f t="shared" si="636"/>
        <v>x</v>
      </c>
      <c r="II112" s="111"/>
      <c r="IJ112" s="112" t="str">
        <f t="shared" si="637"/>
        <v>x</v>
      </c>
      <c r="IK112" s="112" t="str">
        <f t="shared" si="638"/>
        <v>x</v>
      </c>
      <c r="IL112" s="112" t="str">
        <f t="shared" si="639"/>
        <v>x</v>
      </c>
      <c r="IM112" s="112" t="str">
        <f t="shared" si="640"/>
        <v>x</v>
      </c>
      <c r="IN112" s="112"/>
      <c r="IO112" s="112"/>
      <c r="IP112" s="112" t="str">
        <f t="shared" si="641"/>
        <v>x</v>
      </c>
      <c r="IQ112" s="112"/>
      <c r="IR112" s="111"/>
      <c r="IS112" s="111"/>
      <c r="IT112" s="111"/>
      <c r="IU112" s="112" t="str">
        <f t="shared" si="642"/>
        <v>x</v>
      </c>
      <c r="IV112" s="112"/>
      <c r="IW112" s="112" t="str">
        <f t="shared" si="643"/>
        <v>x</v>
      </c>
      <c r="IX112" s="112" t="str">
        <f t="shared" si="644"/>
        <v>x</v>
      </c>
      <c r="IY112" s="111"/>
      <c r="IZ112" s="112" t="str">
        <f t="shared" si="645"/>
        <v>x</v>
      </c>
      <c r="JA112" s="111"/>
      <c r="JB112" s="112" t="str">
        <f t="shared" si="646"/>
        <v>x</v>
      </c>
      <c r="JC112" s="111"/>
      <c r="JD112" s="112"/>
      <c r="JE112" s="112"/>
      <c r="JF112" s="112"/>
      <c r="JG112" s="112"/>
      <c r="JH112" s="111"/>
      <c r="JI112" s="112" t="str">
        <f t="shared" si="673"/>
        <v>x</v>
      </c>
      <c r="JJ112" s="112" t="str">
        <f t="shared" si="674"/>
        <v>x</v>
      </c>
      <c r="JK112" s="112" t="str">
        <f t="shared" si="675"/>
        <v>x</v>
      </c>
      <c r="JL112" s="112" t="str">
        <f t="shared" si="647"/>
        <v>x</v>
      </c>
      <c r="JM112" s="112"/>
      <c r="JN112" s="112"/>
      <c r="JO112" s="112"/>
      <c r="JP112" s="112"/>
      <c r="JQ112" s="112" t="str">
        <f t="shared" si="648"/>
        <v>x</v>
      </c>
      <c r="JR112" s="112"/>
      <c r="JS112" s="112" t="str">
        <f t="shared" si="649"/>
        <v>x</v>
      </c>
      <c r="JT112" s="111"/>
      <c r="JU112" s="111"/>
      <c r="JV112" s="112"/>
      <c r="JW112" s="112"/>
      <c r="JX112" s="112"/>
      <c r="JY112" s="112"/>
      <c r="JZ112" s="112"/>
      <c r="KA112" s="112" t="str">
        <f t="shared" si="650"/>
        <v>x</v>
      </c>
      <c r="KB112" s="111"/>
      <c r="KC112" s="112" t="str">
        <f t="shared" si="651"/>
        <v>x</v>
      </c>
      <c r="KD112" s="112" t="str">
        <f t="shared" si="652"/>
        <v>x</v>
      </c>
      <c r="KE112" s="112" t="str">
        <f t="shared" si="653"/>
        <v>x</v>
      </c>
      <c r="KF112" s="112"/>
      <c r="KG112" s="112"/>
      <c r="KH112" s="112"/>
      <c r="KI112" s="112"/>
      <c r="KJ112" s="112"/>
      <c r="KK112" s="112"/>
      <c r="KL112" s="112"/>
      <c r="KM112" s="112"/>
      <c r="KN112" s="112"/>
      <c r="KO112" s="112"/>
      <c r="KP112" s="112"/>
      <c r="KQ112" s="112"/>
      <c r="KR112" s="112"/>
      <c r="KS112" s="112"/>
      <c r="KT112" s="112"/>
      <c r="KU112" s="112"/>
      <c r="KV112" s="112"/>
      <c r="KW112" s="112"/>
      <c r="KX112" s="112"/>
      <c r="KY112" s="112"/>
      <c r="KZ112" s="112"/>
      <c r="LA112" s="112"/>
      <c r="LB112" s="111"/>
      <c r="LC112" s="112"/>
      <c r="LD112" s="112"/>
      <c r="LE112" s="112"/>
      <c r="LF112" s="112"/>
      <c r="LG112" s="112"/>
      <c r="LH112" s="112"/>
      <c r="LI112" s="112"/>
      <c r="LJ112" s="112"/>
      <c r="LK112" s="112"/>
      <c r="LL112" s="111"/>
      <c r="LM112" s="111"/>
      <c r="LN112" s="111"/>
      <c r="LO112" s="111"/>
      <c r="LP112" s="112"/>
      <c r="LQ112" s="111"/>
      <c r="LR112" s="112"/>
      <c r="LS112" s="112"/>
      <c r="LT112" s="111"/>
      <c r="LU112" s="111"/>
      <c r="LV112" s="111"/>
      <c r="LW112" s="111"/>
      <c r="LX112" s="111"/>
      <c r="LY112" s="111"/>
      <c r="LZ112" s="111"/>
      <c r="MA112" s="112"/>
      <c r="MB112" s="111"/>
      <c r="MC112" s="112" t="str">
        <f t="shared" si="654"/>
        <v>x</v>
      </c>
      <c r="MD112" s="111"/>
      <c r="ME112" s="112" t="str">
        <f t="shared" si="655"/>
        <v>x</v>
      </c>
      <c r="MF112" s="112" t="str">
        <f t="shared" si="656"/>
        <v>x</v>
      </c>
      <c r="MG112" s="112" t="str">
        <f t="shared" si="676"/>
        <v>x</v>
      </c>
      <c r="MH112" s="112" t="str">
        <f t="shared" si="657"/>
        <v>x</v>
      </c>
    </row>
    <row r="113" spans="1:346" x14ac:dyDescent="0.25">
      <c r="A113" s="110" t="s">
        <v>5</v>
      </c>
      <c r="B113" s="101" t="s">
        <v>401</v>
      </c>
      <c r="C113" s="102"/>
      <c r="D113" s="102"/>
      <c r="E113" s="102"/>
      <c r="F113" s="102"/>
      <c r="G113" s="102"/>
      <c r="H113" s="102"/>
      <c r="I113" s="102"/>
      <c r="J113" s="103"/>
      <c r="K113" s="111"/>
      <c r="L113" s="111"/>
      <c r="M113" s="111"/>
      <c r="N113" s="111"/>
      <c r="O113" s="112" t="str">
        <f t="shared" si="658"/>
        <v>x</v>
      </c>
      <c r="P113" s="111"/>
      <c r="Q113" s="111"/>
      <c r="R113" s="111"/>
      <c r="S113" s="111"/>
      <c r="T113" s="112" t="str">
        <f t="shared" si="560"/>
        <v>x</v>
      </c>
      <c r="U113" s="112"/>
      <c r="V113" s="112"/>
      <c r="W113" s="111"/>
      <c r="X113" s="112"/>
      <c r="Y113" s="112"/>
      <c r="Z113" s="112"/>
      <c r="AA113" s="112"/>
      <c r="AB113" s="112"/>
      <c r="AC113" s="112" t="str">
        <f t="shared" si="561"/>
        <v>x</v>
      </c>
      <c r="AD113" s="112"/>
      <c r="AE113" s="112" t="str">
        <f t="shared" si="659"/>
        <v>x</v>
      </c>
      <c r="AF113" s="112" t="str">
        <f t="shared" si="562"/>
        <v>x</v>
      </c>
      <c r="AG113" s="112" t="str">
        <f t="shared" si="563"/>
        <v>x</v>
      </c>
      <c r="AH113" s="111"/>
      <c r="AI113" s="111"/>
      <c r="AJ113" s="112" t="str">
        <f t="shared" si="564"/>
        <v>x</v>
      </c>
      <c r="AK113" s="112" t="str">
        <f t="shared" si="565"/>
        <v>x</v>
      </c>
      <c r="AL113" s="112"/>
      <c r="AM113" s="112" t="str">
        <f t="shared" si="660"/>
        <v>x</v>
      </c>
      <c r="AN113" s="112"/>
      <c r="AO113" s="112"/>
      <c r="AP113" s="112"/>
      <c r="AQ113" s="112"/>
      <c r="AR113" s="112"/>
      <c r="AS113" s="112"/>
      <c r="AT113" s="112"/>
      <c r="AU113" s="114" t="str">
        <f t="shared" si="566"/>
        <v>x</v>
      </c>
      <c r="AV113" s="114" t="str">
        <f t="shared" si="567"/>
        <v>x</v>
      </c>
      <c r="AW113" s="114" t="str">
        <f t="shared" si="568"/>
        <v>x</v>
      </c>
      <c r="AX113" s="111"/>
      <c r="AY113" s="111"/>
      <c r="AZ113" s="112" t="str">
        <f t="shared" si="569"/>
        <v>x</v>
      </c>
      <c r="BA113" s="112" t="str">
        <f t="shared" si="570"/>
        <v>x</v>
      </c>
      <c r="BB113" s="111"/>
      <c r="BC113" s="111"/>
      <c r="BD113" s="111"/>
      <c r="BE113" s="112" t="str">
        <f t="shared" si="571"/>
        <v>x</v>
      </c>
      <c r="BF113" s="111"/>
      <c r="BG113" s="112" t="str">
        <f t="shared" si="572"/>
        <v>x</v>
      </c>
      <c r="BH113" s="112" t="str">
        <f t="shared" si="661"/>
        <v>x</v>
      </c>
      <c r="BI113" s="112" t="str">
        <f t="shared" si="573"/>
        <v>x</v>
      </c>
      <c r="BJ113" s="111"/>
      <c r="BK113" s="112" t="str">
        <f t="shared" si="574"/>
        <v>x</v>
      </c>
      <c r="BL113" s="111"/>
      <c r="BM113" s="111"/>
      <c r="BN113" s="111"/>
      <c r="BO113" s="111"/>
      <c r="BP113" s="111"/>
      <c r="BQ113" s="111"/>
      <c r="BR113" s="112" t="str">
        <f t="shared" si="575"/>
        <v>x</v>
      </c>
      <c r="BS113" s="112"/>
      <c r="BT113" s="111"/>
      <c r="BU113" s="112" t="str">
        <f t="shared" si="576"/>
        <v>x</v>
      </c>
      <c r="BV113" s="112" t="str">
        <f t="shared" si="577"/>
        <v>x</v>
      </c>
      <c r="BW113" s="112"/>
      <c r="BX113" s="112"/>
      <c r="BY113" s="112" t="str">
        <f t="shared" si="662"/>
        <v>x</v>
      </c>
      <c r="BZ113" s="112" t="str">
        <f t="shared" si="578"/>
        <v>x</v>
      </c>
      <c r="CA113" s="112" t="str">
        <f t="shared" si="579"/>
        <v>x</v>
      </c>
      <c r="CB113" s="112" t="str">
        <f t="shared" si="580"/>
        <v>x</v>
      </c>
      <c r="CC113" s="112"/>
      <c r="CD113" s="112"/>
      <c r="CE113" s="111"/>
      <c r="CF113" s="111"/>
      <c r="CG113" s="112" t="str">
        <f t="shared" si="663"/>
        <v>x</v>
      </c>
      <c r="CH113" s="112" t="str">
        <f t="shared" si="581"/>
        <v>x</v>
      </c>
      <c r="CI113" s="112" t="str">
        <f t="shared" si="582"/>
        <v>x</v>
      </c>
      <c r="CJ113" s="112" t="str">
        <f t="shared" si="583"/>
        <v>x</v>
      </c>
      <c r="CK113" s="112"/>
      <c r="CL113" s="112"/>
      <c r="CM113" s="112"/>
      <c r="CN113" s="112"/>
      <c r="CO113" s="112" t="str">
        <f t="shared" si="664"/>
        <v>x</v>
      </c>
      <c r="CP113" s="112"/>
      <c r="CQ113" s="112" t="str">
        <f t="shared" si="665"/>
        <v>x</v>
      </c>
      <c r="CR113" s="112" t="str">
        <f t="shared" si="584"/>
        <v>x</v>
      </c>
      <c r="CS113" s="112"/>
      <c r="CT113" s="112" t="str">
        <f t="shared" si="666"/>
        <v>x</v>
      </c>
      <c r="CU113" s="112"/>
      <c r="CV113" s="112"/>
      <c r="CW113" s="112"/>
      <c r="CX113" s="112" t="str">
        <f t="shared" si="585"/>
        <v>x</v>
      </c>
      <c r="CY113" s="112"/>
      <c r="CZ113" s="112"/>
      <c r="DA113" s="112"/>
      <c r="DB113" s="115" t="str">
        <f t="shared" si="667"/>
        <v>x</v>
      </c>
      <c r="DC113" s="112"/>
      <c r="DD113" s="112"/>
      <c r="DE113" s="112" t="str">
        <f t="shared" si="586"/>
        <v>x</v>
      </c>
      <c r="DF113" s="115" t="str">
        <f t="shared" si="587"/>
        <v>x</v>
      </c>
      <c r="DG113" s="112" t="str">
        <f t="shared" si="588"/>
        <v>x</v>
      </c>
      <c r="DH113" s="112" t="str">
        <f t="shared" si="589"/>
        <v>x</v>
      </c>
      <c r="DI113" s="112"/>
      <c r="DJ113" s="112"/>
      <c r="DK113" s="112"/>
      <c r="DL113" s="112"/>
      <c r="DM113" s="112"/>
      <c r="DN113" s="112"/>
      <c r="DO113" s="111"/>
      <c r="DP113" s="111"/>
      <c r="DQ113" s="112" t="str">
        <f t="shared" si="590"/>
        <v>x</v>
      </c>
      <c r="DR113" s="112" t="str">
        <f t="shared" si="668"/>
        <v>x</v>
      </c>
      <c r="DS113" s="112" t="str">
        <f t="shared" si="669"/>
        <v>x</v>
      </c>
      <c r="DT113" s="112"/>
      <c r="DU113" s="112" t="str">
        <f t="shared" si="591"/>
        <v>x</v>
      </c>
      <c r="DV113" s="111"/>
      <c r="DW113" s="112" t="str">
        <f t="shared" si="670"/>
        <v>x</v>
      </c>
      <c r="DX113" s="111"/>
      <c r="DY113" s="112" t="str">
        <f t="shared" si="592"/>
        <v>x</v>
      </c>
      <c r="DZ113" s="112" t="str">
        <f t="shared" si="593"/>
        <v>x</v>
      </c>
      <c r="EA113" s="112" t="str">
        <f t="shared" si="594"/>
        <v>x</v>
      </c>
      <c r="EB113" s="112" t="str">
        <f t="shared" si="595"/>
        <v>x</v>
      </c>
      <c r="EC113" s="111"/>
      <c r="ED113" s="111"/>
      <c r="EE113" s="111"/>
      <c r="EF113" s="111"/>
      <c r="EG113" s="111"/>
      <c r="EH113" s="111"/>
      <c r="EI113" s="112"/>
      <c r="EJ113" s="112" t="str">
        <f t="shared" si="596"/>
        <v>x</v>
      </c>
      <c r="EK113" s="111"/>
      <c r="EL113" s="112" t="str">
        <f t="shared" si="597"/>
        <v>x</v>
      </c>
      <c r="EM113" s="112" t="str">
        <f t="shared" si="598"/>
        <v>x</v>
      </c>
      <c r="EN113" s="112"/>
      <c r="EO113" s="117" t="str">
        <f t="shared" si="599"/>
        <v>x</v>
      </c>
      <c r="EP113" s="117" t="str">
        <f t="shared" si="600"/>
        <v>x</v>
      </c>
      <c r="EQ113" s="112" t="str">
        <f t="shared" si="601"/>
        <v>x</v>
      </c>
      <c r="ER113" s="111"/>
      <c r="ES113" s="111"/>
      <c r="ET113" s="112" t="str">
        <f t="shared" si="602"/>
        <v>x</v>
      </c>
      <c r="EU113" s="112" t="str">
        <f t="shared" si="603"/>
        <v>x</v>
      </c>
      <c r="EV113" s="112" t="str">
        <f t="shared" si="604"/>
        <v>x</v>
      </c>
      <c r="EW113" s="112" t="str">
        <f t="shared" si="605"/>
        <v>x</v>
      </c>
      <c r="EX113" s="111"/>
      <c r="EY113" s="112" t="str">
        <f t="shared" si="606"/>
        <v>x</v>
      </c>
      <c r="EZ113" s="112"/>
      <c r="FA113" s="112" t="str">
        <f t="shared" si="607"/>
        <v>x</v>
      </c>
      <c r="FB113" s="111"/>
      <c r="FC113" s="112" t="str">
        <f t="shared" si="608"/>
        <v>x</v>
      </c>
      <c r="FD113" s="112" t="str">
        <f t="shared" si="609"/>
        <v>x</v>
      </c>
      <c r="FE113" s="111"/>
      <c r="FF113" s="112" t="str">
        <f t="shared" si="610"/>
        <v>x</v>
      </c>
      <c r="FG113" s="111"/>
      <c r="FH113" s="111"/>
      <c r="FI113" s="112"/>
      <c r="FJ113" s="112" t="str">
        <f t="shared" si="611"/>
        <v>x</v>
      </c>
      <c r="FK113" s="112" t="str">
        <f t="shared" si="612"/>
        <v>x</v>
      </c>
      <c r="FL113" s="112"/>
      <c r="FM113" s="112" t="str">
        <f t="shared" si="613"/>
        <v>x</v>
      </c>
      <c r="FN113" s="112" t="str">
        <f t="shared" si="671"/>
        <v>x</v>
      </c>
      <c r="FO113" s="112" t="str">
        <f t="shared" si="614"/>
        <v>x</v>
      </c>
      <c r="FP113" s="112" t="str">
        <f t="shared" si="615"/>
        <v>x</v>
      </c>
      <c r="FQ113" s="112" t="str">
        <f t="shared" si="616"/>
        <v>x</v>
      </c>
      <c r="FR113" s="112" t="str">
        <f t="shared" si="617"/>
        <v>x</v>
      </c>
      <c r="FS113" s="112" t="str">
        <f t="shared" si="618"/>
        <v>x</v>
      </c>
      <c r="FT113" s="112" t="str">
        <f t="shared" si="619"/>
        <v>x</v>
      </c>
      <c r="FU113" s="112" t="str">
        <f t="shared" si="620"/>
        <v>x</v>
      </c>
      <c r="FV113" s="112" t="str">
        <f t="shared" si="621"/>
        <v>x</v>
      </c>
      <c r="FW113" s="111"/>
      <c r="FX113" s="112"/>
      <c r="FY113" s="112"/>
      <c r="FZ113" s="111"/>
      <c r="GA113" s="111"/>
      <c r="GB113" s="111"/>
      <c r="GC113" s="112" t="str">
        <f t="shared" si="622"/>
        <v>x</v>
      </c>
      <c r="GD113" s="111"/>
      <c r="GE113" s="111"/>
      <c r="GF113" s="111"/>
      <c r="GG113" s="112"/>
      <c r="GH113" s="111"/>
      <c r="GI113" s="111"/>
      <c r="GJ113" s="112" t="str">
        <f t="shared" si="623"/>
        <v>x</v>
      </c>
      <c r="GK113" s="111"/>
      <c r="GL113" s="112" t="str">
        <f t="shared" si="624"/>
        <v>x</v>
      </c>
      <c r="GM113" s="111"/>
      <c r="GN113" s="111"/>
      <c r="GO113" s="112" t="str">
        <f t="shared" si="625"/>
        <v>x</v>
      </c>
      <c r="GP113" s="112"/>
      <c r="GQ113" s="112" t="str">
        <f t="shared" si="626"/>
        <v>x</v>
      </c>
      <c r="GR113" s="112" t="str">
        <f t="shared" si="627"/>
        <v>x</v>
      </c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2" t="str">
        <f t="shared" si="628"/>
        <v>x</v>
      </c>
      <c r="HC113" s="112" t="str">
        <f t="shared" si="629"/>
        <v>x</v>
      </c>
      <c r="HD113" s="112" t="str">
        <f t="shared" si="630"/>
        <v>x</v>
      </c>
      <c r="HE113" s="112" t="str">
        <f t="shared" si="631"/>
        <v>x</v>
      </c>
      <c r="HF113" s="112" t="str">
        <f t="shared" si="632"/>
        <v>x</v>
      </c>
      <c r="HG113" s="112"/>
      <c r="HH113" s="112" t="str">
        <f t="shared" si="672"/>
        <v>x</v>
      </c>
      <c r="HI113" s="112"/>
      <c r="HJ113" s="112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2" t="str">
        <f t="shared" si="633"/>
        <v>x</v>
      </c>
      <c r="HY113" s="112" t="str">
        <f t="shared" si="634"/>
        <v>x</v>
      </c>
      <c r="HZ113" s="112" t="str">
        <f t="shared" si="635"/>
        <v>x</v>
      </c>
      <c r="IA113" s="111"/>
      <c r="IB113" s="111"/>
      <c r="IC113" s="111"/>
      <c r="ID113" s="111"/>
      <c r="IE113" s="111"/>
      <c r="IF113" s="111"/>
      <c r="IG113" s="111"/>
      <c r="IH113" s="112" t="str">
        <f t="shared" si="636"/>
        <v>x</v>
      </c>
      <c r="II113" s="111"/>
      <c r="IJ113" s="112" t="str">
        <f t="shared" si="637"/>
        <v>x</v>
      </c>
      <c r="IK113" s="112" t="str">
        <f t="shared" si="638"/>
        <v>x</v>
      </c>
      <c r="IL113" s="112" t="str">
        <f t="shared" si="639"/>
        <v>x</v>
      </c>
      <c r="IM113" s="112" t="str">
        <f t="shared" si="640"/>
        <v>x</v>
      </c>
      <c r="IN113" s="112"/>
      <c r="IO113" s="112"/>
      <c r="IP113" s="112" t="str">
        <f t="shared" si="641"/>
        <v>x</v>
      </c>
      <c r="IQ113" s="112"/>
      <c r="IR113" s="111"/>
      <c r="IS113" s="111"/>
      <c r="IT113" s="111"/>
      <c r="IU113" s="112" t="str">
        <f t="shared" si="642"/>
        <v>x</v>
      </c>
      <c r="IV113" s="112"/>
      <c r="IW113" s="112" t="str">
        <f t="shared" si="643"/>
        <v>x</v>
      </c>
      <c r="IX113" s="112" t="str">
        <f t="shared" si="644"/>
        <v>x</v>
      </c>
      <c r="IY113" s="111"/>
      <c r="IZ113" s="112" t="str">
        <f t="shared" si="645"/>
        <v>x</v>
      </c>
      <c r="JA113" s="111"/>
      <c r="JB113" s="112" t="str">
        <f t="shared" si="646"/>
        <v>x</v>
      </c>
      <c r="JC113" s="111"/>
      <c r="JD113" s="112"/>
      <c r="JE113" s="112"/>
      <c r="JF113" s="112"/>
      <c r="JG113" s="112"/>
      <c r="JH113" s="111"/>
      <c r="JI113" s="112" t="str">
        <f t="shared" si="673"/>
        <v>x</v>
      </c>
      <c r="JJ113" s="112" t="str">
        <f t="shared" si="674"/>
        <v>x</v>
      </c>
      <c r="JK113" s="112" t="str">
        <f t="shared" si="675"/>
        <v>x</v>
      </c>
      <c r="JL113" s="112" t="str">
        <f t="shared" si="647"/>
        <v>x</v>
      </c>
      <c r="JM113" s="112"/>
      <c r="JN113" s="112"/>
      <c r="JO113" s="112"/>
      <c r="JP113" s="112"/>
      <c r="JQ113" s="112" t="str">
        <f t="shared" si="648"/>
        <v>x</v>
      </c>
      <c r="JR113" s="112"/>
      <c r="JS113" s="112" t="str">
        <f t="shared" si="649"/>
        <v>x</v>
      </c>
      <c r="JT113" s="111"/>
      <c r="JU113" s="111"/>
      <c r="JV113" s="112"/>
      <c r="JW113" s="112"/>
      <c r="JX113" s="112"/>
      <c r="JY113" s="112"/>
      <c r="JZ113" s="112"/>
      <c r="KA113" s="112" t="str">
        <f t="shared" si="650"/>
        <v>x</v>
      </c>
      <c r="KB113" s="111"/>
      <c r="KC113" s="112" t="str">
        <f t="shared" si="651"/>
        <v>x</v>
      </c>
      <c r="KD113" s="112" t="str">
        <f t="shared" si="652"/>
        <v>x</v>
      </c>
      <c r="KE113" s="112" t="str">
        <f t="shared" si="653"/>
        <v>x</v>
      </c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1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1"/>
      <c r="LM113" s="111"/>
      <c r="LN113" s="111"/>
      <c r="LO113" s="111"/>
      <c r="LP113" s="112"/>
      <c r="LQ113" s="111"/>
      <c r="LR113" s="112"/>
      <c r="LS113" s="112"/>
      <c r="LT113" s="111"/>
      <c r="LU113" s="111"/>
      <c r="LV113" s="111"/>
      <c r="LW113" s="111"/>
      <c r="LX113" s="111"/>
      <c r="LY113" s="111"/>
      <c r="LZ113" s="111"/>
      <c r="MA113" s="112"/>
      <c r="MB113" s="111"/>
      <c r="MC113" s="112" t="str">
        <f t="shared" si="654"/>
        <v>x</v>
      </c>
      <c r="MD113" s="111"/>
      <c r="ME113" s="112" t="str">
        <f t="shared" si="655"/>
        <v>x</v>
      </c>
      <c r="MF113" s="112" t="str">
        <f t="shared" si="656"/>
        <v>x</v>
      </c>
      <c r="MG113" s="112" t="str">
        <f t="shared" si="676"/>
        <v>x</v>
      </c>
      <c r="MH113" s="112" t="str">
        <f t="shared" si="657"/>
        <v>x</v>
      </c>
    </row>
    <row r="114" spans="1:346" x14ac:dyDescent="0.25">
      <c r="A114" s="110" t="s">
        <v>5</v>
      </c>
      <c r="B114" s="101" t="s">
        <v>402</v>
      </c>
      <c r="C114" s="102"/>
      <c r="D114" s="102"/>
      <c r="E114" s="102"/>
      <c r="F114" s="102"/>
      <c r="G114" s="102"/>
      <c r="H114" s="102"/>
      <c r="I114" s="102"/>
      <c r="J114" s="103"/>
      <c r="K114" s="111"/>
      <c r="L114" s="111"/>
      <c r="M114" s="111"/>
      <c r="N114" s="111"/>
      <c r="O114" s="112" t="str">
        <f t="shared" si="658"/>
        <v>x</v>
      </c>
      <c r="P114" s="111"/>
      <c r="Q114" s="111"/>
      <c r="R114" s="111"/>
      <c r="S114" s="111"/>
      <c r="T114" s="112" t="str">
        <f t="shared" si="560"/>
        <v>x</v>
      </c>
      <c r="U114" s="112"/>
      <c r="V114" s="112"/>
      <c r="W114" s="111"/>
      <c r="X114" s="112"/>
      <c r="Y114" s="112"/>
      <c r="Z114" s="112"/>
      <c r="AA114" s="112"/>
      <c r="AB114" s="112"/>
      <c r="AC114" s="112" t="str">
        <f t="shared" si="561"/>
        <v>x</v>
      </c>
      <c r="AD114" s="112"/>
      <c r="AE114" s="112" t="str">
        <f t="shared" si="659"/>
        <v>x</v>
      </c>
      <c r="AF114" s="112" t="str">
        <f t="shared" si="562"/>
        <v>x</v>
      </c>
      <c r="AG114" s="112" t="str">
        <f t="shared" si="563"/>
        <v>x</v>
      </c>
      <c r="AH114" s="111"/>
      <c r="AI114" s="111"/>
      <c r="AJ114" s="112" t="str">
        <f t="shared" si="564"/>
        <v>x</v>
      </c>
      <c r="AK114" s="112" t="str">
        <f t="shared" si="565"/>
        <v>x</v>
      </c>
      <c r="AL114" s="112"/>
      <c r="AM114" s="112" t="str">
        <f t="shared" si="660"/>
        <v>x</v>
      </c>
      <c r="AN114" s="112"/>
      <c r="AO114" s="112"/>
      <c r="AP114" s="112"/>
      <c r="AQ114" s="112"/>
      <c r="AR114" s="112"/>
      <c r="AS114" s="112"/>
      <c r="AT114" s="112"/>
      <c r="AU114" s="114" t="str">
        <f t="shared" si="566"/>
        <v>x</v>
      </c>
      <c r="AV114" s="114" t="str">
        <f t="shared" si="567"/>
        <v>x</v>
      </c>
      <c r="AW114" s="114" t="str">
        <f t="shared" si="568"/>
        <v>x</v>
      </c>
      <c r="AX114" s="111"/>
      <c r="AY114" s="111"/>
      <c r="AZ114" s="112" t="str">
        <f t="shared" si="569"/>
        <v>x</v>
      </c>
      <c r="BA114" s="112" t="str">
        <f t="shared" si="570"/>
        <v>x</v>
      </c>
      <c r="BB114" s="111"/>
      <c r="BC114" s="111"/>
      <c r="BD114" s="111"/>
      <c r="BE114" s="112" t="str">
        <f t="shared" si="571"/>
        <v>x</v>
      </c>
      <c r="BF114" s="111"/>
      <c r="BG114" s="112" t="str">
        <f t="shared" si="572"/>
        <v>x</v>
      </c>
      <c r="BH114" s="112" t="str">
        <f t="shared" si="661"/>
        <v>x</v>
      </c>
      <c r="BI114" s="112" t="str">
        <f t="shared" si="573"/>
        <v>x</v>
      </c>
      <c r="BJ114" s="111"/>
      <c r="BK114" s="112" t="str">
        <f t="shared" si="574"/>
        <v>x</v>
      </c>
      <c r="BL114" s="111"/>
      <c r="BM114" s="111"/>
      <c r="BN114" s="111"/>
      <c r="BO114" s="111"/>
      <c r="BP114" s="111"/>
      <c r="BQ114" s="111"/>
      <c r="BR114" s="112" t="str">
        <f t="shared" si="575"/>
        <v>x</v>
      </c>
      <c r="BS114" s="112"/>
      <c r="BT114" s="111"/>
      <c r="BU114" s="112" t="str">
        <f t="shared" si="576"/>
        <v>x</v>
      </c>
      <c r="BV114" s="112" t="str">
        <f t="shared" si="577"/>
        <v>x</v>
      </c>
      <c r="BW114" s="112"/>
      <c r="BX114" s="112"/>
      <c r="BY114" s="112" t="str">
        <f t="shared" si="662"/>
        <v>x</v>
      </c>
      <c r="BZ114" s="112" t="str">
        <f t="shared" si="578"/>
        <v>x</v>
      </c>
      <c r="CA114" s="112" t="str">
        <f t="shared" si="579"/>
        <v>x</v>
      </c>
      <c r="CB114" s="112" t="str">
        <f t="shared" si="580"/>
        <v>x</v>
      </c>
      <c r="CC114" s="112"/>
      <c r="CD114" s="112"/>
      <c r="CE114" s="111"/>
      <c r="CF114" s="111"/>
      <c r="CG114" s="112" t="str">
        <f t="shared" si="663"/>
        <v>x</v>
      </c>
      <c r="CH114" s="112" t="str">
        <f t="shared" si="581"/>
        <v>x</v>
      </c>
      <c r="CI114" s="112" t="str">
        <f t="shared" si="582"/>
        <v>x</v>
      </c>
      <c r="CJ114" s="112" t="str">
        <f t="shared" si="583"/>
        <v>x</v>
      </c>
      <c r="CK114" s="112"/>
      <c r="CL114" s="112"/>
      <c r="CM114" s="112"/>
      <c r="CN114" s="112"/>
      <c r="CO114" s="112" t="str">
        <f t="shared" si="664"/>
        <v>x</v>
      </c>
      <c r="CP114" s="112"/>
      <c r="CQ114" s="112" t="str">
        <f t="shared" si="665"/>
        <v>x</v>
      </c>
      <c r="CR114" s="112" t="str">
        <f t="shared" si="584"/>
        <v>x</v>
      </c>
      <c r="CS114" s="112"/>
      <c r="CT114" s="112" t="str">
        <f t="shared" si="666"/>
        <v>x</v>
      </c>
      <c r="CU114" s="112"/>
      <c r="CV114" s="112"/>
      <c r="CW114" s="112"/>
      <c r="CX114" s="112" t="str">
        <f t="shared" si="585"/>
        <v>x</v>
      </c>
      <c r="CY114" s="112"/>
      <c r="CZ114" s="112"/>
      <c r="DA114" s="112"/>
      <c r="DB114" s="115" t="str">
        <f t="shared" si="667"/>
        <v>x</v>
      </c>
      <c r="DC114" s="112"/>
      <c r="DD114" s="112"/>
      <c r="DE114" s="112" t="str">
        <f t="shared" si="586"/>
        <v>x</v>
      </c>
      <c r="DF114" s="115" t="str">
        <f t="shared" si="587"/>
        <v>x</v>
      </c>
      <c r="DG114" s="112" t="str">
        <f t="shared" si="588"/>
        <v>x</v>
      </c>
      <c r="DH114" s="112" t="str">
        <f t="shared" si="589"/>
        <v>x</v>
      </c>
      <c r="DI114" s="112"/>
      <c r="DJ114" s="112"/>
      <c r="DK114" s="112"/>
      <c r="DL114" s="112"/>
      <c r="DM114" s="112"/>
      <c r="DN114" s="112"/>
      <c r="DO114" s="111"/>
      <c r="DP114" s="111"/>
      <c r="DQ114" s="112" t="str">
        <f t="shared" si="590"/>
        <v>x</v>
      </c>
      <c r="DR114" s="112" t="str">
        <f t="shared" si="668"/>
        <v>x</v>
      </c>
      <c r="DS114" s="112" t="str">
        <f t="shared" si="669"/>
        <v>x</v>
      </c>
      <c r="DT114" s="112"/>
      <c r="DU114" s="112" t="str">
        <f t="shared" si="591"/>
        <v>x</v>
      </c>
      <c r="DV114" s="111"/>
      <c r="DW114" s="112" t="str">
        <f t="shared" si="670"/>
        <v>x</v>
      </c>
      <c r="DX114" s="111"/>
      <c r="DY114" s="112" t="str">
        <f t="shared" si="592"/>
        <v>x</v>
      </c>
      <c r="DZ114" s="112" t="str">
        <f t="shared" si="593"/>
        <v>x</v>
      </c>
      <c r="EA114" s="112" t="str">
        <f t="shared" si="594"/>
        <v>x</v>
      </c>
      <c r="EB114" s="112" t="str">
        <f t="shared" si="595"/>
        <v>x</v>
      </c>
      <c r="EC114" s="111"/>
      <c r="ED114" s="111"/>
      <c r="EE114" s="111"/>
      <c r="EF114" s="111"/>
      <c r="EG114" s="111"/>
      <c r="EH114" s="111"/>
      <c r="EI114" s="112"/>
      <c r="EJ114" s="112" t="str">
        <f t="shared" si="596"/>
        <v>x</v>
      </c>
      <c r="EK114" s="111"/>
      <c r="EL114" s="112" t="str">
        <f t="shared" si="597"/>
        <v>x</v>
      </c>
      <c r="EM114" s="112" t="str">
        <f t="shared" si="598"/>
        <v>x</v>
      </c>
      <c r="EN114" s="112"/>
      <c r="EO114" s="117" t="str">
        <f t="shared" si="599"/>
        <v>x</v>
      </c>
      <c r="EP114" s="117" t="str">
        <f t="shared" si="600"/>
        <v>x</v>
      </c>
      <c r="EQ114" s="112" t="str">
        <f t="shared" si="601"/>
        <v>x</v>
      </c>
      <c r="ER114" s="111"/>
      <c r="ES114" s="111"/>
      <c r="ET114" s="112" t="str">
        <f t="shared" si="602"/>
        <v>x</v>
      </c>
      <c r="EU114" s="112" t="str">
        <f t="shared" si="603"/>
        <v>x</v>
      </c>
      <c r="EV114" s="112" t="str">
        <f t="shared" si="604"/>
        <v>x</v>
      </c>
      <c r="EW114" s="112" t="str">
        <f t="shared" si="605"/>
        <v>x</v>
      </c>
      <c r="EX114" s="111"/>
      <c r="EY114" s="112" t="str">
        <f t="shared" si="606"/>
        <v>x</v>
      </c>
      <c r="EZ114" s="112"/>
      <c r="FA114" s="112" t="str">
        <f t="shared" si="607"/>
        <v>x</v>
      </c>
      <c r="FB114" s="111"/>
      <c r="FC114" s="112" t="str">
        <f t="shared" si="608"/>
        <v>x</v>
      </c>
      <c r="FD114" s="112" t="str">
        <f t="shared" si="609"/>
        <v>x</v>
      </c>
      <c r="FE114" s="111"/>
      <c r="FF114" s="112" t="str">
        <f t="shared" si="610"/>
        <v>x</v>
      </c>
      <c r="FG114" s="111"/>
      <c r="FH114" s="111"/>
      <c r="FI114" s="112"/>
      <c r="FJ114" s="112" t="str">
        <f t="shared" si="611"/>
        <v>x</v>
      </c>
      <c r="FK114" s="112" t="str">
        <f t="shared" si="612"/>
        <v>x</v>
      </c>
      <c r="FL114" s="112"/>
      <c r="FM114" s="112" t="str">
        <f t="shared" si="613"/>
        <v>x</v>
      </c>
      <c r="FN114" s="112" t="str">
        <f t="shared" si="671"/>
        <v>x</v>
      </c>
      <c r="FO114" s="112" t="str">
        <f t="shared" si="614"/>
        <v>x</v>
      </c>
      <c r="FP114" s="112" t="str">
        <f t="shared" si="615"/>
        <v>x</v>
      </c>
      <c r="FQ114" s="112" t="str">
        <f t="shared" si="616"/>
        <v>x</v>
      </c>
      <c r="FR114" s="112" t="str">
        <f t="shared" si="617"/>
        <v>x</v>
      </c>
      <c r="FS114" s="112" t="str">
        <f t="shared" si="618"/>
        <v>x</v>
      </c>
      <c r="FT114" s="112" t="str">
        <f t="shared" si="619"/>
        <v>x</v>
      </c>
      <c r="FU114" s="112" t="str">
        <f t="shared" si="620"/>
        <v>x</v>
      </c>
      <c r="FV114" s="112" t="str">
        <f t="shared" si="621"/>
        <v>x</v>
      </c>
      <c r="FW114" s="111"/>
      <c r="FX114" s="112"/>
      <c r="FY114" s="112"/>
      <c r="FZ114" s="111"/>
      <c r="GA114" s="111"/>
      <c r="GB114" s="111"/>
      <c r="GC114" s="112" t="str">
        <f t="shared" si="622"/>
        <v>x</v>
      </c>
      <c r="GD114" s="111"/>
      <c r="GE114" s="111"/>
      <c r="GF114" s="111"/>
      <c r="GG114" s="112"/>
      <c r="GH114" s="111"/>
      <c r="GI114" s="111"/>
      <c r="GJ114" s="112" t="str">
        <f t="shared" si="623"/>
        <v>x</v>
      </c>
      <c r="GK114" s="111"/>
      <c r="GL114" s="112" t="str">
        <f t="shared" si="624"/>
        <v>x</v>
      </c>
      <c r="GM114" s="111"/>
      <c r="GN114" s="111"/>
      <c r="GO114" s="112" t="str">
        <f t="shared" si="625"/>
        <v>x</v>
      </c>
      <c r="GP114" s="112"/>
      <c r="GQ114" s="112" t="str">
        <f t="shared" si="626"/>
        <v>x</v>
      </c>
      <c r="GR114" s="112" t="str">
        <f t="shared" si="627"/>
        <v>x</v>
      </c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2" t="str">
        <f t="shared" si="628"/>
        <v>x</v>
      </c>
      <c r="HC114" s="112" t="str">
        <f t="shared" si="629"/>
        <v>x</v>
      </c>
      <c r="HD114" s="112" t="str">
        <f t="shared" si="630"/>
        <v>x</v>
      </c>
      <c r="HE114" s="112" t="str">
        <f t="shared" si="631"/>
        <v>x</v>
      </c>
      <c r="HF114" s="112" t="str">
        <f t="shared" si="632"/>
        <v>x</v>
      </c>
      <c r="HG114" s="112"/>
      <c r="HH114" s="112" t="str">
        <f t="shared" si="672"/>
        <v>x</v>
      </c>
      <c r="HI114" s="112"/>
      <c r="HJ114" s="112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2" t="str">
        <f t="shared" si="633"/>
        <v>x</v>
      </c>
      <c r="HY114" s="112" t="str">
        <f t="shared" si="634"/>
        <v>x</v>
      </c>
      <c r="HZ114" s="112" t="str">
        <f t="shared" si="635"/>
        <v>x</v>
      </c>
      <c r="IA114" s="111"/>
      <c r="IB114" s="111"/>
      <c r="IC114" s="111"/>
      <c r="ID114" s="111"/>
      <c r="IE114" s="111"/>
      <c r="IF114" s="111"/>
      <c r="IG114" s="111"/>
      <c r="IH114" s="112" t="str">
        <f t="shared" si="636"/>
        <v>x</v>
      </c>
      <c r="II114" s="111"/>
      <c r="IJ114" s="112" t="str">
        <f t="shared" si="637"/>
        <v>x</v>
      </c>
      <c r="IK114" s="112" t="str">
        <f t="shared" si="638"/>
        <v>x</v>
      </c>
      <c r="IL114" s="112" t="str">
        <f t="shared" si="639"/>
        <v>x</v>
      </c>
      <c r="IM114" s="112" t="str">
        <f t="shared" si="640"/>
        <v>x</v>
      </c>
      <c r="IN114" s="112"/>
      <c r="IO114" s="112"/>
      <c r="IP114" s="112" t="str">
        <f t="shared" si="641"/>
        <v>x</v>
      </c>
      <c r="IQ114" s="112"/>
      <c r="IR114" s="111"/>
      <c r="IS114" s="111"/>
      <c r="IT114" s="111"/>
      <c r="IU114" s="112" t="str">
        <f t="shared" si="642"/>
        <v>x</v>
      </c>
      <c r="IV114" s="112"/>
      <c r="IW114" s="112" t="str">
        <f t="shared" si="643"/>
        <v>x</v>
      </c>
      <c r="IX114" s="112" t="str">
        <f t="shared" si="644"/>
        <v>x</v>
      </c>
      <c r="IY114" s="111"/>
      <c r="IZ114" s="112" t="str">
        <f t="shared" si="645"/>
        <v>x</v>
      </c>
      <c r="JA114" s="111"/>
      <c r="JB114" s="112" t="str">
        <f t="shared" si="646"/>
        <v>x</v>
      </c>
      <c r="JC114" s="111"/>
      <c r="JD114" s="112"/>
      <c r="JE114" s="112"/>
      <c r="JF114" s="112"/>
      <c r="JG114" s="112"/>
      <c r="JH114" s="111"/>
      <c r="JI114" s="112" t="str">
        <f t="shared" si="673"/>
        <v>x</v>
      </c>
      <c r="JJ114" s="112" t="str">
        <f t="shared" si="674"/>
        <v>x</v>
      </c>
      <c r="JK114" s="112" t="str">
        <f t="shared" si="675"/>
        <v>x</v>
      </c>
      <c r="JL114" s="112" t="str">
        <f t="shared" si="647"/>
        <v>x</v>
      </c>
      <c r="JM114" s="112"/>
      <c r="JN114" s="112"/>
      <c r="JO114" s="112"/>
      <c r="JP114" s="112"/>
      <c r="JQ114" s="112" t="str">
        <f t="shared" si="648"/>
        <v>x</v>
      </c>
      <c r="JR114" s="112"/>
      <c r="JS114" s="112" t="str">
        <f t="shared" si="649"/>
        <v>x</v>
      </c>
      <c r="JT114" s="111"/>
      <c r="JU114" s="111"/>
      <c r="JV114" s="112"/>
      <c r="JW114" s="112"/>
      <c r="JX114" s="112"/>
      <c r="JY114" s="112"/>
      <c r="JZ114" s="112"/>
      <c r="KA114" s="112" t="str">
        <f t="shared" si="650"/>
        <v>x</v>
      </c>
      <c r="KB114" s="111"/>
      <c r="KC114" s="112" t="str">
        <f t="shared" si="651"/>
        <v>x</v>
      </c>
      <c r="KD114" s="112" t="str">
        <f t="shared" si="652"/>
        <v>x</v>
      </c>
      <c r="KE114" s="112" t="str">
        <f t="shared" si="653"/>
        <v>x</v>
      </c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1"/>
      <c r="LC114" s="112"/>
      <c r="LD114" s="112"/>
      <c r="LE114" s="112"/>
      <c r="LF114" s="112"/>
      <c r="LG114" s="112"/>
      <c r="LH114" s="112"/>
      <c r="LI114" s="112"/>
      <c r="LJ114" s="112"/>
      <c r="LK114" s="112"/>
      <c r="LL114" s="111"/>
      <c r="LM114" s="111"/>
      <c r="LN114" s="111"/>
      <c r="LO114" s="111"/>
      <c r="LP114" s="112"/>
      <c r="LQ114" s="111"/>
      <c r="LR114" s="112"/>
      <c r="LS114" s="112"/>
      <c r="LT114" s="111"/>
      <c r="LU114" s="111"/>
      <c r="LV114" s="111"/>
      <c r="LW114" s="111"/>
      <c r="LX114" s="111"/>
      <c r="LY114" s="111"/>
      <c r="LZ114" s="111"/>
      <c r="MA114" s="112"/>
      <c r="MB114" s="111"/>
      <c r="MC114" s="112" t="str">
        <f t="shared" si="654"/>
        <v>x</v>
      </c>
      <c r="MD114" s="111"/>
      <c r="ME114" s="112" t="str">
        <f t="shared" si="655"/>
        <v>x</v>
      </c>
      <c r="MF114" s="112" t="str">
        <f t="shared" si="656"/>
        <v>x</v>
      </c>
      <c r="MG114" s="112" t="str">
        <f t="shared" si="676"/>
        <v>x</v>
      </c>
      <c r="MH114" s="112" t="str">
        <f t="shared" si="657"/>
        <v>x</v>
      </c>
    </row>
    <row r="115" spans="1:346" x14ac:dyDescent="0.25">
      <c r="A115" s="110" t="s">
        <v>5</v>
      </c>
      <c r="B115" s="101" t="s">
        <v>51</v>
      </c>
      <c r="C115" s="102"/>
      <c r="D115" s="102"/>
      <c r="E115" s="102"/>
      <c r="F115" s="102"/>
      <c r="G115" s="102"/>
      <c r="H115" s="102"/>
      <c r="I115" s="102"/>
      <c r="J115" s="103"/>
      <c r="K115" s="111"/>
      <c r="L115" s="111"/>
      <c r="M115" s="111"/>
      <c r="N115" s="111"/>
      <c r="O115" s="112" t="str">
        <f t="shared" si="658"/>
        <v>x</v>
      </c>
      <c r="P115" s="111"/>
      <c r="Q115" s="111"/>
      <c r="R115" s="111"/>
      <c r="S115" s="111"/>
      <c r="T115" s="112" t="str">
        <f t="shared" si="560"/>
        <v>x</v>
      </c>
      <c r="U115" s="112"/>
      <c r="V115" s="112"/>
      <c r="W115" s="111"/>
      <c r="X115" s="112"/>
      <c r="Y115" s="112"/>
      <c r="Z115" s="112"/>
      <c r="AA115" s="112"/>
      <c r="AB115" s="112"/>
      <c r="AC115" s="112" t="str">
        <f t="shared" si="561"/>
        <v>x</v>
      </c>
      <c r="AD115" s="112"/>
      <c r="AE115" s="112" t="str">
        <f t="shared" si="659"/>
        <v>x</v>
      </c>
      <c r="AF115" s="112" t="str">
        <f t="shared" si="562"/>
        <v>x</v>
      </c>
      <c r="AG115" s="112" t="str">
        <f t="shared" si="563"/>
        <v>x</v>
      </c>
      <c r="AH115" s="111"/>
      <c r="AI115" s="111"/>
      <c r="AJ115" s="112" t="str">
        <f t="shared" si="564"/>
        <v>x</v>
      </c>
      <c r="AK115" s="112" t="str">
        <f t="shared" si="565"/>
        <v>x</v>
      </c>
      <c r="AL115" s="112"/>
      <c r="AM115" s="112" t="str">
        <f t="shared" si="660"/>
        <v>x</v>
      </c>
      <c r="AN115" s="112"/>
      <c r="AO115" s="112"/>
      <c r="AP115" s="112"/>
      <c r="AQ115" s="112"/>
      <c r="AR115" s="112"/>
      <c r="AS115" s="112"/>
      <c r="AT115" s="112"/>
      <c r="AU115" s="114" t="str">
        <f t="shared" si="566"/>
        <v>x</v>
      </c>
      <c r="AV115" s="114" t="str">
        <f t="shared" si="567"/>
        <v>x</v>
      </c>
      <c r="AW115" s="114" t="str">
        <f t="shared" si="568"/>
        <v>x</v>
      </c>
      <c r="AX115" s="111"/>
      <c r="AY115" s="111"/>
      <c r="AZ115" s="112" t="str">
        <f t="shared" si="569"/>
        <v>x</v>
      </c>
      <c r="BA115" s="112" t="str">
        <f t="shared" si="570"/>
        <v>x</v>
      </c>
      <c r="BB115" s="111"/>
      <c r="BC115" s="111"/>
      <c r="BD115" s="111"/>
      <c r="BE115" s="112" t="str">
        <f t="shared" si="571"/>
        <v>x</v>
      </c>
      <c r="BF115" s="111"/>
      <c r="BG115" s="112" t="str">
        <f t="shared" si="572"/>
        <v>x</v>
      </c>
      <c r="BH115" s="112" t="str">
        <f t="shared" si="661"/>
        <v>x</v>
      </c>
      <c r="BI115" s="112" t="str">
        <f t="shared" si="573"/>
        <v>x</v>
      </c>
      <c r="BJ115" s="111"/>
      <c r="BK115" s="112" t="str">
        <f t="shared" si="574"/>
        <v>x</v>
      </c>
      <c r="BL115" s="111"/>
      <c r="BM115" s="111"/>
      <c r="BN115" s="111"/>
      <c r="BO115" s="111"/>
      <c r="BP115" s="111"/>
      <c r="BQ115" s="111"/>
      <c r="BR115" s="112" t="str">
        <f t="shared" si="575"/>
        <v>x</v>
      </c>
      <c r="BS115" s="112"/>
      <c r="BT115" s="111"/>
      <c r="BU115" s="112" t="str">
        <f t="shared" si="576"/>
        <v>x</v>
      </c>
      <c r="BV115" s="112" t="str">
        <f t="shared" si="577"/>
        <v>x</v>
      </c>
      <c r="BW115" s="112"/>
      <c r="BX115" s="112"/>
      <c r="BY115" s="112" t="str">
        <f t="shared" si="662"/>
        <v>x</v>
      </c>
      <c r="BZ115" s="112" t="str">
        <f t="shared" si="578"/>
        <v>x</v>
      </c>
      <c r="CA115" s="112" t="str">
        <f t="shared" si="579"/>
        <v>x</v>
      </c>
      <c r="CB115" s="112" t="str">
        <f t="shared" si="580"/>
        <v>x</v>
      </c>
      <c r="CC115" s="112"/>
      <c r="CD115" s="112"/>
      <c r="CE115" s="111"/>
      <c r="CF115" s="111"/>
      <c r="CG115" s="112" t="str">
        <f t="shared" si="663"/>
        <v>x</v>
      </c>
      <c r="CH115" s="112" t="str">
        <f t="shared" si="581"/>
        <v>x</v>
      </c>
      <c r="CI115" s="112" t="str">
        <f t="shared" si="582"/>
        <v>x</v>
      </c>
      <c r="CJ115" s="112" t="str">
        <f t="shared" si="583"/>
        <v>x</v>
      </c>
      <c r="CK115" s="112"/>
      <c r="CL115" s="112"/>
      <c r="CM115" s="112"/>
      <c r="CN115" s="112"/>
      <c r="CO115" s="112" t="str">
        <f t="shared" si="664"/>
        <v>x</v>
      </c>
      <c r="CP115" s="112"/>
      <c r="CQ115" s="112" t="str">
        <f t="shared" si="665"/>
        <v>x</v>
      </c>
      <c r="CR115" s="112" t="str">
        <f t="shared" si="584"/>
        <v>x</v>
      </c>
      <c r="CS115" s="112"/>
      <c r="CT115" s="112" t="str">
        <f t="shared" si="666"/>
        <v>x</v>
      </c>
      <c r="CU115" s="112"/>
      <c r="CV115" s="112"/>
      <c r="CW115" s="112"/>
      <c r="CX115" s="112" t="str">
        <f t="shared" si="585"/>
        <v>x</v>
      </c>
      <c r="CY115" s="112"/>
      <c r="CZ115" s="112"/>
      <c r="DA115" s="112"/>
      <c r="DB115" s="115" t="str">
        <f t="shared" si="667"/>
        <v>x</v>
      </c>
      <c r="DC115" s="112"/>
      <c r="DD115" s="112"/>
      <c r="DE115" s="112" t="str">
        <f t="shared" si="586"/>
        <v>x</v>
      </c>
      <c r="DF115" s="115" t="str">
        <f t="shared" si="587"/>
        <v>x</v>
      </c>
      <c r="DG115" s="112" t="str">
        <f t="shared" si="588"/>
        <v>x</v>
      </c>
      <c r="DH115" s="112" t="str">
        <f t="shared" si="589"/>
        <v>x</v>
      </c>
      <c r="DI115" s="112"/>
      <c r="DJ115" s="112"/>
      <c r="DK115" s="112"/>
      <c r="DL115" s="112"/>
      <c r="DM115" s="112"/>
      <c r="DN115" s="112"/>
      <c r="DO115" s="111"/>
      <c r="DP115" s="111"/>
      <c r="DQ115" s="112" t="str">
        <f t="shared" si="590"/>
        <v>x</v>
      </c>
      <c r="DR115" s="112" t="str">
        <f t="shared" si="668"/>
        <v>x</v>
      </c>
      <c r="DS115" s="112" t="str">
        <f t="shared" si="669"/>
        <v>x</v>
      </c>
      <c r="DT115" s="112"/>
      <c r="DU115" s="112" t="str">
        <f t="shared" si="591"/>
        <v>x</v>
      </c>
      <c r="DV115" s="111"/>
      <c r="DW115" s="112" t="str">
        <f t="shared" si="670"/>
        <v>x</v>
      </c>
      <c r="DX115" s="111"/>
      <c r="DY115" s="112" t="str">
        <f t="shared" si="592"/>
        <v>x</v>
      </c>
      <c r="DZ115" s="112" t="str">
        <f t="shared" si="593"/>
        <v>x</v>
      </c>
      <c r="EA115" s="112" t="str">
        <f t="shared" si="594"/>
        <v>x</v>
      </c>
      <c r="EB115" s="112" t="str">
        <f t="shared" si="595"/>
        <v>x</v>
      </c>
      <c r="EC115" s="111"/>
      <c r="ED115" s="111"/>
      <c r="EE115" s="111"/>
      <c r="EF115" s="111"/>
      <c r="EG115" s="111"/>
      <c r="EH115" s="111"/>
      <c r="EI115" s="112"/>
      <c r="EJ115" s="112" t="str">
        <f t="shared" si="596"/>
        <v>x</v>
      </c>
      <c r="EK115" s="111"/>
      <c r="EL115" s="112" t="str">
        <f t="shared" si="597"/>
        <v>x</v>
      </c>
      <c r="EM115" s="112" t="str">
        <f t="shared" si="598"/>
        <v>x</v>
      </c>
      <c r="EN115" s="112"/>
      <c r="EO115" s="117" t="str">
        <f t="shared" si="599"/>
        <v>x</v>
      </c>
      <c r="EP115" s="117" t="str">
        <f t="shared" si="600"/>
        <v>x</v>
      </c>
      <c r="EQ115" s="112" t="str">
        <f t="shared" si="601"/>
        <v>x</v>
      </c>
      <c r="ER115" s="111"/>
      <c r="ES115" s="111"/>
      <c r="ET115" s="112" t="str">
        <f t="shared" si="602"/>
        <v>x</v>
      </c>
      <c r="EU115" s="112" t="str">
        <f t="shared" si="603"/>
        <v>x</v>
      </c>
      <c r="EV115" s="112" t="str">
        <f t="shared" si="604"/>
        <v>x</v>
      </c>
      <c r="EW115" s="112" t="str">
        <f t="shared" si="605"/>
        <v>x</v>
      </c>
      <c r="EX115" s="111"/>
      <c r="EY115" s="112" t="str">
        <f t="shared" si="606"/>
        <v>x</v>
      </c>
      <c r="EZ115" s="112"/>
      <c r="FA115" s="112" t="str">
        <f t="shared" si="607"/>
        <v>x</v>
      </c>
      <c r="FB115" s="111"/>
      <c r="FC115" s="112" t="str">
        <f t="shared" si="608"/>
        <v>x</v>
      </c>
      <c r="FD115" s="112" t="str">
        <f t="shared" si="609"/>
        <v>x</v>
      </c>
      <c r="FE115" s="111"/>
      <c r="FF115" s="112" t="str">
        <f t="shared" si="610"/>
        <v>x</v>
      </c>
      <c r="FG115" s="111"/>
      <c r="FH115" s="111"/>
      <c r="FI115" s="112"/>
      <c r="FJ115" s="112" t="str">
        <f t="shared" si="611"/>
        <v>x</v>
      </c>
      <c r="FK115" s="112" t="str">
        <f t="shared" si="612"/>
        <v>x</v>
      </c>
      <c r="FL115" s="112"/>
      <c r="FM115" s="112" t="str">
        <f t="shared" si="613"/>
        <v>x</v>
      </c>
      <c r="FN115" s="112" t="str">
        <f t="shared" si="671"/>
        <v>x</v>
      </c>
      <c r="FO115" s="112" t="str">
        <f t="shared" si="614"/>
        <v>x</v>
      </c>
      <c r="FP115" s="112" t="str">
        <f t="shared" si="615"/>
        <v>x</v>
      </c>
      <c r="FQ115" s="112" t="str">
        <f t="shared" si="616"/>
        <v>x</v>
      </c>
      <c r="FR115" s="112" t="str">
        <f t="shared" si="617"/>
        <v>x</v>
      </c>
      <c r="FS115" s="112" t="str">
        <f t="shared" si="618"/>
        <v>x</v>
      </c>
      <c r="FT115" s="112" t="str">
        <f t="shared" si="619"/>
        <v>x</v>
      </c>
      <c r="FU115" s="112" t="str">
        <f t="shared" si="620"/>
        <v>x</v>
      </c>
      <c r="FV115" s="112" t="str">
        <f t="shared" si="621"/>
        <v>x</v>
      </c>
      <c r="FW115" s="111"/>
      <c r="FX115" s="112"/>
      <c r="FY115" s="112"/>
      <c r="FZ115" s="111"/>
      <c r="GA115" s="111"/>
      <c r="GB115" s="111"/>
      <c r="GC115" s="112" t="str">
        <f t="shared" si="622"/>
        <v>x</v>
      </c>
      <c r="GD115" s="111"/>
      <c r="GE115" s="111"/>
      <c r="GF115" s="111"/>
      <c r="GG115" s="112"/>
      <c r="GH115" s="111"/>
      <c r="GI115" s="111"/>
      <c r="GJ115" s="112" t="str">
        <f t="shared" si="623"/>
        <v>x</v>
      </c>
      <c r="GK115" s="111"/>
      <c r="GL115" s="112" t="str">
        <f t="shared" si="624"/>
        <v>x</v>
      </c>
      <c r="GM115" s="111"/>
      <c r="GN115" s="111"/>
      <c r="GO115" s="112" t="str">
        <f t="shared" si="625"/>
        <v>x</v>
      </c>
      <c r="GP115" s="112"/>
      <c r="GQ115" s="112" t="str">
        <f t="shared" si="626"/>
        <v>x</v>
      </c>
      <c r="GR115" s="112" t="str">
        <f t="shared" si="627"/>
        <v>x</v>
      </c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2" t="str">
        <f t="shared" si="628"/>
        <v>x</v>
      </c>
      <c r="HC115" s="112" t="str">
        <f t="shared" si="629"/>
        <v>x</v>
      </c>
      <c r="HD115" s="112" t="str">
        <f t="shared" si="630"/>
        <v>x</v>
      </c>
      <c r="HE115" s="112" t="str">
        <f t="shared" si="631"/>
        <v>x</v>
      </c>
      <c r="HF115" s="112" t="str">
        <f t="shared" si="632"/>
        <v>x</v>
      </c>
      <c r="HG115" s="112"/>
      <c r="HH115" s="112" t="str">
        <f t="shared" si="672"/>
        <v>x</v>
      </c>
      <c r="HI115" s="112"/>
      <c r="HJ115" s="112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2" t="str">
        <f t="shared" si="633"/>
        <v>x</v>
      </c>
      <c r="HY115" s="112" t="str">
        <f t="shared" si="634"/>
        <v>x</v>
      </c>
      <c r="HZ115" s="112" t="str">
        <f t="shared" si="635"/>
        <v>x</v>
      </c>
      <c r="IA115" s="111"/>
      <c r="IB115" s="111"/>
      <c r="IC115" s="111"/>
      <c r="ID115" s="111"/>
      <c r="IE115" s="111"/>
      <c r="IF115" s="111"/>
      <c r="IG115" s="111"/>
      <c r="IH115" s="112" t="str">
        <f t="shared" si="636"/>
        <v>x</v>
      </c>
      <c r="II115" s="111"/>
      <c r="IJ115" s="112" t="str">
        <f t="shared" si="637"/>
        <v>x</v>
      </c>
      <c r="IK115" s="112" t="str">
        <f t="shared" si="638"/>
        <v>x</v>
      </c>
      <c r="IL115" s="112" t="str">
        <f t="shared" si="639"/>
        <v>x</v>
      </c>
      <c r="IM115" s="112" t="str">
        <f t="shared" si="640"/>
        <v>x</v>
      </c>
      <c r="IN115" s="112"/>
      <c r="IO115" s="112"/>
      <c r="IP115" s="112" t="str">
        <f t="shared" si="641"/>
        <v>x</v>
      </c>
      <c r="IQ115" s="112"/>
      <c r="IR115" s="111"/>
      <c r="IS115" s="111"/>
      <c r="IT115" s="111"/>
      <c r="IU115" s="112" t="str">
        <f t="shared" si="642"/>
        <v>x</v>
      </c>
      <c r="IV115" s="112"/>
      <c r="IW115" s="112" t="str">
        <f t="shared" si="643"/>
        <v>x</v>
      </c>
      <c r="IX115" s="112" t="str">
        <f t="shared" si="644"/>
        <v>x</v>
      </c>
      <c r="IY115" s="111"/>
      <c r="IZ115" s="112" t="str">
        <f t="shared" si="645"/>
        <v>x</v>
      </c>
      <c r="JA115" s="111"/>
      <c r="JB115" s="112" t="str">
        <f t="shared" si="646"/>
        <v>x</v>
      </c>
      <c r="JC115" s="111"/>
      <c r="JD115" s="112"/>
      <c r="JE115" s="112"/>
      <c r="JF115" s="112"/>
      <c r="JG115" s="112"/>
      <c r="JH115" s="111"/>
      <c r="JI115" s="112" t="str">
        <f t="shared" si="673"/>
        <v>x</v>
      </c>
      <c r="JJ115" s="112" t="str">
        <f t="shared" si="674"/>
        <v>x</v>
      </c>
      <c r="JK115" s="112" t="str">
        <f t="shared" si="675"/>
        <v>x</v>
      </c>
      <c r="JL115" s="112" t="str">
        <f t="shared" si="647"/>
        <v>x</v>
      </c>
      <c r="JM115" s="112"/>
      <c r="JN115" s="112"/>
      <c r="JO115" s="112"/>
      <c r="JP115" s="112"/>
      <c r="JQ115" s="112" t="str">
        <f t="shared" si="648"/>
        <v>x</v>
      </c>
      <c r="JR115" s="112"/>
      <c r="JS115" s="112" t="str">
        <f t="shared" si="649"/>
        <v>x</v>
      </c>
      <c r="JT115" s="111"/>
      <c r="JU115" s="111"/>
      <c r="JV115" s="112"/>
      <c r="JW115" s="112"/>
      <c r="JX115" s="112"/>
      <c r="JY115" s="112"/>
      <c r="JZ115" s="112"/>
      <c r="KA115" s="112" t="str">
        <f t="shared" si="650"/>
        <v>x</v>
      </c>
      <c r="KB115" s="111"/>
      <c r="KC115" s="112" t="str">
        <f t="shared" si="651"/>
        <v>x</v>
      </c>
      <c r="KD115" s="112" t="str">
        <f t="shared" si="652"/>
        <v>x</v>
      </c>
      <c r="KE115" s="112" t="str">
        <f t="shared" si="653"/>
        <v>x</v>
      </c>
      <c r="KF115" s="112"/>
      <c r="KG115" s="112"/>
      <c r="KH115" s="112"/>
      <c r="KI115" s="112"/>
      <c r="KJ115" s="112"/>
      <c r="KK115" s="112"/>
      <c r="KL115" s="112"/>
      <c r="KM115" s="112"/>
      <c r="KN115" s="112"/>
      <c r="KO115" s="112"/>
      <c r="KP115" s="112"/>
      <c r="KQ115" s="112"/>
      <c r="KR115" s="112"/>
      <c r="KS115" s="112"/>
      <c r="KT115" s="112"/>
      <c r="KU115" s="112"/>
      <c r="KV115" s="112"/>
      <c r="KW115" s="112"/>
      <c r="KX115" s="112"/>
      <c r="KY115" s="112"/>
      <c r="KZ115" s="112"/>
      <c r="LA115" s="112"/>
      <c r="LB115" s="111"/>
      <c r="LC115" s="112"/>
      <c r="LD115" s="112"/>
      <c r="LE115" s="112"/>
      <c r="LF115" s="112"/>
      <c r="LG115" s="112"/>
      <c r="LH115" s="112"/>
      <c r="LI115" s="112"/>
      <c r="LJ115" s="112"/>
      <c r="LK115" s="112"/>
      <c r="LL115" s="111"/>
      <c r="LM115" s="111"/>
      <c r="LN115" s="111"/>
      <c r="LO115" s="111"/>
      <c r="LP115" s="112"/>
      <c r="LQ115" s="111"/>
      <c r="LR115" s="112"/>
      <c r="LS115" s="112"/>
      <c r="LT115" s="111"/>
      <c r="LU115" s="111"/>
      <c r="LV115" s="111"/>
      <c r="LW115" s="111"/>
      <c r="LX115" s="111"/>
      <c r="LY115" s="111"/>
      <c r="LZ115" s="111"/>
      <c r="MA115" s="112"/>
      <c r="MB115" s="111"/>
      <c r="MC115" s="112" t="str">
        <f t="shared" si="654"/>
        <v>x</v>
      </c>
      <c r="MD115" s="111"/>
      <c r="ME115" s="112" t="str">
        <f t="shared" si="655"/>
        <v>x</v>
      </c>
      <c r="MF115" s="112" t="str">
        <f t="shared" si="656"/>
        <v>x</v>
      </c>
      <c r="MG115" s="112" t="str">
        <f t="shared" si="676"/>
        <v>x</v>
      </c>
      <c r="MH115" s="112" t="str">
        <f t="shared" si="657"/>
        <v>x</v>
      </c>
    </row>
    <row r="116" spans="1:346" x14ac:dyDescent="0.25">
      <c r="A116" s="110" t="s">
        <v>5</v>
      </c>
      <c r="B116" s="101" t="s">
        <v>403</v>
      </c>
      <c r="C116" s="102"/>
      <c r="D116" s="102"/>
      <c r="E116" s="102"/>
      <c r="F116" s="102"/>
      <c r="G116" s="102"/>
      <c r="H116" s="102"/>
      <c r="I116" s="102"/>
      <c r="J116" s="103"/>
      <c r="K116" s="111"/>
      <c r="L116" s="111"/>
      <c r="M116" s="111"/>
      <c r="N116" s="111"/>
      <c r="O116" s="112" t="str">
        <f t="shared" si="658"/>
        <v>x</v>
      </c>
      <c r="P116" s="111"/>
      <c r="Q116" s="111"/>
      <c r="R116" s="111"/>
      <c r="S116" s="111"/>
      <c r="T116" s="112" t="str">
        <f t="shared" si="560"/>
        <v>x</v>
      </c>
      <c r="U116" s="112"/>
      <c r="V116" s="112"/>
      <c r="W116" s="111"/>
      <c r="X116" s="112"/>
      <c r="Y116" s="112"/>
      <c r="Z116" s="112"/>
      <c r="AA116" s="112"/>
      <c r="AB116" s="112"/>
      <c r="AC116" s="112" t="str">
        <f t="shared" si="561"/>
        <v>x</v>
      </c>
      <c r="AD116" s="112"/>
      <c r="AE116" s="112" t="str">
        <f t="shared" si="659"/>
        <v>x</v>
      </c>
      <c r="AF116" s="112" t="str">
        <f t="shared" si="562"/>
        <v>x</v>
      </c>
      <c r="AG116" s="112" t="str">
        <f t="shared" si="563"/>
        <v>x</v>
      </c>
      <c r="AH116" s="111"/>
      <c r="AI116" s="111"/>
      <c r="AJ116" s="112" t="str">
        <f t="shared" si="564"/>
        <v>x</v>
      </c>
      <c r="AK116" s="112" t="str">
        <f t="shared" si="565"/>
        <v>x</v>
      </c>
      <c r="AL116" s="112"/>
      <c r="AM116" s="112" t="str">
        <f t="shared" si="660"/>
        <v>x</v>
      </c>
      <c r="AN116" s="112"/>
      <c r="AO116" s="112"/>
      <c r="AP116" s="112"/>
      <c r="AQ116" s="112"/>
      <c r="AR116" s="112"/>
      <c r="AS116" s="112"/>
      <c r="AT116" s="112"/>
      <c r="AU116" s="114" t="str">
        <f t="shared" si="566"/>
        <v>x</v>
      </c>
      <c r="AV116" s="114" t="str">
        <f t="shared" si="567"/>
        <v>x</v>
      </c>
      <c r="AW116" s="114" t="str">
        <f t="shared" si="568"/>
        <v>x</v>
      </c>
      <c r="AX116" s="111"/>
      <c r="AY116" s="111"/>
      <c r="AZ116" s="112" t="str">
        <f t="shared" si="569"/>
        <v>x</v>
      </c>
      <c r="BA116" s="112" t="str">
        <f t="shared" si="570"/>
        <v>x</v>
      </c>
      <c r="BB116" s="111"/>
      <c r="BC116" s="111"/>
      <c r="BD116" s="111"/>
      <c r="BE116" s="112" t="str">
        <f t="shared" si="571"/>
        <v>x</v>
      </c>
      <c r="BF116" s="111"/>
      <c r="BG116" s="112" t="str">
        <f t="shared" si="572"/>
        <v>x</v>
      </c>
      <c r="BH116" s="112" t="str">
        <f t="shared" si="661"/>
        <v>x</v>
      </c>
      <c r="BI116" s="112" t="str">
        <f t="shared" si="573"/>
        <v>x</v>
      </c>
      <c r="BJ116" s="111"/>
      <c r="BK116" s="112" t="str">
        <f t="shared" si="574"/>
        <v>x</v>
      </c>
      <c r="BL116" s="111"/>
      <c r="BM116" s="111"/>
      <c r="BN116" s="111"/>
      <c r="BO116" s="111"/>
      <c r="BP116" s="111"/>
      <c r="BQ116" s="111"/>
      <c r="BR116" s="112" t="str">
        <f t="shared" si="575"/>
        <v>x</v>
      </c>
      <c r="BS116" s="112"/>
      <c r="BT116" s="111"/>
      <c r="BU116" s="112" t="str">
        <f t="shared" si="576"/>
        <v>x</v>
      </c>
      <c r="BV116" s="112" t="str">
        <f t="shared" si="577"/>
        <v>x</v>
      </c>
      <c r="BW116" s="112"/>
      <c r="BX116" s="112"/>
      <c r="BY116" s="112" t="str">
        <f t="shared" si="662"/>
        <v>x</v>
      </c>
      <c r="BZ116" s="112" t="str">
        <f t="shared" si="578"/>
        <v>x</v>
      </c>
      <c r="CA116" s="112" t="str">
        <f t="shared" si="579"/>
        <v>x</v>
      </c>
      <c r="CB116" s="112" t="str">
        <f t="shared" si="580"/>
        <v>x</v>
      </c>
      <c r="CC116" s="112"/>
      <c r="CD116" s="112"/>
      <c r="CE116" s="111"/>
      <c r="CF116" s="111"/>
      <c r="CG116" s="112" t="str">
        <f t="shared" si="663"/>
        <v>x</v>
      </c>
      <c r="CH116" s="112" t="str">
        <f t="shared" si="581"/>
        <v>x</v>
      </c>
      <c r="CI116" s="112" t="str">
        <f t="shared" si="582"/>
        <v>x</v>
      </c>
      <c r="CJ116" s="112" t="str">
        <f t="shared" si="583"/>
        <v>x</v>
      </c>
      <c r="CK116" s="112"/>
      <c r="CL116" s="112"/>
      <c r="CM116" s="112"/>
      <c r="CN116" s="112"/>
      <c r="CO116" s="112" t="str">
        <f t="shared" si="664"/>
        <v>x</v>
      </c>
      <c r="CP116" s="112"/>
      <c r="CQ116" s="112" t="str">
        <f t="shared" si="665"/>
        <v>x</v>
      </c>
      <c r="CR116" s="112" t="str">
        <f t="shared" si="584"/>
        <v>x</v>
      </c>
      <c r="CS116" s="112"/>
      <c r="CT116" s="112" t="str">
        <f t="shared" si="666"/>
        <v>x</v>
      </c>
      <c r="CU116" s="112"/>
      <c r="CV116" s="112"/>
      <c r="CW116" s="112"/>
      <c r="CX116" s="112" t="str">
        <f t="shared" si="585"/>
        <v>x</v>
      </c>
      <c r="CY116" s="112"/>
      <c r="CZ116" s="112"/>
      <c r="DA116" s="112"/>
      <c r="DB116" s="115" t="str">
        <f t="shared" si="667"/>
        <v>x</v>
      </c>
      <c r="DC116" s="112"/>
      <c r="DD116" s="112"/>
      <c r="DE116" s="112" t="str">
        <f t="shared" si="586"/>
        <v>x</v>
      </c>
      <c r="DF116" s="115" t="str">
        <f t="shared" si="587"/>
        <v>x</v>
      </c>
      <c r="DG116" s="112" t="str">
        <f t="shared" si="588"/>
        <v>x</v>
      </c>
      <c r="DH116" s="112" t="str">
        <f t="shared" si="589"/>
        <v>x</v>
      </c>
      <c r="DI116" s="112"/>
      <c r="DJ116" s="112"/>
      <c r="DK116" s="112"/>
      <c r="DL116" s="112"/>
      <c r="DM116" s="112"/>
      <c r="DN116" s="112"/>
      <c r="DO116" s="111"/>
      <c r="DP116" s="111"/>
      <c r="DQ116" s="112" t="str">
        <f t="shared" si="590"/>
        <v>x</v>
      </c>
      <c r="DR116" s="112" t="str">
        <f t="shared" si="668"/>
        <v>x</v>
      </c>
      <c r="DS116" s="112" t="str">
        <f t="shared" si="669"/>
        <v>x</v>
      </c>
      <c r="DT116" s="112"/>
      <c r="DU116" s="112" t="str">
        <f t="shared" si="591"/>
        <v>x</v>
      </c>
      <c r="DV116" s="111"/>
      <c r="DW116" s="112" t="str">
        <f t="shared" si="670"/>
        <v>x</v>
      </c>
      <c r="DX116" s="111"/>
      <c r="DY116" s="112" t="str">
        <f t="shared" si="592"/>
        <v>x</v>
      </c>
      <c r="DZ116" s="112" t="str">
        <f t="shared" si="593"/>
        <v>x</v>
      </c>
      <c r="EA116" s="112" t="str">
        <f t="shared" si="594"/>
        <v>x</v>
      </c>
      <c r="EB116" s="112" t="str">
        <f t="shared" si="595"/>
        <v>x</v>
      </c>
      <c r="EC116" s="111"/>
      <c r="ED116" s="111"/>
      <c r="EE116" s="111"/>
      <c r="EF116" s="111"/>
      <c r="EG116" s="111"/>
      <c r="EH116" s="111"/>
      <c r="EI116" s="112"/>
      <c r="EJ116" s="112" t="str">
        <f t="shared" si="596"/>
        <v>x</v>
      </c>
      <c r="EK116" s="111"/>
      <c r="EL116" s="112" t="str">
        <f t="shared" si="597"/>
        <v>x</v>
      </c>
      <c r="EM116" s="112" t="str">
        <f t="shared" si="598"/>
        <v>x</v>
      </c>
      <c r="EN116" s="112"/>
      <c r="EO116" s="117" t="str">
        <f t="shared" si="599"/>
        <v>x</v>
      </c>
      <c r="EP116" s="117" t="str">
        <f t="shared" si="600"/>
        <v>x</v>
      </c>
      <c r="EQ116" s="112" t="str">
        <f t="shared" si="601"/>
        <v>x</v>
      </c>
      <c r="ER116" s="111"/>
      <c r="ES116" s="111"/>
      <c r="ET116" s="112" t="str">
        <f t="shared" si="602"/>
        <v>x</v>
      </c>
      <c r="EU116" s="112" t="str">
        <f t="shared" si="603"/>
        <v>x</v>
      </c>
      <c r="EV116" s="112" t="str">
        <f t="shared" si="604"/>
        <v>x</v>
      </c>
      <c r="EW116" s="112" t="str">
        <f t="shared" si="605"/>
        <v>x</v>
      </c>
      <c r="EX116" s="111"/>
      <c r="EY116" s="112" t="str">
        <f t="shared" si="606"/>
        <v>x</v>
      </c>
      <c r="EZ116" s="112"/>
      <c r="FA116" s="112" t="str">
        <f t="shared" si="607"/>
        <v>x</v>
      </c>
      <c r="FB116" s="111"/>
      <c r="FC116" s="112" t="str">
        <f t="shared" si="608"/>
        <v>x</v>
      </c>
      <c r="FD116" s="112" t="str">
        <f t="shared" si="609"/>
        <v>x</v>
      </c>
      <c r="FE116" s="111"/>
      <c r="FF116" s="112" t="str">
        <f t="shared" si="610"/>
        <v>x</v>
      </c>
      <c r="FG116" s="111"/>
      <c r="FH116" s="111"/>
      <c r="FI116" s="112"/>
      <c r="FJ116" s="112" t="str">
        <f t="shared" si="611"/>
        <v>x</v>
      </c>
      <c r="FK116" s="112" t="str">
        <f t="shared" si="612"/>
        <v>x</v>
      </c>
      <c r="FL116" s="112"/>
      <c r="FM116" s="112" t="str">
        <f t="shared" si="613"/>
        <v>x</v>
      </c>
      <c r="FN116" s="112" t="str">
        <f t="shared" si="671"/>
        <v>x</v>
      </c>
      <c r="FO116" s="112" t="str">
        <f t="shared" si="614"/>
        <v>x</v>
      </c>
      <c r="FP116" s="112" t="str">
        <f t="shared" si="615"/>
        <v>x</v>
      </c>
      <c r="FQ116" s="112" t="str">
        <f t="shared" si="616"/>
        <v>x</v>
      </c>
      <c r="FR116" s="112" t="str">
        <f t="shared" si="617"/>
        <v>x</v>
      </c>
      <c r="FS116" s="112" t="str">
        <f t="shared" si="618"/>
        <v>x</v>
      </c>
      <c r="FT116" s="112" t="str">
        <f t="shared" si="619"/>
        <v>x</v>
      </c>
      <c r="FU116" s="112" t="str">
        <f t="shared" si="620"/>
        <v>x</v>
      </c>
      <c r="FV116" s="112" t="str">
        <f t="shared" si="621"/>
        <v>x</v>
      </c>
      <c r="FW116" s="111"/>
      <c r="FX116" s="112"/>
      <c r="FY116" s="112"/>
      <c r="FZ116" s="111"/>
      <c r="GA116" s="111"/>
      <c r="GB116" s="111"/>
      <c r="GC116" s="112" t="str">
        <f t="shared" si="622"/>
        <v>x</v>
      </c>
      <c r="GD116" s="111"/>
      <c r="GE116" s="111"/>
      <c r="GF116" s="111"/>
      <c r="GG116" s="112"/>
      <c r="GH116" s="111"/>
      <c r="GI116" s="111"/>
      <c r="GJ116" s="112" t="str">
        <f t="shared" si="623"/>
        <v>x</v>
      </c>
      <c r="GK116" s="111"/>
      <c r="GL116" s="112" t="str">
        <f t="shared" si="624"/>
        <v>x</v>
      </c>
      <c r="GM116" s="111"/>
      <c r="GN116" s="111"/>
      <c r="GO116" s="112" t="str">
        <f t="shared" si="625"/>
        <v>x</v>
      </c>
      <c r="GP116" s="112"/>
      <c r="GQ116" s="112" t="str">
        <f t="shared" si="626"/>
        <v>x</v>
      </c>
      <c r="GR116" s="112" t="str">
        <f t="shared" si="627"/>
        <v>x</v>
      </c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2" t="str">
        <f t="shared" si="628"/>
        <v>x</v>
      </c>
      <c r="HC116" s="112" t="str">
        <f t="shared" si="629"/>
        <v>x</v>
      </c>
      <c r="HD116" s="112" t="str">
        <f t="shared" si="630"/>
        <v>x</v>
      </c>
      <c r="HE116" s="112" t="str">
        <f t="shared" si="631"/>
        <v>x</v>
      </c>
      <c r="HF116" s="112" t="str">
        <f t="shared" si="632"/>
        <v>x</v>
      </c>
      <c r="HG116" s="112"/>
      <c r="HH116" s="112" t="str">
        <f t="shared" si="672"/>
        <v>x</v>
      </c>
      <c r="HI116" s="112"/>
      <c r="HJ116" s="112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2" t="str">
        <f t="shared" si="633"/>
        <v>x</v>
      </c>
      <c r="HY116" s="112" t="str">
        <f t="shared" si="634"/>
        <v>x</v>
      </c>
      <c r="HZ116" s="112" t="str">
        <f t="shared" si="635"/>
        <v>x</v>
      </c>
      <c r="IA116" s="111"/>
      <c r="IB116" s="111"/>
      <c r="IC116" s="111"/>
      <c r="ID116" s="111"/>
      <c r="IE116" s="111"/>
      <c r="IF116" s="111"/>
      <c r="IG116" s="111"/>
      <c r="IH116" s="112" t="str">
        <f t="shared" si="636"/>
        <v>x</v>
      </c>
      <c r="II116" s="111"/>
      <c r="IJ116" s="112" t="str">
        <f t="shared" si="637"/>
        <v>x</v>
      </c>
      <c r="IK116" s="112" t="str">
        <f t="shared" si="638"/>
        <v>x</v>
      </c>
      <c r="IL116" s="112" t="str">
        <f t="shared" si="639"/>
        <v>x</v>
      </c>
      <c r="IM116" s="112" t="str">
        <f t="shared" si="640"/>
        <v>x</v>
      </c>
      <c r="IN116" s="112"/>
      <c r="IO116" s="112"/>
      <c r="IP116" s="112" t="str">
        <f t="shared" si="641"/>
        <v>x</v>
      </c>
      <c r="IQ116" s="112"/>
      <c r="IR116" s="111"/>
      <c r="IS116" s="111"/>
      <c r="IT116" s="111"/>
      <c r="IU116" s="112" t="str">
        <f t="shared" si="642"/>
        <v>x</v>
      </c>
      <c r="IV116" s="112"/>
      <c r="IW116" s="112" t="str">
        <f t="shared" si="643"/>
        <v>x</v>
      </c>
      <c r="IX116" s="112" t="str">
        <f t="shared" si="644"/>
        <v>x</v>
      </c>
      <c r="IY116" s="111"/>
      <c r="IZ116" s="112" t="str">
        <f t="shared" si="645"/>
        <v>x</v>
      </c>
      <c r="JA116" s="111"/>
      <c r="JB116" s="112" t="str">
        <f t="shared" si="646"/>
        <v>x</v>
      </c>
      <c r="JC116" s="111"/>
      <c r="JD116" s="112"/>
      <c r="JE116" s="112"/>
      <c r="JF116" s="112"/>
      <c r="JG116" s="112"/>
      <c r="JH116" s="111"/>
      <c r="JI116" s="112" t="str">
        <f t="shared" si="673"/>
        <v>x</v>
      </c>
      <c r="JJ116" s="112" t="str">
        <f t="shared" si="674"/>
        <v>x</v>
      </c>
      <c r="JK116" s="112" t="str">
        <f t="shared" si="675"/>
        <v>x</v>
      </c>
      <c r="JL116" s="112" t="str">
        <f t="shared" si="647"/>
        <v>x</v>
      </c>
      <c r="JM116" s="112"/>
      <c r="JN116" s="112"/>
      <c r="JO116" s="112"/>
      <c r="JP116" s="112"/>
      <c r="JQ116" s="112" t="str">
        <f t="shared" si="648"/>
        <v>x</v>
      </c>
      <c r="JR116" s="112"/>
      <c r="JS116" s="112" t="str">
        <f t="shared" si="649"/>
        <v>x</v>
      </c>
      <c r="JT116" s="111"/>
      <c r="JU116" s="111"/>
      <c r="JV116" s="112"/>
      <c r="JW116" s="112"/>
      <c r="JX116" s="112"/>
      <c r="JY116" s="112"/>
      <c r="JZ116" s="112"/>
      <c r="KA116" s="112" t="str">
        <f t="shared" si="650"/>
        <v>x</v>
      </c>
      <c r="KB116" s="111"/>
      <c r="KC116" s="112" t="str">
        <f t="shared" si="651"/>
        <v>x</v>
      </c>
      <c r="KD116" s="112" t="str">
        <f t="shared" si="652"/>
        <v>x</v>
      </c>
      <c r="KE116" s="112" t="str">
        <f t="shared" si="653"/>
        <v>x</v>
      </c>
      <c r="KF116" s="112"/>
      <c r="KG116" s="112"/>
      <c r="KH116" s="112"/>
      <c r="KI116" s="112"/>
      <c r="KJ116" s="112"/>
      <c r="KK116" s="112"/>
      <c r="KL116" s="112"/>
      <c r="KM116" s="112"/>
      <c r="KN116" s="112"/>
      <c r="KO116" s="112"/>
      <c r="KP116" s="112"/>
      <c r="KQ116" s="112"/>
      <c r="KR116" s="112"/>
      <c r="KS116" s="112"/>
      <c r="KT116" s="112"/>
      <c r="KU116" s="112"/>
      <c r="KV116" s="112"/>
      <c r="KW116" s="112"/>
      <c r="KX116" s="112"/>
      <c r="KY116" s="112"/>
      <c r="KZ116" s="112"/>
      <c r="LA116" s="112"/>
      <c r="LB116" s="111"/>
      <c r="LC116" s="112"/>
      <c r="LD116" s="112"/>
      <c r="LE116" s="112"/>
      <c r="LF116" s="112"/>
      <c r="LG116" s="112"/>
      <c r="LH116" s="112"/>
      <c r="LI116" s="112"/>
      <c r="LJ116" s="112"/>
      <c r="LK116" s="112"/>
      <c r="LL116" s="111"/>
      <c r="LM116" s="111"/>
      <c r="LN116" s="111"/>
      <c r="LO116" s="111"/>
      <c r="LP116" s="112"/>
      <c r="LQ116" s="111"/>
      <c r="LR116" s="112"/>
      <c r="LS116" s="112"/>
      <c r="LT116" s="111"/>
      <c r="LU116" s="111"/>
      <c r="LV116" s="111"/>
      <c r="LW116" s="111"/>
      <c r="LX116" s="111"/>
      <c r="LY116" s="111"/>
      <c r="LZ116" s="111"/>
      <c r="MA116" s="112"/>
      <c r="MB116" s="111"/>
      <c r="MC116" s="112" t="str">
        <f t="shared" si="654"/>
        <v>x</v>
      </c>
      <c r="MD116" s="111"/>
      <c r="ME116" s="112" t="str">
        <f t="shared" si="655"/>
        <v>x</v>
      </c>
      <c r="MF116" s="112" t="str">
        <f t="shared" si="656"/>
        <v>x</v>
      </c>
      <c r="MG116" s="112" t="str">
        <f t="shared" si="676"/>
        <v>x</v>
      </c>
      <c r="MH116" s="112" t="str">
        <f t="shared" si="657"/>
        <v>x</v>
      </c>
    </row>
    <row r="117" spans="1:346" x14ac:dyDescent="0.25">
      <c r="A117" s="110" t="s">
        <v>5</v>
      </c>
      <c r="B117" s="101" t="s">
        <v>384</v>
      </c>
      <c r="C117" s="102"/>
      <c r="D117" s="102"/>
      <c r="E117" s="102"/>
      <c r="F117" s="102"/>
      <c r="G117" s="102"/>
      <c r="H117" s="102"/>
      <c r="I117" s="102"/>
      <c r="J117" s="103"/>
      <c r="K117" s="111"/>
      <c r="L117" s="111"/>
      <c r="M117" s="111"/>
      <c r="N117" s="111"/>
      <c r="O117" s="112" t="str">
        <f t="shared" si="658"/>
        <v>x</v>
      </c>
      <c r="P117" s="111"/>
      <c r="Q117" s="111"/>
      <c r="R117" s="111"/>
      <c r="S117" s="111"/>
      <c r="T117" s="112" t="str">
        <f t="shared" si="560"/>
        <v>x</v>
      </c>
      <c r="U117" s="112"/>
      <c r="V117" s="112"/>
      <c r="W117" s="111"/>
      <c r="X117" s="112"/>
      <c r="Y117" s="112"/>
      <c r="Z117" s="112"/>
      <c r="AA117" s="112"/>
      <c r="AB117" s="112"/>
      <c r="AC117" s="112" t="str">
        <f t="shared" si="561"/>
        <v>x</v>
      </c>
      <c r="AD117" s="112"/>
      <c r="AE117" s="112" t="str">
        <f t="shared" si="659"/>
        <v>x</v>
      </c>
      <c r="AF117" s="112" t="str">
        <f t="shared" si="562"/>
        <v>x</v>
      </c>
      <c r="AG117" s="112" t="str">
        <f t="shared" si="563"/>
        <v>x</v>
      </c>
      <c r="AH117" s="111"/>
      <c r="AI117" s="111"/>
      <c r="AJ117" s="112" t="str">
        <f t="shared" si="564"/>
        <v>x</v>
      </c>
      <c r="AK117" s="112" t="str">
        <f t="shared" si="565"/>
        <v>x</v>
      </c>
      <c r="AL117" s="112"/>
      <c r="AM117" s="112" t="str">
        <f t="shared" si="660"/>
        <v>x</v>
      </c>
      <c r="AN117" s="112"/>
      <c r="AO117" s="112"/>
      <c r="AP117" s="112"/>
      <c r="AQ117" s="112"/>
      <c r="AR117" s="112"/>
      <c r="AS117" s="112"/>
      <c r="AT117" s="112"/>
      <c r="AU117" s="114" t="str">
        <f t="shared" si="566"/>
        <v>x</v>
      </c>
      <c r="AV117" s="114" t="str">
        <f t="shared" si="567"/>
        <v>x</v>
      </c>
      <c r="AW117" s="114" t="str">
        <f t="shared" si="568"/>
        <v>x</v>
      </c>
      <c r="AX117" s="111"/>
      <c r="AY117" s="111"/>
      <c r="AZ117" s="112" t="str">
        <f t="shared" si="569"/>
        <v>x</v>
      </c>
      <c r="BA117" s="112" t="str">
        <f t="shared" si="570"/>
        <v>x</v>
      </c>
      <c r="BB117" s="111"/>
      <c r="BC117" s="111"/>
      <c r="BD117" s="111"/>
      <c r="BE117" s="112" t="str">
        <f t="shared" si="571"/>
        <v>x</v>
      </c>
      <c r="BF117" s="111"/>
      <c r="BG117" s="112" t="str">
        <f t="shared" si="572"/>
        <v>x</v>
      </c>
      <c r="BH117" s="112" t="str">
        <f t="shared" si="661"/>
        <v>x</v>
      </c>
      <c r="BI117" s="112" t="str">
        <f t="shared" si="573"/>
        <v>x</v>
      </c>
      <c r="BJ117" s="111"/>
      <c r="BK117" s="112" t="str">
        <f t="shared" si="574"/>
        <v>x</v>
      </c>
      <c r="BL117" s="111"/>
      <c r="BM117" s="111"/>
      <c r="BN117" s="111"/>
      <c r="BO117" s="111"/>
      <c r="BP117" s="111"/>
      <c r="BQ117" s="111"/>
      <c r="BR117" s="112" t="str">
        <f t="shared" si="575"/>
        <v>x</v>
      </c>
      <c r="BS117" s="112"/>
      <c r="BT117" s="111"/>
      <c r="BU117" s="112" t="str">
        <f t="shared" si="576"/>
        <v>x</v>
      </c>
      <c r="BV117" s="112" t="str">
        <f t="shared" si="577"/>
        <v>x</v>
      </c>
      <c r="BW117" s="112"/>
      <c r="BX117" s="112"/>
      <c r="BY117" s="112" t="str">
        <f t="shared" si="662"/>
        <v>x</v>
      </c>
      <c r="BZ117" s="112" t="str">
        <f t="shared" si="578"/>
        <v>x</v>
      </c>
      <c r="CA117" s="112" t="str">
        <f t="shared" si="579"/>
        <v>x</v>
      </c>
      <c r="CB117" s="112" t="str">
        <f t="shared" si="580"/>
        <v>x</v>
      </c>
      <c r="CC117" s="112"/>
      <c r="CD117" s="112"/>
      <c r="CE117" s="111"/>
      <c r="CF117" s="111"/>
      <c r="CG117" s="112" t="str">
        <f t="shared" si="663"/>
        <v>x</v>
      </c>
      <c r="CH117" s="112" t="str">
        <f t="shared" si="581"/>
        <v>x</v>
      </c>
      <c r="CI117" s="112" t="str">
        <f t="shared" si="582"/>
        <v>x</v>
      </c>
      <c r="CJ117" s="112" t="str">
        <f t="shared" si="583"/>
        <v>x</v>
      </c>
      <c r="CK117" s="112"/>
      <c r="CL117" s="112"/>
      <c r="CM117" s="112"/>
      <c r="CN117" s="112"/>
      <c r="CO117" s="112" t="str">
        <f t="shared" si="664"/>
        <v>x</v>
      </c>
      <c r="CP117" s="112"/>
      <c r="CQ117" s="112" t="str">
        <f t="shared" si="665"/>
        <v>x</v>
      </c>
      <c r="CR117" s="112" t="str">
        <f t="shared" si="584"/>
        <v>x</v>
      </c>
      <c r="CS117" s="112"/>
      <c r="CT117" s="112" t="str">
        <f t="shared" si="666"/>
        <v>x</v>
      </c>
      <c r="CU117" s="112"/>
      <c r="CV117" s="112"/>
      <c r="CW117" s="112"/>
      <c r="CX117" s="112" t="str">
        <f t="shared" si="585"/>
        <v>x</v>
      </c>
      <c r="CY117" s="112"/>
      <c r="CZ117" s="112"/>
      <c r="DA117" s="112"/>
      <c r="DB117" s="115" t="str">
        <f t="shared" si="667"/>
        <v>x</v>
      </c>
      <c r="DC117" s="112"/>
      <c r="DD117" s="112"/>
      <c r="DE117" s="112" t="str">
        <f t="shared" si="586"/>
        <v>x</v>
      </c>
      <c r="DF117" s="115" t="str">
        <f t="shared" si="587"/>
        <v>x</v>
      </c>
      <c r="DG117" s="112" t="str">
        <f t="shared" si="588"/>
        <v>x</v>
      </c>
      <c r="DH117" s="112" t="str">
        <f t="shared" si="589"/>
        <v>x</v>
      </c>
      <c r="DI117" s="112"/>
      <c r="DJ117" s="112"/>
      <c r="DK117" s="112"/>
      <c r="DL117" s="112"/>
      <c r="DM117" s="112"/>
      <c r="DN117" s="112"/>
      <c r="DO117" s="111"/>
      <c r="DP117" s="111"/>
      <c r="DQ117" s="112" t="str">
        <f t="shared" si="590"/>
        <v>x</v>
      </c>
      <c r="DR117" s="112" t="str">
        <f t="shared" si="668"/>
        <v>x</v>
      </c>
      <c r="DS117" s="112" t="str">
        <f t="shared" si="669"/>
        <v>x</v>
      </c>
      <c r="DT117" s="112"/>
      <c r="DU117" s="112" t="str">
        <f t="shared" si="591"/>
        <v>x</v>
      </c>
      <c r="DV117" s="111"/>
      <c r="DW117" s="112" t="str">
        <f t="shared" si="670"/>
        <v>x</v>
      </c>
      <c r="DX117" s="111"/>
      <c r="DY117" s="112" t="str">
        <f t="shared" si="592"/>
        <v>x</v>
      </c>
      <c r="DZ117" s="112" t="str">
        <f t="shared" si="593"/>
        <v>x</v>
      </c>
      <c r="EA117" s="112" t="str">
        <f t="shared" si="594"/>
        <v>x</v>
      </c>
      <c r="EB117" s="112" t="str">
        <f t="shared" si="595"/>
        <v>x</v>
      </c>
      <c r="EC117" s="111"/>
      <c r="ED117" s="111"/>
      <c r="EE117" s="111"/>
      <c r="EF117" s="111"/>
      <c r="EG117" s="111"/>
      <c r="EH117" s="111"/>
      <c r="EI117" s="112"/>
      <c r="EJ117" s="112" t="str">
        <f t="shared" si="596"/>
        <v>x</v>
      </c>
      <c r="EK117" s="111"/>
      <c r="EL117" s="112" t="str">
        <f t="shared" si="597"/>
        <v>x</v>
      </c>
      <c r="EM117" s="112" t="str">
        <f t="shared" si="598"/>
        <v>x</v>
      </c>
      <c r="EN117" s="112"/>
      <c r="EO117" s="117" t="str">
        <f t="shared" si="599"/>
        <v>x</v>
      </c>
      <c r="EP117" s="117" t="str">
        <f t="shared" si="600"/>
        <v>x</v>
      </c>
      <c r="EQ117" s="112" t="str">
        <f t="shared" si="601"/>
        <v>x</v>
      </c>
      <c r="ER117" s="111"/>
      <c r="ES117" s="111"/>
      <c r="ET117" s="112" t="str">
        <f t="shared" si="602"/>
        <v>x</v>
      </c>
      <c r="EU117" s="112" t="str">
        <f t="shared" si="603"/>
        <v>x</v>
      </c>
      <c r="EV117" s="112" t="str">
        <f t="shared" si="604"/>
        <v>x</v>
      </c>
      <c r="EW117" s="112" t="str">
        <f t="shared" si="605"/>
        <v>x</v>
      </c>
      <c r="EX117" s="111"/>
      <c r="EY117" s="112" t="str">
        <f t="shared" si="606"/>
        <v>x</v>
      </c>
      <c r="EZ117" s="112"/>
      <c r="FA117" s="112" t="str">
        <f t="shared" si="607"/>
        <v>x</v>
      </c>
      <c r="FB117" s="111"/>
      <c r="FC117" s="112" t="str">
        <f t="shared" si="608"/>
        <v>x</v>
      </c>
      <c r="FD117" s="112" t="str">
        <f t="shared" si="609"/>
        <v>x</v>
      </c>
      <c r="FE117" s="111"/>
      <c r="FF117" s="112" t="str">
        <f t="shared" si="610"/>
        <v>x</v>
      </c>
      <c r="FG117" s="111"/>
      <c r="FH117" s="111"/>
      <c r="FI117" s="112"/>
      <c r="FJ117" s="112" t="str">
        <f t="shared" si="611"/>
        <v>x</v>
      </c>
      <c r="FK117" s="112" t="str">
        <f t="shared" si="612"/>
        <v>x</v>
      </c>
      <c r="FL117" s="112"/>
      <c r="FM117" s="112" t="str">
        <f t="shared" si="613"/>
        <v>x</v>
      </c>
      <c r="FN117" s="112" t="str">
        <f t="shared" si="671"/>
        <v>x</v>
      </c>
      <c r="FO117" s="112" t="str">
        <f t="shared" si="614"/>
        <v>x</v>
      </c>
      <c r="FP117" s="112" t="str">
        <f t="shared" si="615"/>
        <v>x</v>
      </c>
      <c r="FQ117" s="112" t="str">
        <f t="shared" si="616"/>
        <v>x</v>
      </c>
      <c r="FR117" s="112" t="str">
        <f t="shared" si="617"/>
        <v>x</v>
      </c>
      <c r="FS117" s="112" t="str">
        <f t="shared" si="618"/>
        <v>x</v>
      </c>
      <c r="FT117" s="112" t="str">
        <f t="shared" si="619"/>
        <v>x</v>
      </c>
      <c r="FU117" s="112" t="str">
        <f t="shared" si="620"/>
        <v>x</v>
      </c>
      <c r="FV117" s="112" t="str">
        <f t="shared" si="621"/>
        <v>x</v>
      </c>
      <c r="FW117" s="111"/>
      <c r="FX117" s="112"/>
      <c r="FY117" s="112"/>
      <c r="FZ117" s="111"/>
      <c r="GA117" s="111"/>
      <c r="GB117" s="111"/>
      <c r="GC117" s="112" t="str">
        <f t="shared" si="622"/>
        <v>x</v>
      </c>
      <c r="GD117" s="111"/>
      <c r="GE117" s="111"/>
      <c r="GF117" s="111"/>
      <c r="GG117" s="112"/>
      <c r="GH117" s="111"/>
      <c r="GI117" s="111"/>
      <c r="GJ117" s="112" t="str">
        <f t="shared" si="623"/>
        <v>x</v>
      </c>
      <c r="GK117" s="111"/>
      <c r="GL117" s="112" t="str">
        <f t="shared" si="624"/>
        <v>x</v>
      </c>
      <c r="GM117" s="111"/>
      <c r="GN117" s="111"/>
      <c r="GO117" s="112" t="str">
        <f t="shared" si="625"/>
        <v>x</v>
      </c>
      <c r="GP117" s="112"/>
      <c r="GQ117" s="112" t="str">
        <f t="shared" si="626"/>
        <v>x</v>
      </c>
      <c r="GR117" s="112" t="str">
        <f t="shared" si="627"/>
        <v>x</v>
      </c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2" t="str">
        <f t="shared" si="628"/>
        <v>x</v>
      </c>
      <c r="HC117" s="112" t="str">
        <f t="shared" si="629"/>
        <v>x</v>
      </c>
      <c r="HD117" s="112" t="str">
        <f t="shared" si="630"/>
        <v>x</v>
      </c>
      <c r="HE117" s="112" t="str">
        <f t="shared" si="631"/>
        <v>x</v>
      </c>
      <c r="HF117" s="112" t="str">
        <f t="shared" si="632"/>
        <v>x</v>
      </c>
      <c r="HG117" s="112"/>
      <c r="HH117" s="112" t="str">
        <f t="shared" si="672"/>
        <v>x</v>
      </c>
      <c r="HI117" s="112"/>
      <c r="HJ117" s="112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2" t="str">
        <f t="shared" si="633"/>
        <v>x</v>
      </c>
      <c r="HY117" s="112" t="str">
        <f t="shared" si="634"/>
        <v>x</v>
      </c>
      <c r="HZ117" s="112" t="str">
        <f t="shared" si="635"/>
        <v>x</v>
      </c>
      <c r="IA117" s="111"/>
      <c r="IB117" s="111"/>
      <c r="IC117" s="111"/>
      <c r="ID117" s="111"/>
      <c r="IE117" s="111"/>
      <c r="IF117" s="111"/>
      <c r="IG117" s="111"/>
      <c r="IH117" s="112" t="str">
        <f t="shared" si="636"/>
        <v>x</v>
      </c>
      <c r="II117" s="111"/>
      <c r="IJ117" s="112" t="str">
        <f t="shared" si="637"/>
        <v>x</v>
      </c>
      <c r="IK117" s="112" t="str">
        <f t="shared" si="638"/>
        <v>x</v>
      </c>
      <c r="IL117" s="112" t="str">
        <f t="shared" si="639"/>
        <v>x</v>
      </c>
      <c r="IM117" s="112" t="str">
        <f t="shared" si="640"/>
        <v>x</v>
      </c>
      <c r="IN117" s="112"/>
      <c r="IO117" s="112"/>
      <c r="IP117" s="112" t="str">
        <f t="shared" si="641"/>
        <v>x</v>
      </c>
      <c r="IQ117" s="112"/>
      <c r="IR117" s="111"/>
      <c r="IS117" s="111"/>
      <c r="IT117" s="111"/>
      <c r="IU117" s="112" t="str">
        <f t="shared" si="642"/>
        <v>x</v>
      </c>
      <c r="IV117" s="112"/>
      <c r="IW117" s="112" t="str">
        <f t="shared" si="643"/>
        <v>x</v>
      </c>
      <c r="IX117" s="112" t="str">
        <f t="shared" si="644"/>
        <v>x</v>
      </c>
      <c r="IY117" s="111"/>
      <c r="IZ117" s="112" t="str">
        <f t="shared" si="645"/>
        <v>x</v>
      </c>
      <c r="JA117" s="111"/>
      <c r="JB117" s="112" t="str">
        <f t="shared" si="646"/>
        <v>x</v>
      </c>
      <c r="JC117" s="111"/>
      <c r="JD117" s="112"/>
      <c r="JE117" s="112"/>
      <c r="JF117" s="112"/>
      <c r="JG117" s="112"/>
      <c r="JH117" s="111"/>
      <c r="JI117" s="112" t="str">
        <f t="shared" si="673"/>
        <v>x</v>
      </c>
      <c r="JJ117" s="112" t="str">
        <f t="shared" si="674"/>
        <v>x</v>
      </c>
      <c r="JK117" s="112" t="str">
        <f t="shared" si="675"/>
        <v>x</v>
      </c>
      <c r="JL117" s="112" t="str">
        <f t="shared" si="647"/>
        <v>x</v>
      </c>
      <c r="JM117" s="112"/>
      <c r="JN117" s="112"/>
      <c r="JO117" s="112"/>
      <c r="JP117" s="112"/>
      <c r="JQ117" s="112" t="str">
        <f t="shared" si="648"/>
        <v>x</v>
      </c>
      <c r="JR117" s="112"/>
      <c r="JS117" s="112" t="str">
        <f t="shared" si="649"/>
        <v>x</v>
      </c>
      <c r="JT117" s="111"/>
      <c r="JU117" s="111"/>
      <c r="JV117" s="112"/>
      <c r="JW117" s="112"/>
      <c r="JX117" s="112"/>
      <c r="JY117" s="112"/>
      <c r="JZ117" s="112"/>
      <c r="KA117" s="112" t="str">
        <f t="shared" si="650"/>
        <v>x</v>
      </c>
      <c r="KB117" s="111"/>
      <c r="KC117" s="112" t="str">
        <f t="shared" si="651"/>
        <v>x</v>
      </c>
      <c r="KD117" s="112" t="str">
        <f t="shared" si="652"/>
        <v>x</v>
      </c>
      <c r="KE117" s="112" t="str">
        <f t="shared" si="653"/>
        <v>x</v>
      </c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1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1"/>
      <c r="LM117" s="111"/>
      <c r="LN117" s="111"/>
      <c r="LO117" s="111"/>
      <c r="LP117" s="112"/>
      <c r="LQ117" s="111"/>
      <c r="LR117" s="112"/>
      <c r="LS117" s="112"/>
      <c r="LT117" s="111"/>
      <c r="LU117" s="111"/>
      <c r="LV117" s="111"/>
      <c r="LW117" s="111"/>
      <c r="LX117" s="111"/>
      <c r="LY117" s="111"/>
      <c r="LZ117" s="111"/>
      <c r="MA117" s="112"/>
      <c r="MB117" s="111"/>
      <c r="MC117" s="112" t="str">
        <f t="shared" si="654"/>
        <v>x</v>
      </c>
      <c r="MD117" s="111"/>
      <c r="ME117" s="112" t="str">
        <f t="shared" si="655"/>
        <v>x</v>
      </c>
      <c r="MF117" s="112" t="str">
        <f t="shared" si="656"/>
        <v>x</v>
      </c>
      <c r="MG117" s="112" t="str">
        <f t="shared" si="676"/>
        <v>x</v>
      </c>
      <c r="MH117" s="112" t="str">
        <f t="shared" si="657"/>
        <v>x</v>
      </c>
    </row>
    <row r="118" spans="1:346" x14ac:dyDescent="0.25">
      <c r="A118" s="110" t="s">
        <v>5</v>
      </c>
      <c r="B118" s="101" t="s">
        <v>404</v>
      </c>
      <c r="C118" s="102"/>
      <c r="D118" s="102"/>
      <c r="E118" s="102"/>
      <c r="F118" s="102"/>
      <c r="G118" s="102"/>
      <c r="H118" s="102"/>
      <c r="I118" s="102"/>
      <c r="J118" s="103"/>
      <c r="K118" s="111"/>
      <c r="L118" s="111"/>
      <c r="M118" s="111"/>
      <c r="N118" s="111"/>
      <c r="O118" s="112" t="str">
        <f t="shared" si="658"/>
        <v>x</v>
      </c>
      <c r="P118" s="111"/>
      <c r="Q118" s="111"/>
      <c r="R118" s="111"/>
      <c r="S118" s="111"/>
      <c r="T118" s="112" t="str">
        <f t="shared" si="560"/>
        <v>x</v>
      </c>
      <c r="U118" s="112"/>
      <c r="V118" s="112"/>
      <c r="W118" s="111"/>
      <c r="X118" s="112"/>
      <c r="Y118" s="112"/>
      <c r="Z118" s="112"/>
      <c r="AA118" s="112"/>
      <c r="AB118" s="112"/>
      <c r="AC118" s="112" t="str">
        <f t="shared" si="561"/>
        <v>x</v>
      </c>
      <c r="AD118" s="112"/>
      <c r="AE118" s="112" t="str">
        <f t="shared" si="659"/>
        <v>x</v>
      </c>
      <c r="AF118" s="112" t="str">
        <f t="shared" si="562"/>
        <v>x</v>
      </c>
      <c r="AG118" s="112" t="str">
        <f t="shared" si="563"/>
        <v>x</v>
      </c>
      <c r="AH118" s="111"/>
      <c r="AI118" s="111"/>
      <c r="AJ118" s="112" t="str">
        <f t="shared" si="564"/>
        <v>x</v>
      </c>
      <c r="AK118" s="112" t="str">
        <f t="shared" si="565"/>
        <v>x</v>
      </c>
      <c r="AL118" s="112"/>
      <c r="AM118" s="112" t="str">
        <f t="shared" si="660"/>
        <v>x</v>
      </c>
      <c r="AN118" s="112"/>
      <c r="AO118" s="112"/>
      <c r="AP118" s="112"/>
      <c r="AQ118" s="112"/>
      <c r="AR118" s="112"/>
      <c r="AS118" s="112"/>
      <c r="AT118" s="112"/>
      <c r="AU118" s="114" t="str">
        <f t="shared" si="566"/>
        <v>x</v>
      </c>
      <c r="AV118" s="114" t="str">
        <f t="shared" si="567"/>
        <v>x</v>
      </c>
      <c r="AW118" s="114" t="str">
        <f t="shared" si="568"/>
        <v>x</v>
      </c>
      <c r="AX118" s="111"/>
      <c r="AY118" s="111"/>
      <c r="AZ118" s="112" t="str">
        <f t="shared" si="569"/>
        <v>x</v>
      </c>
      <c r="BA118" s="112" t="str">
        <f t="shared" si="570"/>
        <v>x</v>
      </c>
      <c r="BB118" s="111"/>
      <c r="BC118" s="111"/>
      <c r="BD118" s="111"/>
      <c r="BE118" s="112" t="str">
        <f t="shared" si="571"/>
        <v>x</v>
      </c>
      <c r="BF118" s="111"/>
      <c r="BG118" s="112" t="str">
        <f t="shared" si="572"/>
        <v>x</v>
      </c>
      <c r="BH118" s="112" t="str">
        <f t="shared" si="661"/>
        <v>x</v>
      </c>
      <c r="BI118" s="112" t="str">
        <f t="shared" si="573"/>
        <v>x</v>
      </c>
      <c r="BJ118" s="111"/>
      <c r="BK118" s="112" t="str">
        <f t="shared" si="574"/>
        <v>x</v>
      </c>
      <c r="BL118" s="111"/>
      <c r="BM118" s="111"/>
      <c r="BN118" s="111"/>
      <c r="BO118" s="111"/>
      <c r="BP118" s="111"/>
      <c r="BQ118" s="111"/>
      <c r="BR118" s="112" t="str">
        <f t="shared" si="575"/>
        <v>x</v>
      </c>
      <c r="BS118" s="112"/>
      <c r="BT118" s="111"/>
      <c r="BU118" s="112" t="str">
        <f t="shared" si="576"/>
        <v>x</v>
      </c>
      <c r="BV118" s="112" t="str">
        <f t="shared" si="577"/>
        <v>x</v>
      </c>
      <c r="BW118" s="112"/>
      <c r="BX118" s="112"/>
      <c r="BY118" s="112" t="str">
        <f t="shared" si="662"/>
        <v>x</v>
      </c>
      <c r="BZ118" s="112" t="str">
        <f t="shared" si="578"/>
        <v>x</v>
      </c>
      <c r="CA118" s="112" t="str">
        <f t="shared" si="579"/>
        <v>x</v>
      </c>
      <c r="CB118" s="112" t="str">
        <f t="shared" si="580"/>
        <v>x</v>
      </c>
      <c r="CC118" s="112"/>
      <c r="CD118" s="112"/>
      <c r="CE118" s="111"/>
      <c r="CF118" s="111"/>
      <c r="CG118" s="112" t="str">
        <f t="shared" si="663"/>
        <v>x</v>
      </c>
      <c r="CH118" s="112" t="str">
        <f t="shared" si="581"/>
        <v>x</v>
      </c>
      <c r="CI118" s="112" t="str">
        <f t="shared" si="582"/>
        <v>x</v>
      </c>
      <c r="CJ118" s="112" t="str">
        <f t="shared" si="583"/>
        <v>x</v>
      </c>
      <c r="CK118" s="112"/>
      <c r="CL118" s="112"/>
      <c r="CM118" s="112"/>
      <c r="CN118" s="112"/>
      <c r="CO118" s="112" t="str">
        <f t="shared" si="664"/>
        <v>x</v>
      </c>
      <c r="CP118" s="112"/>
      <c r="CQ118" s="112" t="str">
        <f t="shared" si="665"/>
        <v>x</v>
      </c>
      <c r="CR118" s="112" t="str">
        <f t="shared" si="584"/>
        <v>x</v>
      </c>
      <c r="CS118" s="112"/>
      <c r="CT118" s="112" t="str">
        <f t="shared" si="666"/>
        <v>x</v>
      </c>
      <c r="CU118" s="112"/>
      <c r="CV118" s="112"/>
      <c r="CW118" s="112"/>
      <c r="CX118" s="112" t="str">
        <f t="shared" si="585"/>
        <v>x</v>
      </c>
      <c r="CY118" s="112"/>
      <c r="CZ118" s="112"/>
      <c r="DA118" s="112"/>
      <c r="DB118" s="115" t="str">
        <f t="shared" si="667"/>
        <v>x</v>
      </c>
      <c r="DC118" s="112"/>
      <c r="DD118" s="112"/>
      <c r="DE118" s="112" t="str">
        <f t="shared" si="586"/>
        <v>x</v>
      </c>
      <c r="DF118" s="115" t="str">
        <f t="shared" si="587"/>
        <v>x</v>
      </c>
      <c r="DG118" s="112" t="str">
        <f t="shared" si="588"/>
        <v>x</v>
      </c>
      <c r="DH118" s="112" t="str">
        <f t="shared" si="589"/>
        <v>x</v>
      </c>
      <c r="DI118" s="112"/>
      <c r="DJ118" s="112"/>
      <c r="DK118" s="112"/>
      <c r="DL118" s="112"/>
      <c r="DM118" s="112"/>
      <c r="DN118" s="112"/>
      <c r="DO118" s="111"/>
      <c r="DP118" s="111"/>
      <c r="DQ118" s="112" t="str">
        <f t="shared" si="590"/>
        <v>x</v>
      </c>
      <c r="DR118" s="112" t="str">
        <f t="shared" si="668"/>
        <v>x</v>
      </c>
      <c r="DS118" s="112" t="str">
        <f t="shared" si="669"/>
        <v>x</v>
      </c>
      <c r="DT118" s="112"/>
      <c r="DU118" s="112" t="str">
        <f t="shared" si="591"/>
        <v>x</v>
      </c>
      <c r="DV118" s="111"/>
      <c r="DW118" s="112" t="str">
        <f t="shared" si="670"/>
        <v>x</v>
      </c>
      <c r="DX118" s="111"/>
      <c r="DY118" s="112" t="str">
        <f t="shared" si="592"/>
        <v>x</v>
      </c>
      <c r="DZ118" s="112" t="str">
        <f t="shared" si="593"/>
        <v>x</v>
      </c>
      <c r="EA118" s="112" t="str">
        <f t="shared" si="594"/>
        <v>x</v>
      </c>
      <c r="EB118" s="112" t="str">
        <f t="shared" si="595"/>
        <v>x</v>
      </c>
      <c r="EC118" s="111"/>
      <c r="ED118" s="111"/>
      <c r="EE118" s="111"/>
      <c r="EF118" s="111"/>
      <c r="EG118" s="111"/>
      <c r="EH118" s="111"/>
      <c r="EI118" s="112"/>
      <c r="EJ118" s="112" t="str">
        <f t="shared" si="596"/>
        <v>x</v>
      </c>
      <c r="EK118" s="111"/>
      <c r="EL118" s="112" t="str">
        <f t="shared" si="597"/>
        <v>x</v>
      </c>
      <c r="EM118" s="112" t="str">
        <f t="shared" si="598"/>
        <v>x</v>
      </c>
      <c r="EN118" s="112"/>
      <c r="EO118" s="117" t="str">
        <f t="shared" si="599"/>
        <v>x</v>
      </c>
      <c r="EP118" s="117" t="str">
        <f t="shared" si="600"/>
        <v>x</v>
      </c>
      <c r="EQ118" s="112" t="str">
        <f t="shared" si="601"/>
        <v>x</v>
      </c>
      <c r="ER118" s="111"/>
      <c r="ES118" s="111"/>
      <c r="ET118" s="112" t="str">
        <f t="shared" si="602"/>
        <v>x</v>
      </c>
      <c r="EU118" s="112" t="str">
        <f t="shared" si="603"/>
        <v>x</v>
      </c>
      <c r="EV118" s="112" t="str">
        <f t="shared" si="604"/>
        <v>x</v>
      </c>
      <c r="EW118" s="112" t="str">
        <f t="shared" si="605"/>
        <v>x</v>
      </c>
      <c r="EX118" s="111"/>
      <c r="EY118" s="112" t="str">
        <f t="shared" si="606"/>
        <v>x</v>
      </c>
      <c r="EZ118" s="112"/>
      <c r="FA118" s="112" t="str">
        <f t="shared" si="607"/>
        <v>x</v>
      </c>
      <c r="FB118" s="111"/>
      <c r="FC118" s="112" t="str">
        <f t="shared" si="608"/>
        <v>x</v>
      </c>
      <c r="FD118" s="112" t="str">
        <f t="shared" si="609"/>
        <v>x</v>
      </c>
      <c r="FE118" s="111"/>
      <c r="FF118" s="112" t="str">
        <f t="shared" si="610"/>
        <v>x</v>
      </c>
      <c r="FG118" s="111"/>
      <c r="FH118" s="111"/>
      <c r="FI118" s="112"/>
      <c r="FJ118" s="112" t="str">
        <f t="shared" si="611"/>
        <v>x</v>
      </c>
      <c r="FK118" s="112" t="str">
        <f t="shared" si="612"/>
        <v>x</v>
      </c>
      <c r="FL118" s="112"/>
      <c r="FM118" s="112" t="str">
        <f t="shared" si="613"/>
        <v>x</v>
      </c>
      <c r="FN118" s="112" t="str">
        <f t="shared" si="671"/>
        <v>x</v>
      </c>
      <c r="FO118" s="112" t="str">
        <f t="shared" si="614"/>
        <v>x</v>
      </c>
      <c r="FP118" s="112" t="str">
        <f t="shared" si="615"/>
        <v>x</v>
      </c>
      <c r="FQ118" s="112" t="str">
        <f t="shared" si="616"/>
        <v>x</v>
      </c>
      <c r="FR118" s="112" t="str">
        <f t="shared" si="617"/>
        <v>x</v>
      </c>
      <c r="FS118" s="112" t="str">
        <f t="shared" si="618"/>
        <v>x</v>
      </c>
      <c r="FT118" s="112" t="str">
        <f t="shared" si="619"/>
        <v>x</v>
      </c>
      <c r="FU118" s="112" t="str">
        <f t="shared" si="620"/>
        <v>x</v>
      </c>
      <c r="FV118" s="112" t="str">
        <f t="shared" si="621"/>
        <v>x</v>
      </c>
      <c r="FW118" s="111"/>
      <c r="FX118" s="112"/>
      <c r="FY118" s="112"/>
      <c r="FZ118" s="111"/>
      <c r="GA118" s="111"/>
      <c r="GB118" s="111"/>
      <c r="GC118" s="112" t="str">
        <f t="shared" si="622"/>
        <v>x</v>
      </c>
      <c r="GD118" s="111"/>
      <c r="GE118" s="111"/>
      <c r="GF118" s="111"/>
      <c r="GG118" s="112"/>
      <c r="GH118" s="111"/>
      <c r="GI118" s="111"/>
      <c r="GJ118" s="112" t="str">
        <f t="shared" si="623"/>
        <v>x</v>
      </c>
      <c r="GK118" s="111"/>
      <c r="GL118" s="112" t="str">
        <f t="shared" si="624"/>
        <v>x</v>
      </c>
      <c r="GM118" s="111"/>
      <c r="GN118" s="111"/>
      <c r="GO118" s="112" t="str">
        <f t="shared" si="625"/>
        <v>x</v>
      </c>
      <c r="GP118" s="112"/>
      <c r="GQ118" s="112" t="str">
        <f t="shared" si="626"/>
        <v>x</v>
      </c>
      <c r="GR118" s="112" t="str">
        <f t="shared" si="627"/>
        <v>x</v>
      </c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2" t="str">
        <f t="shared" si="628"/>
        <v>x</v>
      </c>
      <c r="HC118" s="112" t="str">
        <f t="shared" si="629"/>
        <v>x</v>
      </c>
      <c r="HD118" s="112" t="str">
        <f t="shared" si="630"/>
        <v>x</v>
      </c>
      <c r="HE118" s="112" t="str">
        <f t="shared" si="631"/>
        <v>x</v>
      </c>
      <c r="HF118" s="112" t="str">
        <f t="shared" si="632"/>
        <v>x</v>
      </c>
      <c r="HG118" s="112"/>
      <c r="HH118" s="112" t="str">
        <f t="shared" si="672"/>
        <v>x</v>
      </c>
      <c r="HI118" s="112"/>
      <c r="HJ118" s="112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2" t="str">
        <f t="shared" si="633"/>
        <v>x</v>
      </c>
      <c r="HY118" s="112" t="str">
        <f t="shared" si="634"/>
        <v>x</v>
      </c>
      <c r="HZ118" s="112" t="str">
        <f t="shared" si="635"/>
        <v>x</v>
      </c>
      <c r="IA118" s="111"/>
      <c r="IB118" s="111"/>
      <c r="IC118" s="111"/>
      <c r="ID118" s="111"/>
      <c r="IE118" s="111"/>
      <c r="IF118" s="111"/>
      <c r="IG118" s="111"/>
      <c r="IH118" s="112" t="str">
        <f t="shared" si="636"/>
        <v>x</v>
      </c>
      <c r="II118" s="111"/>
      <c r="IJ118" s="112" t="str">
        <f t="shared" si="637"/>
        <v>x</v>
      </c>
      <c r="IK118" s="112" t="str">
        <f t="shared" si="638"/>
        <v>x</v>
      </c>
      <c r="IL118" s="112" t="str">
        <f t="shared" si="639"/>
        <v>x</v>
      </c>
      <c r="IM118" s="112" t="str">
        <f t="shared" si="640"/>
        <v>x</v>
      </c>
      <c r="IN118" s="112"/>
      <c r="IO118" s="112"/>
      <c r="IP118" s="112" t="str">
        <f t="shared" si="641"/>
        <v>x</v>
      </c>
      <c r="IQ118" s="112"/>
      <c r="IR118" s="111"/>
      <c r="IS118" s="111"/>
      <c r="IT118" s="111"/>
      <c r="IU118" s="112" t="str">
        <f t="shared" si="642"/>
        <v>x</v>
      </c>
      <c r="IV118" s="112"/>
      <c r="IW118" s="112" t="str">
        <f t="shared" si="643"/>
        <v>x</v>
      </c>
      <c r="IX118" s="112" t="str">
        <f t="shared" si="644"/>
        <v>x</v>
      </c>
      <c r="IY118" s="111"/>
      <c r="IZ118" s="112" t="str">
        <f t="shared" si="645"/>
        <v>x</v>
      </c>
      <c r="JA118" s="111"/>
      <c r="JB118" s="112" t="str">
        <f t="shared" si="646"/>
        <v>x</v>
      </c>
      <c r="JC118" s="111"/>
      <c r="JD118" s="112"/>
      <c r="JE118" s="112"/>
      <c r="JF118" s="112"/>
      <c r="JG118" s="112"/>
      <c r="JH118" s="111"/>
      <c r="JI118" s="112" t="str">
        <f t="shared" si="673"/>
        <v>x</v>
      </c>
      <c r="JJ118" s="112" t="str">
        <f t="shared" si="674"/>
        <v>x</v>
      </c>
      <c r="JK118" s="112" t="str">
        <f t="shared" si="675"/>
        <v>x</v>
      </c>
      <c r="JL118" s="112" t="str">
        <f t="shared" si="647"/>
        <v>x</v>
      </c>
      <c r="JM118" s="112"/>
      <c r="JN118" s="112"/>
      <c r="JO118" s="112"/>
      <c r="JP118" s="112"/>
      <c r="JQ118" s="112" t="str">
        <f t="shared" si="648"/>
        <v>x</v>
      </c>
      <c r="JR118" s="112"/>
      <c r="JS118" s="112" t="str">
        <f t="shared" si="649"/>
        <v>x</v>
      </c>
      <c r="JT118" s="111"/>
      <c r="JU118" s="111"/>
      <c r="JV118" s="112"/>
      <c r="JW118" s="112"/>
      <c r="JX118" s="112"/>
      <c r="JY118" s="112"/>
      <c r="JZ118" s="112"/>
      <c r="KA118" s="112" t="str">
        <f t="shared" si="650"/>
        <v>x</v>
      </c>
      <c r="KB118" s="111"/>
      <c r="KC118" s="112" t="str">
        <f t="shared" si="651"/>
        <v>x</v>
      </c>
      <c r="KD118" s="112" t="str">
        <f t="shared" si="652"/>
        <v>x</v>
      </c>
      <c r="KE118" s="112" t="str">
        <f t="shared" si="653"/>
        <v>x</v>
      </c>
      <c r="KF118" s="112"/>
      <c r="KG118" s="112"/>
      <c r="KH118" s="112"/>
      <c r="KI118" s="112"/>
      <c r="KJ118" s="112"/>
      <c r="KK118" s="112"/>
      <c r="KL118" s="112"/>
      <c r="KM118" s="112"/>
      <c r="KN118" s="112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  <c r="KY118" s="112"/>
      <c r="KZ118" s="112"/>
      <c r="LA118" s="112"/>
      <c r="LB118" s="111"/>
      <c r="LC118" s="112"/>
      <c r="LD118" s="112"/>
      <c r="LE118" s="112"/>
      <c r="LF118" s="112"/>
      <c r="LG118" s="112"/>
      <c r="LH118" s="112"/>
      <c r="LI118" s="112"/>
      <c r="LJ118" s="112"/>
      <c r="LK118" s="112"/>
      <c r="LL118" s="111"/>
      <c r="LM118" s="111"/>
      <c r="LN118" s="111"/>
      <c r="LO118" s="111"/>
      <c r="LP118" s="112"/>
      <c r="LQ118" s="111"/>
      <c r="LR118" s="112"/>
      <c r="LS118" s="112"/>
      <c r="LT118" s="111"/>
      <c r="LU118" s="111"/>
      <c r="LV118" s="111"/>
      <c r="LW118" s="111"/>
      <c r="LX118" s="111"/>
      <c r="LY118" s="111"/>
      <c r="LZ118" s="111"/>
      <c r="MA118" s="112"/>
      <c r="MB118" s="111"/>
      <c r="MC118" s="112" t="str">
        <f t="shared" si="654"/>
        <v>x</v>
      </c>
      <c r="MD118" s="111"/>
      <c r="ME118" s="112" t="str">
        <f t="shared" si="655"/>
        <v>x</v>
      </c>
      <c r="MF118" s="112" t="str">
        <f t="shared" si="656"/>
        <v>x</v>
      </c>
      <c r="MG118" s="112" t="str">
        <f t="shared" si="676"/>
        <v>x</v>
      </c>
      <c r="MH118" s="112" t="str">
        <f t="shared" si="657"/>
        <v>x</v>
      </c>
    </row>
    <row r="119" spans="1:346" x14ac:dyDescent="0.25">
      <c r="A119" s="110" t="s">
        <v>5</v>
      </c>
      <c r="B119" s="101" t="s">
        <v>405</v>
      </c>
      <c r="C119" s="102"/>
      <c r="D119" s="102"/>
      <c r="E119" s="102"/>
      <c r="F119" s="102"/>
      <c r="G119" s="102"/>
      <c r="H119" s="102"/>
      <c r="I119" s="102"/>
      <c r="J119" s="103"/>
      <c r="K119" s="111"/>
      <c r="L119" s="111"/>
      <c r="M119" s="111"/>
      <c r="N119" s="111"/>
      <c r="O119" s="112" t="str">
        <f t="shared" si="658"/>
        <v>x</v>
      </c>
      <c r="P119" s="111"/>
      <c r="Q119" s="111"/>
      <c r="R119" s="111"/>
      <c r="S119" s="111"/>
      <c r="T119" s="112" t="str">
        <f t="shared" si="560"/>
        <v>x</v>
      </c>
      <c r="U119" s="112"/>
      <c r="V119" s="112"/>
      <c r="W119" s="111"/>
      <c r="X119" s="112"/>
      <c r="Y119" s="112"/>
      <c r="Z119" s="112"/>
      <c r="AA119" s="112"/>
      <c r="AB119" s="112"/>
      <c r="AC119" s="112" t="str">
        <f t="shared" si="561"/>
        <v>x</v>
      </c>
      <c r="AD119" s="112"/>
      <c r="AE119" s="112" t="str">
        <f t="shared" si="659"/>
        <v>x</v>
      </c>
      <c r="AF119" s="112" t="str">
        <f t="shared" si="562"/>
        <v>x</v>
      </c>
      <c r="AG119" s="112" t="str">
        <f t="shared" si="563"/>
        <v>x</v>
      </c>
      <c r="AH119" s="111"/>
      <c r="AI119" s="111"/>
      <c r="AJ119" s="112" t="str">
        <f t="shared" si="564"/>
        <v>x</v>
      </c>
      <c r="AK119" s="112" t="str">
        <f t="shared" si="565"/>
        <v>x</v>
      </c>
      <c r="AL119" s="112"/>
      <c r="AM119" s="112" t="str">
        <f t="shared" si="660"/>
        <v>x</v>
      </c>
      <c r="AN119" s="112"/>
      <c r="AO119" s="112"/>
      <c r="AP119" s="112"/>
      <c r="AQ119" s="112"/>
      <c r="AR119" s="112"/>
      <c r="AS119" s="112"/>
      <c r="AT119" s="112"/>
      <c r="AU119" s="114" t="str">
        <f t="shared" si="566"/>
        <v>x</v>
      </c>
      <c r="AV119" s="114" t="str">
        <f t="shared" si="567"/>
        <v>x</v>
      </c>
      <c r="AW119" s="114" t="str">
        <f t="shared" si="568"/>
        <v>x</v>
      </c>
      <c r="AX119" s="111"/>
      <c r="AY119" s="111"/>
      <c r="AZ119" s="112" t="str">
        <f t="shared" si="569"/>
        <v>x</v>
      </c>
      <c r="BA119" s="112" t="str">
        <f t="shared" si="570"/>
        <v>x</v>
      </c>
      <c r="BB119" s="111"/>
      <c r="BC119" s="111"/>
      <c r="BD119" s="111"/>
      <c r="BE119" s="112" t="str">
        <f t="shared" si="571"/>
        <v>x</v>
      </c>
      <c r="BF119" s="111"/>
      <c r="BG119" s="112" t="str">
        <f t="shared" si="572"/>
        <v>x</v>
      </c>
      <c r="BH119" s="112" t="str">
        <f t="shared" si="661"/>
        <v>x</v>
      </c>
      <c r="BI119" s="112" t="str">
        <f t="shared" si="573"/>
        <v>x</v>
      </c>
      <c r="BJ119" s="111"/>
      <c r="BK119" s="112" t="str">
        <f t="shared" si="574"/>
        <v>x</v>
      </c>
      <c r="BL119" s="111"/>
      <c r="BM119" s="111"/>
      <c r="BN119" s="111"/>
      <c r="BO119" s="111"/>
      <c r="BP119" s="111"/>
      <c r="BQ119" s="111"/>
      <c r="BR119" s="112" t="str">
        <f t="shared" si="575"/>
        <v>x</v>
      </c>
      <c r="BS119" s="112"/>
      <c r="BT119" s="111"/>
      <c r="BU119" s="112" t="str">
        <f t="shared" si="576"/>
        <v>x</v>
      </c>
      <c r="BV119" s="112" t="str">
        <f t="shared" si="577"/>
        <v>x</v>
      </c>
      <c r="BW119" s="112"/>
      <c r="BX119" s="112"/>
      <c r="BY119" s="112" t="str">
        <f t="shared" si="662"/>
        <v>x</v>
      </c>
      <c r="BZ119" s="112" t="str">
        <f t="shared" si="578"/>
        <v>x</v>
      </c>
      <c r="CA119" s="112" t="str">
        <f t="shared" si="579"/>
        <v>x</v>
      </c>
      <c r="CB119" s="112" t="str">
        <f t="shared" si="580"/>
        <v>x</v>
      </c>
      <c r="CC119" s="112"/>
      <c r="CD119" s="112"/>
      <c r="CE119" s="111"/>
      <c r="CF119" s="111"/>
      <c r="CG119" s="112" t="str">
        <f t="shared" si="663"/>
        <v>x</v>
      </c>
      <c r="CH119" s="112" t="str">
        <f t="shared" si="581"/>
        <v>x</v>
      </c>
      <c r="CI119" s="112" t="str">
        <f t="shared" si="582"/>
        <v>x</v>
      </c>
      <c r="CJ119" s="112" t="str">
        <f t="shared" si="583"/>
        <v>x</v>
      </c>
      <c r="CK119" s="112"/>
      <c r="CL119" s="112"/>
      <c r="CM119" s="112"/>
      <c r="CN119" s="112"/>
      <c r="CO119" s="112" t="str">
        <f t="shared" si="664"/>
        <v>x</v>
      </c>
      <c r="CP119" s="112"/>
      <c r="CQ119" s="112" t="str">
        <f t="shared" si="665"/>
        <v>x</v>
      </c>
      <c r="CR119" s="112" t="str">
        <f t="shared" si="584"/>
        <v>x</v>
      </c>
      <c r="CS119" s="112"/>
      <c r="CT119" s="112" t="str">
        <f t="shared" si="666"/>
        <v>x</v>
      </c>
      <c r="CU119" s="112"/>
      <c r="CV119" s="112"/>
      <c r="CW119" s="112"/>
      <c r="CX119" s="112" t="str">
        <f t="shared" si="585"/>
        <v>x</v>
      </c>
      <c r="CY119" s="112"/>
      <c r="CZ119" s="112"/>
      <c r="DA119" s="112"/>
      <c r="DB119" s="115" t="str">
        <f t="shared" si="667"/>
        <v>x</v>
      </c>
      <c r="DC119" s="112"/>
      <c r="DD119" s="112"/>
      <c r="DE119" s="112" t="str">
        <f t="shared" si="586"/>
        <v>x</v>
      </c>
      <c r="DF119" s="115" t="str">
        <f t="shared" si="587"/>
        <v>x</v>
      </c>
      <c r="DG119" s="112" t="str">
        <f t="shared" si="588"/>
        <v>x</v>
      </c>
      <c r="DH119" s="112" t="str">
        <f t="shared" si="589"/>
        <v>x</v>
      </c>
      <c r="DI119" s="112"/>
      <c r="DJ119" s="112"/>
      <c r="DK119" s="112"/>
      <c r="DL119" s="112"/>
      <c r="DM119" s="112"/>
      <c r="DN119" s="112"/>
      <c r="DO119" s="111"/>
      <c r="DP119" s="111"/>
      <c r="DQ119" s="112" t="str">
        <f t="shared" si="590"/>
        <v>x</v>
      </c>
      <c r="DR119" s="112" t="str">
        <f t="shared" si="668"/>
        <v>x</v>
      </c>
      <c r="DS119" s="112" t="str">
        <f t="shared" si="669"/>
        <v>x</v>
      </c>
      <c r="DT119" s="112"/>
      <c r="DU119" s="112" t="str">
        <f t="shared" si="591"/>
        <v>x</v>
      </c>
      <c r="DV119" s="111"/>
      <c r="DW119" s="112" t="str">
        <f t="shared" si="670"/>
        <v>x</v>
      </c>
      <c r="DX119" s="111"/>
      <c r="DY119" s="112" t="str">
        <f t="shared" si="592"/>
        <v>x</v>
      </c>
      <c r="DZ119" s="112" t="str">
        <f t="shared" si="593"/>
        <v>x</v>
      </c>
      <c r="EA119" s="112" t="str">
        <f t="shared" si="594"/>
        <v>x</v>
      </c>
      <c r="EB119" s="112" t="str">
        <f t="shared" si="595"/>
        <v>x</v>
      </c>
      <c r="EC119" s="111"/>
      <c r="ED119" s="111"/>
      <c r="EE119" s="111"/>
      <c r="EF119" s="111"/>
      <c r="EG119" s="111"/>
      <c r="EH119" s="111"/>
      <c r="EI119" s="112"/>
      <c r="EJ119" s="112" t="str">
        <f t="shared" si="596"/>
        <v>x</v>
      </c>
      <c r="EK119" s="111"/>
      <c r="EL119" s="112" t="str">
        <f t="shared" si="597"/>
        <v>x</v>
      </c>
      <c r="EM119" s="112" t="str">
        <f t="shared" si="598"/>
        <v>x</v>
      </c>
      <c r="EN119" s="112"/>
      <c r="EO119" s="117" t="str">
        <f t="shared" si="599"/>
        <v>x</v>
      </c>
      <c r="EP119" s="117" t="str">
        <f t="shared" si="600"/>
        <v>x</v>
      </c>
      <c r="EQ119" s="112" t="str">
        <f t="shared" si="601"/>
        <v>x</v>
      </c>
      <c r="ER119" s="111"/>
      <c r="ES119" s="111"/>
      <c r="ET119" s="112" t="str">
        <f t="shared" si="602"/>
        <v>x</v>
      </c>
      <c r="EU119" s="112" t="str">
        <f t="shared" si="603"/>
        <v>x</v>
      </c>
      <c r="EV119" s="112" t="str">
        <f t="shared" si="604"/>
        <v>x</v>
      </c>
      <c r="EW119" s="112" t="str">
        <f t="shared" si="605"/>
        <v>x</v>
      </c>
      <c r="EX119" s="111"/>
      <c r="EY119" s="112" t="str">
        <f t="shared" si="606"/>
        <v>x</v>
      </c>
      <c r="EZ119" s="112"/>
      <c r="FA119" s="112" t="str">
        <f t="shared" si="607"/>
        <v>x</v>
      </c>
      <c r="FB119" s="111"/>
      <c r="FC119" s="112" t="str">
        <f t="shared" si="608"/>
        <v>x</v>
      </c>
      <c r="FD119" s="112" t="str">
        <f t="shared" si="609"/>
        <v>x</v>
      </c>
      <c r="FE119" s="111"/>
      <c r="FF119" s="112" t="str">
        <f t="shared" si="610"/>
        <v>x</v>
      </c>
      <c r="FG119" s="111"/>
      <c r="FH119" s="111"/>
      <c r="FI119" s="112"/>
      <c r="FJ119" s="112" t="str">
        <f t="shared" si="611"/>
        <v>x</v>
      </c>
      <c r="FK119" s="112" t="str">
        <f t="shared" si="612"/>
        <v>x</v>
      </c>
      <c r="FL119" s="112"/>
      <c r="FM119" s="112" t="str">
        <f t="shared" si="613"/>
        <v>x</v>
      </c>
      <c r="FN119" s="112" t="str">
        <f t="shared" si="671"/>
        <v>x</v>
      </c>
      <c r="FO119" s="112" t="str">
        <f t="shared" si="614"/>
        <v>x</v>
      </c>
      <c r="FP119" s="112" t="str">
        <f t="shared" si="615"/>
        <v>x</v>
      </c>
      <c r="FQ119" s="112" t="str">
        <f t="shared" si="616"/>
        <v>x</v>
      </c>
      <c r="FR119" s="112" t="str">
        <f t="shared" si="617"/>
        <v>x</v>
      </c>
      <c r="FS119" s="112" t="str">
        <f t="shared" si="618"/>
        <v>x</v>
      </c>
      <c r="FT119" s="112" t="str">
        <f t="shared" si="619"/>
        <v>x</v>
      </c>
      <c r="FU119" s="112" t="str">
        <f t="shared" si="620"/>
        <v>x</v>
      </c>
      <c r="FV119" s="112" t="str">
        <f t="shared" si="621"/>
        <v>x</v>
      </c>
      <c r="FW119" s="111"/>
      <c r="FX119" s="112"/>
      <c r="FY119" s="112"/>
      <c r="FZ119" s="111"/>
      <c r="GA119" s="111"/>
      <c r="GB119" s="111"/>
      <c r="GC119" s="112" t="str">
        <f t="shared" si="622"/>
        <v>x</v>
      </c>
      <c r="GD119" s="111"/>
      <c r="GE119" s="111"/>
      <c r="GF119" s="111"/>
      <c r="GG119" s="112"/>
      <c r="GH119" s="111"/>
      <c r="GI119" s="111"/>
      <c r="GJ119" s="112" t="str">
        <f t="shared" si="623"/>
        <v>x</v>
      </c>
      <c r="GK119" s="111"/>
      <c r="GL119" s="112" t="str">
        <f t="shared" si="624"/>
        <v>x</v>
      </c>
      <c r="GM119" s="111"/>
      <c r="GN119" s="111"/>
      <c r="GO119" s="112" t="str">
        <f t="shared" si="625"/>
        <v>x</v>
      </c>
      <c r="GP119" s="112"/>
      <c r="GQ119" s="112" t="str">
        <f t="shared" si="626"/>
        <v>x</v>
      </c>
      <c r="GR119" s="112" t="str">
        <f t="shared" si="627"/>
        <v>x</v>
      </c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2" t="str">
        <f t="shared" si="628"/>
        <v>x</v>
      </c>
      <c r="HC119" s="112" t="str">
        <f t="shared" si="629"/>
        <v>x</v>
      </c>
      <c r="HD119" s="112" t="str">
        <f t="shared" si="630"/>
        <v>x</v>
      </c>
      <c r="HE119" s="112" t="str">
        <f t="shared" si="631"/>
        <v>x</v>
      </c>
      <c r="HF119" s="112" t="str">
        <f t="shared" si="632"/>
        <v>x</v>
      </c>
      <c r="HG119" s="112"/>
      <c r="HH119" s="112" t="str">
        <f t="shared" si="672"/>
        <v>x</v>
      </c>
      <c r="HI119" s="112"/>
      <c r="HJ119" s="112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2" t="str">
        <f t="shared" si="633"/>
        <v>x</v>
      </c>
      <c r="HY119" s="112" t="str">
        <f t="shared" si="634"/>
        <v>x</v>
      </c>
      <c r="HZ119" s="112" t="str">
        <f t="shared" si="635"/>
        <v>x</v>
      </c>
      <c r="IA119" s="111"/>
      <c r="IB119" s="111"/>
      <c r="IC119" s="111"/>
      <c r="ID119" s="111"/>
      <c r="IE119" s="111"/>
      <c r="IF119" s="111"/>
      <c r="IG119" s="111"/>
      <c r="IH119" s="112" t="str">
        <f t="shared" si="636"/>
        <v>x</v>
      </c>
      <c r="II119" s="111"/>
      <c r="IJ119" s="112" t="str">
        <f t="shared" si="637"/>
        <v>x</v>
      </c>
      <c r="IK119" s="112" t="str">
        <f t="shared" si="638"/>
        <v>x</v>
      </c>
      <c r="IL119" s="112" t="str">
        <f t="shared" si="639"/>
        <v>x</v>
      </c>
      <c r="IM119" s="112" t="str">
        <f t="shared" si="640"/>
        <v>x</v>
      </c>
      <c r="IN119" s="112"/>
      <c r="IO119" s="112"/>
      <c r="IP119" s="112" t="str">
        <f t="shared" si="641"/>
        <v>x</v>
      </c>
      <c r="IQ119" s="112"/>
      <c r="IR119" s="111"/>
      <c r="IS119" s="111"/>
      <c r="IT119" s="111"/>
      <c r="IU119" s="112" t="str">
        <f t="shared" si="642"/>
        <v>x</v>
      </c>
      <c r="IV119" s="112"/>
      <c r="IW119" s="112" t="str">
        <f t="shared" si="643"/>
        <v>x</v>
      </c>
      <c r="IX119" s="112" t="str">
        <f t="shared" si="644"/>
        <v>x</v>
      </c>
      <c r="IY119" s="111"/>
      <c r="IZ119" s="112" t="str">
        <f t="shared" si="645"/>
        <v>x</v>
      </c>
      <c r="JA119" s="111"/>
      <c r="JB119" s="112" t="str">
        <f t="shared" si="646"/>
        <v>x</v>
      </c>
      <c r="JC119" s="111"/>
      <c r="JD119" s="112"/>
      <c r="JE119" s="112"/>
      <c r="JF119" s="112"/>
      <c r="JG119" s="112"/>
      <c r="JH119" s="111"/>
      <c r="JI119" s="112" t="str">
        <f t="shared" si="673"/>
        <v>x</v>
      </c>
      <c r="JJ119" s="112" t="str">
        <f t="shared" si="674"/>
        <v>x</v>
      </c>
      <c r="JK119" s="112" t="str">
        <f t="shared" si="675"/>
        <v>x</v>
      </c>
      <c r="JL119" s="112" t="str">
        <f t="shared" si="647"/>
        <v>x</v>
      </c>
      <c r="JM119" s="112"/>
      <c r="JN119" s="112"/>
      <c r="JO119" s="112"/>
      <c r="JP119" s="112"/>
      <c r="JQ119" s="112" t="str">
        <f t="shared" si="648"/>
        <v>x</v>
      </c>
      <c r="JR119" s="112"/>
      <c r="JS119" s="112" t="str">
        <f t="shared" si="649"/>
        <v>x</v>
      </c>
      <c r="JT119" s="111"/>
      <c r="JU119" s="111"/>
      <c r="JV119" s="112"/>
      <c r="JW119" s="112"/>
      <c r="JX119" s="112"/>
      <c r="JY119" s="112"/>
      <c r="JZ119" s="112"/>
      <c r="KA119" s="112" t="str">
        <f t="shared" si="650"/>
        <v>x</v>
      </c>
      <c r="KB119" s="111"/>
      <c r="KC119" s="112" t="str">
        <f t="shared" si="651"/>
        <v>x</v>
      </c>
      <c r="KD119" s="112" t="str">
        <f t="shared" si="652"/>
        <v>x</v>
      </c>
      <c r="KE119" s="112" t="str">
        <f t="shared" si="653"/>
        <v>x</v>
      </c>
      <c r="KF119" s="112"/>
      <c r="KG119" s="112"/>
      <c r="KH119" s="112"/>
      <c r="KI119" s="112"/>
      <c r="KJ119" s="112"/>
      <c r="KK119" s="112"/>
      <c r="KL119" s="112"/>
      <c r="KM119" s="112"/>
      <c r="KN119" s="112"/>
      <c r="KO119" s="112"/>
      <c r="KP119" s="112"/>
      <c r="KQ119" s="112"/>
      <c r="KR119" s="112"/>
      <c r="KS119" s="112"/>
      <c r="KT119" s="112"/>
      <c r="KU119" s="112"/>
      <c r="KV119" s="112"/>
      <c r="KW119" s="112"/>
      <c r="KX119" s="112"/>
      <c r="KY119" s="112"/>
      <c r="KZ119" s="112"/>
      <c r="LA119" s="112"/>
      <c r="LB119" s="111"/>
      <c r="LC119" s="112"/>
      <c r="LD119" s="112"/>
      <c r="LE119" s="112"/>
      <c r="LF119" s="112"/>
      <c r="LG119" s="112"/>
      <c r="LH119" s="112"/>
      <c r="LI119" s="112"/>
      <c r="LJ119" s="112"/>
      <c r="LK119" s="112"/>
      <c r="LL119" s="111"/>
      <c r="LM119" s="111"/>
      <c r="LN119" s="111"/>
      <c r="LO119" s="111"/>
      <c r="LP119" s="112"/>
      <c r="LQ119" s="111"/>
      <c r="LR119" s="112"/>
      <c r="LS119" s="112"/>
      <c r="LT119" s="111"/>
      <c r="LU119" s="111"/>
      <c r="LV119" s="111"/>
      <c r="LW119" s="111"/>
      <c r="LX119" s="111"/>
      <c r="LY119" s="111"/>
      <c r="LZ119" s="111"/>
      <c r="MA119" s="112"/>
      <c r="MB119" s="111"/>
      <c r="MC119" s="112" t="str">
        <f t="shared" si="654"/>
        <v>x</v>
      </c>
      <c r="MD119" s="111"/>
      <c r="ME119" s="112" t="str">
        <f t="shared" si="655"/>
        <v>x</v>
      </c>
      <c r="MF119" s="112" t="str">
        <f t="shared" si="656"/>
        <v>x</v>
      </c>
      <c r="MG119" s="112" t="str">
        <f t="shared" si="676"/>
        <v>x</v>
      </c>
      <c r="MH119" s="112" t="str">
        <f t="shared" si="657"/>
        <v>x</v>
      </c>
    </row>
    <row r="120" spans="1:346" x14ac:dyDescent="0.25">
      <c r="A120" s="110" t="s">
        <v>5</v>
      </c>
      <c r="B120" s="101" t="s">
        <v>406</v>
      </c>
      <c r="C120" s="102"/>
      <c r="D120" s="102"/>
      <c r="E120" s="102"/>
      <c r="F120" s="102"/>
      <c r="G120" s="102"/>
      <c r="H120" s="102"/>
      <c r="I120" s="102"/>
      <c r="J120" s="103"/>
      <c r="K120" s="111"/>
      <c r="L120" s="111"/>
      <c r="M120" s="111"/>
      <c r="N120" s="111"/>
      <c r="O120" s="112" t="str">
        <f t="shared" si="658"/>
        <v>x</v>
      </c>
      <c r="P120" s="111"/>
      <c r="Q120" s="111"/>
      <c r="R120" s="111"/>
      <c r="S120" s="111"/>
      <c r="T120" s="112" t="str">
        <f t="shared" si="560"/>
        <v>x</v>
      </c>
      <c r="U120" s="112"/>
      <c r="V120" s="112"/>
      <c r="W120" s="111"/>
      <c r="X120" s="112"/>
      <c r="Y120" s="112"/>
      <c r="Z120" s="112"/>
      <c r="AA120" s="112"/>
      <c r="AB120" s="112"/>
      <c r="AC120" s="112" t="str">
        <f t="shared" si="561"/>
        <v>x</v>
      </c>
      <c r="AD120" s="112"/>
      <c r="AE120" s="112" t="str">
        <f t="shared" si="659"/>
        <v>x</v>
      </c>
      <c r="AF120" s="112" t="str">
        <f t="shared" si="562"/>
        <v>x</v>
      </c>
      <c r="AG120" s="112" t="str">
        <f t="shared" si="563"/>
        <v>x</v>
      </c>
      <c r="AH120" s="111"/>
      <c r="AI120" s="111"/>
      <c r="AJ120" s="112" t="str">
        <f t="shared" si="564"/>
        <v>x</v>
      </c>
      <c r="AK120" s="112" t="str">
        <f t="shared" si="565"/>
        <v>x</v>
      </c>
      <c r="AL120" s="112"/>
      <c r="AM120" s="112" t="str">
        <f t="shared" si="660"/>
        <v>x</v>
      </c>
      <c r="AN120" s="112"/>
      <c r="AO120" s="112"/>
      <c r="AP120" s="112"/>
      <c r="AQ120" s="112"/>
      <c r="AR120" s="112"/>
      <c r="AS120" s="112"/>
      <c r="AT120" s="112"/>
      <c r="AU120" s="114" t="str">
        <f t="shared" si="566"/>
        <v>x</v>
      </c>
      <c r="AV120" s="114" t="str">
        <f t="shared" si="567"/>
        <v>x</v>
      </c>
      <c r="AW120" s="114" t="str">
        <f t="shared" si="568"/>
        <v>x</v>
      </c>
      <c r="AX120" s="111"/>
      <c r="AY120" s="111"/>
      <c r="AZ120" s="112" t="str">
        <f t="shared" si="569"/>
        <v>x</v>
      </c>
      <c r="BA120" s="112" t="str">
        <f t="shared" si="570"/>
        <v>x</v>
      </c>
      <c r="BB120" s="111"/>
      <c r="BC120" s="111"/>
      <c r="BD120" s="111"/>
      <c r="BE120" s="112" t="str">
        <f t="shared" si="571"/>
        <v>x</v>
      </c>
      <c r="BF120" s="111"/>
      <c r="BG120" s="112" t="str">
        <f t="shared" si="572"/>
        <v>x</v>
      </c>
      <c r="BH120" s="112" t="str">
        <f t="shared" si="661"/>
        <v>x</v>
      </c>
      <c r="BI120" s="112" t="str">
        <f t="shared" si="573"/>
        <v>x</v>
      </c>
      <c r="BJ120" s="111"/>
      <c r="BK120" s="112" t="str">
        <f t="shared" si="574"/>
        <v>x</v>
      </c>
      <c r="BL120" s="111"/>
      <c r="BM120" s="111"/>
      <c r="BN120" s="111"/>
      <c r="BO120" s="111"/>
      <c r="BP120" s="111"/>
      <c r="BQ120" s="111"/>
      <c r="BR120" s="112" t="str">
        <f t="shared" si="575"/>
        <v>x</v>
      </c>
      <c r="BS120" s="112"/>
      <c r="BT120" s="111"/>
      <c r="BU120" s="112" t="str">
        <f t="shared" si="576"/>
        <v>x</v>
      </c>
      <c r="BV120" s="112" t="str">
        <f t="shared" si="577"/>
        <v>x</v>
      </c>
      <c r="BW120" s="112"/>
      <c r="BX120" s="112"/>
      <c r="BY120" s="112" t="str">
        <f t="shared" si="662"/>
        <v>x</v>
      </c>
      <c r="BZ120" s="112" t="str">
        <f t="shared" si="578"/>
        <v>x</v>
      </c>
      <c r="CA120" s="112" t="str">
        <f t="shared" si="579"/>
        <v>x</v>
      </c>
      <c r="CB120" s="112" t="str">
        <f t="shared" si="580"/>
        <v>x</v>
      </c>
      <c r="CC120" s="112"/>
      <c r="CD120" s="112"/>
      <c r="CE120" s="111"/>
      <c r="CF120" s="111"/>
      <c r="CG120" s="112" t="str">
        <f t="shared" si="663"/>
        <v>x</v>
      </c>
      <c r="CH120" s="112" t="str">
        <f t="shared" si="581"/>
        <v>x</v>
      </c>
      <c r="CI120" s="112" t="str">
        <f t="shared" si="582"/>
        <v>x</v>
      </c>
      <c r="CJ120" s="112" t="str">
        <f t="shared" si="583"/>
        <v>x</v>
      </c>
      <c r="CK120" s="112"/>
      <c r="CL120" s="112"/>
      <c r="CM120" s="112"/>
      <c r="CN120" s="112"/>
      <c r="CO120" s="112" t="str">
        <f t="shared" si="664"/>
        <v>x</v>
      </c>
      <c r="CP120" s="112"/>
      <c r="CQ120" s="112" t="str">
        <f t="shared" si="665"/>
        <v>x</v>
      </c>
      <c r="CR120" s="112" t="str">
        <f t="shared" si="584"/>
        <v>x</v>
      </c>
      <c r="CS120" s="112"/>
      <c r="CT120" s="112" t="str">
        <f t="shared" si="666"/>
        <v>x</v>
      </c>
      <c r="CU120" s="112"/>
      <c r="CV120" s="112"/>
      <c r="CW120" s="112"/>
      <c r="CX120" s="112" t="str">
        <f t="shared" si="585"/>
        <v>x</v>
      </c>
      <c r="CY120" s="112"/>
      <c r="CZ120" s="112"/>
      <c r="DA120" s="112"/>
      <c r="DB120" s="115" t="str">
        <f t="shared" si="667"/>
        <v>x</v>
      </c>
      <c r="DC120" s="112"/>
      <c r="DD120" s="112"/>
      <c r="DE120" s="112" t="str">
        <f t="shared" si="586"/>
        <v>x</v>
      </c>
      <c r="DF120" s="115" t="str">
        <f t="shared" si="587"/>
        <v>x</v>
      </c>
      <c r="DG120" s="112" t="str">
        <f t="shared" si="588"/>
        <v>x</v>
      </c>
      <c r="DH120" s="112" t="str">
        <f t="shared" si="589"/>
        <v>x</v>
      </c>
      <c r="DI120" s="112"/>
      <c r="DJ120" s="112"/>
      <c r="DK120" s="112"/>
      <c r="DL120" s="112"/>
      <c r="DM120" s="112"/>
      <c r="DN120" s="112"/>
      <c r="DO120" s="111"/>
      <c r="DP120" s="111"/>
      <c r="DQ120" s="112" t="str">
        <f t="shared" si="590"/>
        <v>x</v>
      </c>
      <c r="DR120" s="112" t="str">
        <f t="shared" si="668"/>
        <v>x</v>
      </c>
      <c r="DS120" s="112" t="str">
        <f t="shared" si="669"/>
        <v>x</v>
      </c>
      <c r="DT120" s="112"/>
      <c r="DU120" s="112" t="str">
        <f t="shared" si="591"/>
        <v>x</v>
      </c>
      <c r="DV120" s="111"/>
      <c r="DW120" s="112" t="str">
        <f t="shared" si="670"/>
        <v>x</v>
      </c>
      <c r="DX120" s="111"/>
      <c r="DY120" s="112" t="str">
        <f t="shared" si="592"/>
        <v>x</v>
      </c>
      <c r="DZ120" s="112" t="str">
        <f t="shared" si="593"/>
        <v>x</v>
      </c>
      <c r="EA120" s="112" t="str">
        <f t="shared" si="594"/>
        <v>x</v>
      </c>
      <c r="EB120" s="112" t="str">
        <f t="shared" si="595"/>
        <v>x</v>
      </c>
      <c r="EC120" s="111"/>
      <c r="ED120" s="111"/>
      <c r="EE120" s="111"/>
      <c r="EF120" s="111"/>
      <c r="EG120" s="111"/>
      <c r="EH120" s="111"/>
      <c r="EI120" s="112"/>
      <c r="EJ120" s="112" t="str">
        <f t="shared" si="596"/>
        <v>x</v>
      </c>
      <c r="EK120" s="111"/>
      <c r="EL120" s="112" t="str">
        <f t="shared" si="597"/>
        <v>x</v>
      </c>
      <c r="EM120" s="112" t="str">
        <f t="shared" si="598"/>
        <v>x</v>
      </c>
      <c r="EN120" s="112"/>
      <c r="EO120" s="117" t="str">
        <f t="shared" si="599"/>
        <v>x</v>
      </c>
      <c r="EP120" s="117" t="str">
        <f t="shared" si="600"/>
        <v>x</v>
      </c>
      <c r="EQ120" s="112" t="str">
        <f t="shared" si="601"/>
        <v>x</v>
      </c>
      <c r="ER120" s="111"/>
      <c r="ES120" s="111"/>
      <c r="ET120" s="112" t="str">
        <f t="shared" si="602"/>
        <v>x</v>
      </c>
      <c r="EU120" s="112" t="str">
        <f t="shared" si="603"/>
        <v>x</v>
      </c>
      <c r="EV120" s="112" t="str">
        <f t="shared" si="604"/>
        <v>x</v>
      </c>
      <c r="EW120" s="112" t="str">
        <f t="shared" si="605"/>
        <v>x</v>
      </c>
      <c r="EX120" s="111"/>
      <c r="EY120" s="112" t="str">
        <f t="shared" si="606"/>
        <v>x</v>
      </c>
      <c r="EZ120" s="112"/>
      <c r="FA120" s="112" t="str">
        <f t="shared" si="607"/>
        <v>x</v>
      </c>
      <c r="FB120" s="111"/>
      <c r="FC120" s="112" t="str">
        <f t="shared" si="608"/>
        <v>x</v>
      </c>
      <c r="FD120" s="112" t="str">
        <f t="shared" si="609"/>
        <v>x</v>
      </c>
      <c r="FE120" s="111"/>
      <c r="FF120" s="112" t="str">
        <f t="shared" si="610"/>
        <v>x</v>
      </c>
      <c r="FG120" s="111"/>
      <c r="FH120" s="111"/>
      <c r="FI120" s="112"/>
      <c r="FJ120" s="112" t="str">
        <f t="shared" si="611"/>
        <v>x</v>
      </c>
      <c r="FK120" s="112" t="str">
        <f t="shared" si="612"/>
        <v>x</v>
      </c>
      <c r="FL120" s="112"/>
      <c r="FM120" s="112" t="str">
        <f t="shared" si="613"/>
        <v>x</v>
      </c>
      <c r="FN120" s="112" t="str">
        <f t="shared" si="671"/>
        <v>x</v>
      </c>
      <c r="FO120" s="112" t="str">
        <f t="shared" si="614"/>
        <v>x</v>
      </c>
      <c r="FP120" s="112" t="str">
        <f t="shared" si="615"/>
        <v>x</v>
      </c>
      <c r="FQ120" s="112" t="str">
        <f t="shared" si="616"/>
        <v>x</v>
      </c>
      <c r="FR120" s="112" t="str">
        <f t="shared" si="617"/>
        <v>x</v>
      </c>
      <c r="FS120" s="112" t="str">
        <f t="shared" si="618"/>
        <v>x</v>
      </c>
      <c r="FT120" s="112" t="str">
        <f t="shared" si="619"/>
        <v>x</v>
      </c>
      <c r="FU120" s="112" t="str">
        <f t="shared" si="620"/>
        <v>x</v>
      </c>
      <c r="FV120" s="112" t="str">
        <f t="shared" si="621"/>
        <v>x</v>
      </c>
      <c r="FW120" s="111"/>
      <c r="FX120" s="112"/>
      <c r="FY120" s="112"/>
      <c r="FZ120" s="111"/>
      <c r="GA120" s="111"/>
      <c r="GB120" s="111"/>
      <c r="GC120" s="112" t="str">
        <f t="shared" si="622"/>
        <v>x</v>
      </c>
      <c r="GD120" s="111"/>
      <c r="GE120" s="111"/>
      <c r="GF120" s="111"/>
      <c r="GG120" s="112"/>
      <c r="GH120" s="111"/>
      <c r="GI120" s="111"/>
      <c r="GJ120" s="112" t="str">
        <f t="shared" si="623"/>
        <v>x</v>
      </c>
      <c r="GK120" s="111"/>
      <c r="GL120" s="112" t="str">
        <f t="shared" si="624"/>
        <v>x</v>
      </c>
      <c r="GM120" s="111"/>
      <c r="GN120" s="111"/>
      <c r="GO120" s="112" t="str">
        <f t="shared" si="625"/>
        <v>x</v>
      </c>
      <c r="GP120" s="112"/>
      <c r="GQ120" s="112" t="str">
        <f t="shared" si="626"/>
        <v>x</v>
      </c>
      <c r="GR120" s="112" t="str">
        <f t="shared" si="627"/>
        <v>x</v>
      </c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2" t="str">
        <f t="shared" si="628"/>
        <v>x</v>
      </c>
      <c r="HC120" s="112" t="str">
        <f t="shared" si="629"/>
        <v>x</v>
      </c>
      <c r="HD120" s="112" t="str">
        <f t="shared" si="630"/>
        <v>x</v>
      </c>
      <c r="HE120" s="112" t="str">
        <f t="shared" si="631"/>
        <v>x</v>
      </c>
      <c r="HF120" s="112" t="str">
        <f t="shared" si="632"/>
        <v>x</v>
      </c>
      <c r="HG120" s="112"/>
      <c r="HH120" s="112" t="str">
        <f t="shared" si="672"/>
        <v>x</v>
      </c>
      <c r="HI120" s="112"/>
      <c r="HJ120" s="112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2" t="str">
        <f t="shared" si="633"/>
        <v>x</v>
      </c>
      <c r="HY120" s="112" t="str">
        <f t="shared" si="634"/>
        <v>x</v>
      </c>
      <c r="HZ120" s="112" t="str">
        <f t="shared" si="635"/>
        <v>x</v>
      </c>
      <c r="IA120" s="111"/>
      <c r="IB120" s="111"/>
      <c r="IC120" s="111"/>
      <c r="ID120" s="111"/>
      <c r="IE120" s="111"/>
      <c r="IF120" s="111"/>
      <c r="IG120" s="111"/>
      <c r="IH120" s="112" t="str">
        <f t="shared" si="636"/>
        <v>x</v>
      </c>
      <c r="II120" s="111"/>
      <c r="IJ120" s="112" t="str">
        <f t="shared" si="637"/>
        <v>x</v>
      </c>
      <c r="IK120" s="112" t="str">
        <f t="shared" si="638"/>
        <v>x</v>
      </c>
      <c r="IL120" s="112" t="str">
        <f t="shared" si="639"/>
        <v>x</v>
      </c>
      <c r="IM120" s="112" t="str">
        <f t="shared" si="640"/>
        <v>x</v>
      </c>
      <c r="IN120" s="112"/>
      <c r="IO120" s="112"/>
      <c r="IP120" s="112" t="str">
        <f t="shared" si="641"/>
        <v>x</v>
      </c>
      <c r="IQ120" s="112"/>
      <c r="IR120" s="111"/>
      <c r="IS120" s="111"/>
      <c r="IT120" s="111"/>
      <c r="IU120" s="112" t="str">
        <f t="shared" si="642"/>
        <v>x</v>
      </c>
      <c r="IV120" s="112"/>
      <c r="IW120" s="112" t="str">
        <f t="shared" si="643"/>
        <v>x</v>
      </c>
      <c r="IX120" s="112" t="str">
        <f t="shared" si="644"/>
        <v>x</v>
      </c>
      <c r="IY120" s="111"/>
      <c r="IZ120" s="112" t="str">
        <f t="shared" si="645"/>
        <v>x</v>
      </c>
      <c r="JA120" s="111"/>
      <c r="JB120" s="112" t="str">
        <f t="shared" si="646"/>
        <v>x</v>
      </c>
      <c r="JC120" s="111"/>
      <c r="JD120" s="112"/>
      <c r="JE120" s="112"/>
      <c r="JF120" s="112"/>
      <c r="JG120" s="112"/>
      <c r="JH120" s="111"/>
      <c r="JI120" s="112" t="str">
        <f t="shared" si="673"/>
        <v>x</v>
      </c>
      <c r="JJ120" s="112" t="str">
        <f t="shared" si="674"/>
        <v>x</v>
      </c>
      <c r="JK120" s="112" t="str">
        <f t="shared" si="675"/>
        <v>x</v>
      </c>
      <c r="JL120" s="112" t="str">
        <f t="shared" si="647"/>
        <v>x</v>
      </c>
      <c r="JM120" s="112"/>
      <c r="JN120" s="112"/>
      <c r="JO120" s="112"/>
      <c r="JP120" s="112"/>
      <c r="JQ120" s="112" t="str">
        <f t="shared" si="648"/>
        <v>x</v>
      </c>
      <c r="JR120" s="112"/>
      <c r="JS120" s="112" t="str">
        <f t="shared" si="649"/>
        <v>x</v>
      </c>
      <c r="JT120" s="111"/>
      <c r="JU120" s="111"/>
      <c r="JV120" s="112"/>
      <c r="JW120" s="112"/>
      <c r="JX120" s="112"/>
      <c r="JY120" s="112"/>
      <c r="JZ120" s="112"/>
      <c r="KA120" s="112" t="str">
        <f t="shared" si="650"/>
        <v>x</v>
      </c>
      <c r="KB120" s="111"/>
      <c r="KC120" s="112" t="str">
        <f t="shared" si="651"/>
        <v>x</v>
      </c>
      <c r="KD120" s="112" t="str">
        <f t="shared" si="652"/>
        <v>x</v>
      </c>
      <c r="KE120" s="112" t="str">
        <f t="shared" si="653"/>
        <v>x</v>
      </c>
      <c r="KF120" s="112"/>
      <c r="KG120" s="112"/>
      <c r="KH120" s="112"/>
      <c r="KI120" s="112"/>
      <c r="KJ120" s="112"/>
      <c r="KK120" s="112"/>
      <c r="KL120" s="112"/>
      <c r="KM120" s="112"/>
      <c r="KN120" s="112"/>
      <c r="KO120" s="112"/>
      <c r="KP120" s="112"/>
      <c r="KQ120" s="112"/>
      <c r="KR120" s="112"/>
      <c r="KS120" s="112"/>
      <c r="KT120" s="112"/>
      <c r="KU120" s="112"/>
      <c r="KV120" s="112"/>
      <c r="KW120" s="112"/>
      <c r="KX120" s="112"/>
      <c r="KY120" s="112"/>
      <c r="KZ120" s="112"/>
      <c r="LA120" s="112"/>
      <c r="LB120" s="111"/>
      <c r="LC120" s="112"/>
      <c r="LD120" s="112"/>
      <c r="LE120" s="112"/>
      <c r="LF120" s="112"/>
      <c r="LG120" s="112"/>
      <c r="LH120" s="112"/>
      <c r="LI120" s="112"/>
      <c r="LJ120" s="112"/>
      <c r="LK120" s="112"/>
      <c r="LL120" s="111"/>
      <c r="LM120" s="111"/>
      <c r="LN120" s="111"/>
      <c r="LO120" s="111"/>
      <c r="LP120" s="112"/>
      <c r="LQ120" s="111"/>
      <c r="LR120" s="112"/>
      <c r="LS120" s="112"/>
      <c r="LT120" s="111"/>
      <c r="LU120" s="111"/>
      <c r="LV120" s="111"/>
      <c r="LW120" s="111"/>
      <c r="LX120" s="111"/>
      <c r="LY120" s="111"/>
      <c r="LZ120" s="111"/>
      <c r="MA120" s="112"/>
      <c r="MB120" s="111"/>
      <c r="MC120" s="112" t="str">
        <f t="shared" si="654"/>
        <v>x</v>
      </c>
      <c r="MD120" s="111"/>
      <c r="ME120" s="112" t="str">
        <f t="shared" si="655"/>
        <v>x</v>
      </c>
      <c r="MF120" s="112" t="str">
        <f t="shared" si="656"/>
        <v>x</v>
      </c>
      <c r="MG120" s="112" t="str">
        <f t="shared" si="676"/>
        <v>x</v>
      </c>
      <c r="MH120" s="112" t="str">
        <f t="shared" si="657"/>
        <v>x</v>
      </c>
    </row>
    <row r="121" spans="1:346" x14ac:dyDescent="0.25">
      <c r="A121" s="110" t="s">
        <v>5</v>
      </c>
      <c r="B121" s="101" t="s">
        <v>407</v>
      </c>
      <c r="C121" s="102"/>
      <c r="D121" s="102"/>
      <c r="E121" s="102"/>
      <c r="F121" s="102"/>
      <c r="G121" s="102"/>
      <c r="H121" s="102"/>
      <c r="I121" s="102"/>
      <c r="J121" s="103"/>
      <c r="K121" s="111"/>
      <c r="L121" s="111"/>
      <c r="M121" s="111"/>
      <c r="N121" s="111"/>
      <c r="O121" s="112" t="str">
        <f t="shared" si="658"/>
        <v>x</v>
      </c>
      <c r="P121" s="111"/>
      <c r="Q121" s="111"/>
      <c r="R121" s="111"/>
      <c r="S121" s="111"/>
      <c r="T121" s="112" t="str">
        <f t="shared" si="560"/>
        <v>x</v>
      </c>
      <c r="U121" s="112"/>
      <c r="V121" s="112"/>
      <c r="W121" s="111"/>
      <c r="X121" s="112"/>
      <c r="Y121" s="112"/>
      <c r="Z121" s="112"/>
      <c r="AA121" s="112"/>
      <c r="AB121" s="112"/>
      <c r="AC121" s="112" t="str">
        <f t="shared" si="561"/>
        <v>x</v>
      </c>
      <c r="AD121" s="112"/>
      <c r="AE121" s="112" t="str">
        <f t="shared" si="659"/>
        <v>x</v>
      </c>
      <c r="AF121" s="112" t="str">
        <f t="shared" si="562"/>
        <v>x</v>
      </c>
      <c r="AG121" s="112" t="str">
        <f t="shared" si="563"/>
        <v>x</v>
      </c>
      <c r="AH121" s="111"/>
      <c r="AI121" s="111"/>
      <c r="AJ121" s="112" t="str">
        <f t="shared" si="564"/>
        <v>x</v>
      </c>
      <c r="AK121" s="112" t="str">
        <f t="shared" si="565"/>
        <v>x</v>
      </c>
      <c r="AL121" s="112"/>
      <c r="AM121" s="112" t="str">
        <f t="shared" si="660"/>
        <v>x</v>
      </c>
      <c r="AN121" s="112"/>
      <c r="AO121" s="112"/>
      <c r="AP121" s="112"/>
      <c r="AQ121" s="112"/>
      <c r="AR121" s="112"/>
      <c r="AS121" s="112"/>
      <c r="AT121" s="112"/>
      <c r="AU121" s="114" t="str">
        <f t="shared" si="566"/>
        <v>x</v>
      </c>
      <c r="AV121" s="114" t="str">
        <f t="shared" si="567"/>
        <v>x</v>
      </c>
      <c r="AW121" s="114" t="str">
        <f t="shared" si="568"/>
        <v>x</v>
      </c>
      <c r="AX121" s="111"/>
      <c r="AY121" s="111"/>
      <c r="AZ121" s="112" t="str">
        <f t="shared" si="569"/>
        <v>x</v>
      </c>
      <c r="BA121" s="112" t="str">
        <f t="shared" si="570"/>
        <v>x</v>
      </c>
      <c r="BB121" s="111"/>
      <c r="BC121" s="111"/>
      <c r="BD121" s="111"/>
      <c r="BE121" s="112" t="str">
        <f t="shared" si="571"/>
        <v>x</v>
      </c>
      <c r="BF121" s="111"/>
      <c r="BG121" s="112" t="str">
        <f t="shared" si="572"/>
        <v>x</v>
      </c>
      <c r="BH121" s="112" t="str">
        <f t="shared" si="661"/>
        <v>x</v>
      </c>
      <c r="BI121" s="112" t="str">
        <f t="shared" si="573"/>
        <v>x</v>
      </c>
      <c r="BJ121" s="111"/>
      <c r="BK121" s="112" t="str">
        <f t="shared" si="574"/>
        <v>x</v>
      </c>
      <c r="BL121" s="111"/>
      <c r="BM121" s="111"/>
      <c r="BN121" s="111"/>
      <c r="BO121" s="111"/>
      <c r="BP121" s="111"/>
      <c r="BQ121" s="111"/>
      <c r="BR121" s="112" t="str">
        <f t="shared" si="575"/>
        <v>x</v>
      </c>
      <c r="BS121" s="112"/>
      <c r="BT121" s="111"/>
      <c r="BU121" s="112" t="str">
        <f t="shared" si="576"/>
        <v>x</v>
      </c>
      <c r="BV121" s="112" t="str">
        <f t="shared" si="577"/>
        <v>x</v>
      </c>
      <c r="BW121" s="112"/>
      <c r="BX121" s="112"/>
      <c r="BY121" s="112" t="str">
        <f t="shared" si="662"/>
        <v>x</v>
      </c>
      <c r="BZ121" s="112" t="str">
        <f t="shared" si="578"/>
        <v>x</v>
      </c>
      <c r="CA121" s="112" t="str">
        <f t="shared" si="579"/>
        <v>x</v>
      </c>
      <c r="CB121" s="112" t="str">
        <f t="shared" si="580"/>
        <v>x</v>
      </c>
      <c r="CC121" s="112"/>
      <c r="CD121" s="112"/>
      <c r="CE121" s="111"/>
      <c r="CF121" s="111"/>
      <c r="CG121" s="112" t="str">
        <f t="shared" si="663"/>
        <v>x</v>
      </c>
      <c r="CH121" s="112" t="str">
        <f t="shared" si="581"/>
        <v>x</v>
      </c>
      <c r="CI121" s="112" t="str">
        <f t="shared" si="582"/>
        <v>x</v>
      </c>
      <c r="CJ121" s="112" t="str">
        <f t="shared" si="583"/>
        <v>x</v>
      </c>
      <c r="CK121" s="112"/>
      <c r="CL121" s="112"/>
      <c r="CM121" s="112"/>
      <c r="CN121" s="112"/>
      <c r="CO121" s="112" t="str">
        <f t="shared" si="664"/>
        <v>x</v>
      </c>
      <c r="CP121" s="112"/>
      <c r="CQ121" s="112" t="str">
        <f t="shared" si="665"/>
        <v>x</v>
      </c>
      <c r="CR121" s="112" t="str">
        <f t="shared" si="584"/>
        <v>x</v>
      </c>
      <c r="CS121" s="112"/>
      <c r="CT121" s="112" t="str">
        <f t="shared" si="666"/>
        <v>x</v>
      </c>
      <c r="CU121" s="112"/>
      <c r="CV121" s="112"/>
      <c r="CW121" s="112"/>
      <c r="CX121" s="112" t="str">
        <f t="shared" si="585"/>
        <v>x</v>
      </c>
      <c r="CY121" s="112"/>
      <c r="CZ121" s="112"/>
      <c r="DA121" s="112"/>
      <c r="DB121" s="115" t="str">
        <f t="shared" si="667"/>
        <v>x</v>
      </c>
      <c r="DC121" s="112"/>
      <c r="DD121" s="112"/>
      <c r="DE121" s="112" t="str">
        <f t="shared" si="586"/>
        <v>x</v>
      </c>
      <c r="DF121" s="115" t="str">
        <f t="shared" si="587"/>
        <v>x</v>
      </c>
      <c r="DG121" s="112" t="str">
        <f t="shared" si="588"/>
        <v>x</v>
      </c>
      <c r="DH121" s="112" t="str">
        <f t="shared" si="589"/>
        <v>x</v>
      </c>
      <c r="DI121" s="112"/>
      <c r="DJ121" s="112"/>
      <c r="DK121" s="112"/>
      <c r="DL121" s="112"/>
      <c r="DM121" s="112"/>
      <c r="DN121" s="112"/>
      <c r="DO121" s="111"/>
      <c r="DP121" s="111"/>
      <c r="DQ121" s="112" t="str">
        <f t="shared" si="590"/>
        <v>x</v>
      </c>
      <c r="DR121" s="112" t="str">
        <f t="shared" si="668"/>
        <v>x</v>
      </c>
      <c r="DS121" s="112" t="str">
        <f t="shared" si="669"/>
        <v>x</v>
      </c>
      <c r="DT121" s="112"/>
      <c r="DU121" s="112" t="str">
        <f t="shared" si="591"/>
        <v>x</v>
      </c>
      <c r="DV121" s="111"/>
      <c r="DW121" s="112" t="str">
        <f t="shared" si="670"/>
        <v>x</v>
      </c>
      <c r="DX121" s="111"/>
      <c r="DY121" s="112" t="str">
        <f t="shared" si="592"/>
        <v>x</v>
      </c>
      <c r="DZ121" s="112" t="str">
        <f t="shared" si="593"/>
        <v>x</v>
      </c>
      <c r="EA121" s="112" t="str">
        <f t="shared" si="594"/>
        <v>x</v>
      </c>
      <c r="EB121" s="112" t="str">
        <f t="shared" si="595"/>
        <v>x</v>
      </c>
      <c r="EC121" s="111"/>
      <c r="ED121" s="111"/>
      <c r="EE121" s="111"/>
      <c r="EF121" s="111"/>
      <c r="EG121" s="111"/>
      <c r="EH121" s="111"/>
      <c r="EI121" s="112"/>
      <c r="EJ121" s="112" t="str">
        <f t="shared" si="596"/>
        <v>x</v>
      </c>
      <c r="EK121" s="111"/>
      <c r="EL121" s="112" t="str">
        <f t="shared" si="597"/>
        <v>x</v>
      </c>
      <c r="EM121" s="112" t="str">
        <f t="shared" si="598"/>
        <v>x</v>
      </c>
      <c r="EN121" s="112"/>
      <c r="EO121" s="117" t="str">
        <f t="shared" si="599"/>
        <v>x</v>
      </c>
      <c r="EP121" s="117" t="str">
        <f t="shared" si="600"/>
        <v>x</v>
      </c>
      <c r="EQ121" s="112" t="str">
        <f t="shared" si="601"/>
        <v>x</v>
      </c>
      <c r="ER121" s="111"/>
      <c r="ES121" s="111"/>
      <c r="ET121" s="112" t="str">
        <f t="shared" si="602"/>
        <v>x</v>
      </c>
      <c r="EU121" s="112" t="str">
        <f t="shared" si="603"/>
        <v>x</v>
      </c>
      <c r="EV121" s="112" t="str">
        <f t="shared" si="604"/>
        <v>x</v>
      </c>
      <c r="EW121" s="112" t="str">
        <f t="shared" si="605"/>
        <v>x</v>
      </c>
      <c r="EX121" s="111"/>
      <c r="EY121" s="112" t="str">
        <f t="shared" si="606"/>
        <v>x</v>
      </c>
      <c r="EZ121" s="112"/>
      <c r="FA121" s="112" t="str">
        <f t="shared" si="607"/>
        <v>x</v>
      </c>
      <c r="FB121" s="111"/>
      <c r="FC121" s="112" t="str">
        <f t="shared" si="608"/>
        <v>x</v>
      </c>
      <c r="FD121" s="112" t="str">
        <f t="shared" si="609"/>
        <v>x</v>
      </c>
      <c r="FE121" s="111"/>
      <c r="FF121" s="112" t="str">
        <f t="shared" si="610"/>
        <v>x</v>
      </c>
      <c r="FG121" s="111"/>
      <c r="FH121" s="111"/>
      <c r="FI121" s="112"/>
      <c r="FJ121" s="112" t="str">
        <f t="shared" si="611"/>
        <v>x</v>
      </c>
      <c r="FK121" s="112" t="str">
        <f t="shared" si="612"/>
        <v>x</v>
      </c>
      <c r="FL121" s="112"/>
      <c r="FM121" s="112" t="str">
        <f t="shared" si="613"/>
        <v>x</v>
      </c>
      <c r="FN121" s="112" t="str">
        <f t="shared" si="671"/>
        <v>x</v>
      </c>
      <c r="FO121" s="112" t="str">
        <f t="shared" si="614"/>
        <v>x</v>
      </c>
      <c r="FP121" s="112" t="str">
        <f t="shared" si="615"/>
        <v>x</v>
      </c>
      <c r="FQ121" s="112" t="str">
        <f t="shared" si="616"/>
        <v>x</v>
      </c>
      <c r="FR121" s="112" t="str">
        <f t="shared" si="617"/>
        <v>x</v>
      </c>
      <c r="FS121" s="112" t="str">
        <f t="shared" si="618"/>
        <v>x</v>
      </c>
      <c r="FT121" s="112" t="str">
        <f t="shared" si="619"/>
        <v>x</v>
      </c>
      <c r="FU121" s="112" t="str">
        <f t="shared" si="620"/>
        <v>x</v>
      </c>
      <c r="FV121" s="112" t="str">
        <f t="shared" si="621"/>
        <v>x</v>
      </c>
      <c r="FW121" s="111"/>
      <c r="FX121" s="112"/>
      <c r="FY121" s="112"/>
      <c r="FZ121" s="111"/>
      <c r="GA121" s="111"/>
      <c r="GB121" s="111"/>
      <c r="GC121" s="112" t="str">
        <f t="shared" si="622"/>
        <v>x</v>
      </c>
      <c r="GD121" s="111"/>
      <c r="GE121" s="111"/>
      <c r="GF121" s="111"/>
      <c r="GG121" s="112"/>
      <c r="GH121" s="111"/>
      <c r="GI121" s="111"/>
      <c r="GJ121" s="112" t="str">
        <f t="shared" si="623"/>
        <v>x</v>
      </c>
      <c r="GK121" s="111"/>
      <c r="GL121" s="112" t="str">
        <f t="shared" si="624"/>
        <v>x</v>
      </c>
      <c r="GM121" s="111"/>
      <c r="GN121" s="111"/>
      <c r="GO121" s="112" t="str">
        <f t="shared" si="625"/>
        <v>x</v>
      </c>
      <c r="GP121" s="112"/>
      <c r="GQ121" s="112" t="str">
        <f t="shared" si="626"/>
        <v>x</v>
      </c>
      <c r="GR121" s="112" t="str">
        <f t="shared" si="627"/>
        <v>x</v>
      </c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2" t="str">
        <f t="shared" si="628"/>
        <v>x</v>
      </c>
      <c r="HC121" s="112" t="str">
        <f t="shared" si="629"/>
        <v>x</v>
      </c>
      <c r="HD121" s="112" t="str">
        <f t="shared" si="630"/>
        <v>x</v>
      </c>
      <c r="HE121" s="112" t="str">
        <f t="shared" si="631"/>
        <v>x</v>
      </c>
      <c r="HF121" s="112" t="str">
        <f t="shared" si="632"/>
        <v>x</v>
      </c>
      <c r="HG121" s="112"/>
      <c r="HH121" s="112" t="str">
        <f t="shared" si="672"/>
        <v>x</v>
      </c>
      <c r="HI121" s="112"/>
      <c r="HJ121" s="112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2" t="str">
        <f t="shared" si="633"/>
        <v>x</v>
      </c>
      <c r="HY121" s="112" t="str">
        <f t="shared" si="634"/>
        <v>x</v>
      </c>
      <c r="HZ121" s="112" t="str">
        <f t="shared" si="635"/>
        <v>x</v>
      </c>
      <c r="IA121" s="111"/>
      <c r="IB121" s="111"/>
      <c r="IC121" s="111"/>
      <c r="ID121" s="111"/>
      <c r="IE121" s="111"/>
      <c r="IF121" s="111"/>
      <c r="IG121" s="111"/>
      <c r="IH121" s="112" t="str">
        <f t="shared" si="636"/>
        <v>x</v>
      </c>
      <c r="II121" s="111"/>
      <c r="IJ121" s="112" t="str">
        <f t="shared" si="637"/>
        <v>x</v>
      </c>
      <c r="IK121" s="112" t="str">
        <f t="shared" si="638"/>
        <v>x</v>
      </c>
      <c r="IL121" s="112" t="str">
        <f t="shared" si="639"/>
        <v>x</v>
      </c>
      <c r="IM121" s="112" t="str">
        <f t="shared" si="640"/>
        <v>x</v>
      </c>
      <c r="IN121" s="112"/>
      <c r="IO121" s="112"/>
      <c r="IP121" s="112" t="str">
        <f t="shared" si="641"/>
        <v>x</v>
      </c>
      <c r="IQ121" s="112"/>
      <c r="IR121" s="111"/>
      <c r="IS121" s="111"/>
      <c r="IT121" s="111"/>
      <c r="IU121" s="112" t="str">
        <f t="shared" si="642"/>
        <v>x</v>
      </c>
      <c r="IV121" s="112"/>
      <c r="IW121" s="112" t="str">
        <f t="shared" si="643"/>
        <v>x</v>
      </c>
      <c r="IX121" s="112" t="str">
        <f t="shared" si="644"/>
        <v>x</v>
      </c>
      <c r="IY121" s="111"/>
      <c r="IZ121" s="112" t="str">
        <f t="shared" si="645"/>
        <v>x</v>
      </c>
      <c r="JA121" s="111"/>
      <c r="JB121" s="112" t="str">
        <f t="shared" si="646"/>
        <v>x</v>
      </c>
      <c r="JC121" s="111"/>
      <c r="JD121" s="112"/>
      <c r="JE121" s="112"/>
      <c r="JF121" s="112"/>
      <c r="JG121" s="112"/>
      <c r="JH121" s="111"/>
      <c r="JI121" s="112" t="str">
        <f t="shared" si="673"/>
        <v>x</v>
      </c>
      <c r="JJ121" s="112" t="str">
        <f t="shared" si="674"/>
        <v>x</v>
      </c>
      <c r="JK121" s="112" t="str">
        <f t="shared" si="675"/>
        <v>x</v>
      </c>
      <c r="JL121" s="112" t="str">
        <f t="shared" si="647"/>
        <v>x</v>
      </c>
      <c r="JM121" s="112"/>
      <c r="JN121" s="112"/>
      <c r="JO121" s="112"/>
      <c r="JP121" s="112"/>
      <c r="JQ121" s="112" t="str">
        <f t="shared" si="648"/>
        <v>x</v>
      </c>
      <c r="JR121" s="112"/>
      <c r="JS121" s="112" t="str">
        <f t="shared" si="649"/>
        <v>x</v>
      </c>
      <c r="JT121" s="111"/>
      <c r="JU121" s="111"/>
      <c r="JV121" s="112"/>
      <c r="JW121" s="112"/>
      <c r="JX121" s="112"/>
      <c r="JY121" s="112"/>
      <c r="JZ121" s="112"/>
      <c r="KA121" s="112" t="str">
        <f t="shared" si="650"/>
        <v>x</v>
      </c>
      <c r="KB121" s="111"/>
      <c r="KC121" s="112" t="str">
        <f t="shared" si="651"/>
        <v>x</v>
      </c>
      <c r="KD121" s="112" t="str">
        <f t="shared" si="652"/>
        <v>x</v>
      </c>
      <c r="KE121" s="112" t="str">
        <f t="shared" si="653"/>
        <v>x</v>
      </c>
      <c r="KF121" s="112"/>
      <c r="KG121" s="112"/>
      <c r="KH121" s="112"/>
      <c r="KI121" s="112"/>
      <c r="KJ121" s="112"/>
      <c r="KK121" s="112"/>
      <c r="KL121" s="112"/>
      <c r="KM121" s="112"/>
      <c r="KN121" s="112"/>
      <c r="KO121" s="112"/>
      <c r="KP121" s="112"/>
      <c r="KQ121" s="112"/>
      <c r="KR121" s="112"/>
      <c r="KS121" s="112"/>
      <c r="KT121" s="112"/>
      <c r="KU121" s="112"/>
      <c r="KV121" s="112"/>
      <c r="KW121" s="112"/>
      <c r="KX121" s="112"/>
      <c r="KY121" s="112"/>
      <c r="KZ121" s="112"/>
      <c r="LA121" s="112"/>
      <c r="LB121" s="111"/>
      <c r="LC121" s="112"/>
      <c r="LD121" s="112"/>
      <c r="LE121" s="112"/>
      <c r="LF121" s="112"/>
      <c r="LG121" s="112"/>
      <c r="LH121" s="112"/>
      <c r="LI121" s="112"/>
      <c r="LJ121" s="112"/>
      <c r="LK121" s="112"/>
      <c r="LL121" s="111"/>
      <c r="LM121" s="111"/>
      <c r="LN121" s="111"/>
      <c r="LO121" s="111"/>
      <c r="LP121" s="112"/>
      <c r="LQ121" s="111"/>
      <c r="LR121" s="112"/>
      <c r="LS121" s="112"/>
      <c r="LT121" s="111"/>
      <c r="LU121" s="111"/>
      <c r="LV121" s="111"/>
      <c r="LW121" s="111"/>
      <c r="LX121" s="111"/>
      <c r="LY121" s="111"/>
      <c r="LZ121" s="111"/>
      <c r="MA121" s="112"/>
      <c r="MB121" s="111"/>
      <c r="MC121" s="112" t="str">
        <f t="shared" si="654"/>
        <v>x</v>
      </c>
      <c r="MD121" s="111"/>
      <c r="ME121" s="112" t="str">
        <f t="shared" si="655"/>
        <v>x</v>
      </c>
      <c r="MF121" s="112" t="str">
        <f t="shared" si="656"/>
        <v>x</v>
      </c>
      <c r="MG121" s="112" t="str">
        <f t="shared" si="676"/>
        <v>x</v>
      </c>
      <c r="MH121" s="112" t="str">
        <f t="shared" si="657"/>
        <v>x</v>
      </c>
    </row>
    <row r="122" spans="1:346" x14ac:dyDescent="0.25">
      <c r="A122" s="110" t="s">
        <v>5</v>
      </c>
      <c r="B122" s="101" t="s">
        <v>62</v>
      </c>
      <c r="C122" s="102"/>
      <c r="D122" s="102"/>
      <c r="E122" s="102"/>
      <c r="F122" s="102"/>
      <c r="G122" s="102"/>
      <c r="H122" s="102"/>
      <c r="I122" s="102"/>
      <c r="J122" s="103"/>
      <c r="K122" s="111"/>
      <c r="L122" s="111"/>
      <c r="M122" s="111"/>
      <c r="N122" s="111"/>
      <c r="O122" s="112" t="str">
        <f t="shared" si="658"/>
        <v>x</v>
      </c>
      <c r="P122" s="111"/>
      <c r="Q122" s="111"/>
      <c r="R122" s="111"/>
      <c r="S122" s="111"/>
      <c r="T122" s="112" t="str">
        <f t="shared" si="560"/>
        <v>x</v>
      </c>
      <c r="U122" s="112"/>
      <c r="V122" s="112"/>
      <c r="W122" s="111"/>
      <c r="X122" s="112"/>
      <c r="Y122" s="112"/>
      <c r="Z122" s="112"/>
      <c r="AA122" s="112"/>
      <c r="AB122" s="112"/>
      <c r="AC122" s="112" t="str">
        <f t="shared" si="561"/>
        <v>x</v>
      </c>
      <c r="AD122" s="112"/>
      <c r="AE122" s="112" t="str">
        <f t="shared" si="659"/>
        <v>x</v>
      </c>
      <c r="AF122" s="112" t="str">
        <f t="shared" si="562"/>
        <v>x</v>
      </c>
      <c r="AG122" s="112" t="str">
        <f t="shared" si="563"/>
        <v>x</v>
      </c>
      <c r="AH122" s="111"/>
      <c r="AI122" s="111"/>
      <c r="AJ122" s="112" t="str">
        <f t="shared" si="564"/>
        <v>x</v>
      </c>
      <c r="AK122" s="112" t="str">
        <f t="shared" si="565"/>
        <v>x</v>
      </c>
      <c r="AL122" s="112"/>
      <c r="AM122" s="112" t="str">
        <f t="shared" si="660"/>
        <v>x</v>
      </c>
      <c r="AN122" s="112"/>
      <c r="AO122" s="112"/>
      <c r="AP122" s="112"/>
      <c r="AQ122" s="112"/>
      <c r="AR122" s="112"/>
      <c r="AS122" s="112"/>
      <c r="AT122" s="112"/>
      <c r="AU122" s="114" t="str">
        <f t="shared" si="566"/>
        <v>x</v>
      </c>
      <c r="AV122" s="114" t="str">
        <f t="shared" si="567"/>
        <v>x</v>
      </c>
      <c r="AW122" s="114" t="str">
        <f t="shared" si="568"/>
        <v>x</v>
      </c>
      <c r="AX122" s="111"/>
      <c r="AY122" s="111"/>
      <c r="AZ122" s="112" t="str">
        <f t="shared" si="569"/>
        <v>x</v>
      </c>
      <c r="BA122" s="112" t="str">
        <f t="shared" si="570"/>
        <v>x</v>
      </c>
      <c r="BB122" s="111"/>
      <c r="BC122" s="111"/>
      <c r="BD122" s="111"/>
      <c r="BE122" s="112" t="str">
        <f t="shared" si="571"/>
        <v>x</v>
      </c>
      <c r="BF122" s="111"/>
      <c r="BG122" s="112" t="str">
        <f t="shared" si="572"/>
        <v>x</v>
      </c>
      <c r="BH122" s="112" t="str">
        <f t="shared" si="661"/>
        <v>x</v>
      </c>
      <c r="BI122" s="112" t="str">
        <f t="shared" si="573"/>
        <v>x</v>
      </c>
      <c r="BJ122" s="111"/>
      <c r="BK122" s="112" t="str">
        <f t="shared" si="574"/>
        <v>x</v>
      </c>
      <c r="BL122" s="111"/>
      <c r="BM122" s="111"/>
      <c r="BN122" s="111"/>
      <c r="BO122" s="111"/>
      <c r="BP122" s="111"/>
      <c r="BQ122" s="111"/>
      <c r="BR122" s="112" t="str">
        <f t="shared" si="575"/>
        <v>x</v>
      </c>
      <c r="BS122" s="112"/>
      <c r="BT122" s="111"/>
      <c r="BU122" s="112" t="str">
        <f t="shared" si="576"/>
        <v>x</v>
      </c>
      <c r="BV122" s="112" t="str">
        <f t="shared" si="577"/>
        <v>x</v>
      </c>
      <c r="BW122" s="112"/>
      <c r="BX122" s="112"/>
      <c r="BY122" s="112" t="str">
        <f t="shared" si="662"/>
        <v>x</v>
      </c>
      <c r="BZ122" s="112" t="str">
        <f t="shared" si="578"/>
        <v>x</v>
      </c>
      <c r="CA122" s="112" t="str">
        <f t="shared" si="579"/>
        <v>x</v>
      </c>
      <c r="CB122" s="112" t="str">
        <f t="shared" si="580"/>
        <v>x</v>
      </c>
      <c r="CC122" s="112"/>
      <c r="CD122" s="112"/>
      <c r="CE122" s="111"/>
      <c r="CF122" s="111"/>
      <c r="CG122" s="112" t="str">
        <f t="shared" si="663"/>
        <v>x</v>
      </c>
      <c r="CH122" s="112" t="str">
        <f t="shared" si="581"/>
        <v>x</v>
      </c>
      <c r="CI122" s="112" t="str">
        <f t="shared" si="582"/>
        <v>x</v>
      </c>
      <c r="CJ122" s="112" t="str">
        <f t="shared" si="583"/>
        <v>x</v>
      </c>
      <c r="CK122" s="112"/>
      <c r="CL122" s="112"/>
      <c r="CM122" s="112"/>
      <c r="CN122" s="112"/>
      <c r="CO122" s="112" t="str">
        <f t="shared" si="664"/>
        <v>x</v>
      </c>
      <c r="CP122" s="112"/>
      <c r="CQ122" s="112" t="str">
        <f t="shared" si="665"/>
        <v>x</v>
      </c>
      <c r="CR122" s="112" t="str">
        <f t="shared" si="584"/>
        <v>x</v>
      </c>
      <c r="CS122" s="112"/>
      <c r="CT122" s="112" t="str">
        <f t="shared" si="666"/>
        <v>x</v>
      </c>
      <c r="CU122" s="112"/>
      <c r="CV122" s="112"/>
      <c r="CW122" s="112"/>
      <c r="CX122" s="112" t="str">
        <f t="shared" si="585"/>
        <v>x</v>
      </c>
      <c r="CY122" s="112"/>
      <c r="CZ122" s="112"/>
      <c r="DA122" s="112"/>
      <c r="DB122" s="115" t="str">
        <f t="shared" si="667"/>
        <v>x</v>
      </c>
      <c r="DC122" s="112"/>
      <c r="DD122" s="112"/>
      <c r="DE122" s="112" t="str">
        <f t="shared" si="586"/>
        <v>x</v>
      </c>
      <c r="DF122" s="115" t="str">
        <f t="shared" si="587"/>
        <v>x</v>
      </c>
      <c r="DG122" s="112" t="str">
        <f t="shared" si="588"/>
        <v>x</v>
      </c>
      <c r="DH122" s="112" t="str">
        <f t="shared" si="589"/>
        <v>x</v>
      </c>
      <c r="DI122" s="112"/>
      <c r="DJ122" s="112"/>
      <c r="DK122" s="112"/>
      <c r="DL122" s="112"/>
      <c r="DM122" s="112"/>
      <c r="DN122" s="112"/>
      <c r="DO122" s="111"/>
      <c r="DP122" s="111"/>
      <c r="DQ122" s="112" t="str">
        <f t="shared" si="590"/>
        <v>x</v>
      </c>
      <c r="DR122" s="112" t="str">
        <f t="shared" si="668"/>
        <v>x</v>
      </c>
      <c r="DS122" s="112" t="str">
        <f t="shared" si="669"/>
        <v>x</v>
      </c>
      <c r="DT122" s="112"/>
      <c r="DU122" s="112" t="str">
        <f t="shared" si="591"/>
        <v>x</v>
      </c>
      <c r="DV122" s="111"/>
      <c r="DW122" s="112" t="str">
        <f t="shared" si="670"/>
        <v>x</v>
      </c>
      <c r="DX122" s="111"/>
      <c r="DY122" s="112" t="str">
        <f t="shared" si="592"/>
        <v>x</v>
      </c>
      <c r="DZ122" s="112" t="str">
        <f t="shared" si="593"/>
        <v>x</v>
      </c>
      <c r="EA122" s="112" t="str">
        <f t="shared" si="594"/>
        <v>x</v>
      </c>
      <c r="EB122" s="112" t="str">
        <f t="shared" si="595"/>
        <v>x</v>
      </c>
      <c r="EC122" s="111"/>
      <c r="ED122" s="111"/>
      <c r="EE122" s="111"/>
      <c r="EF122" s="111"/>
      <c r="EG122" s="111"/>
      <c r="EH122" s="111"/>
      <c r="EI122" s="112"/>
      <c r="EJ122" s="112" t="str">
        <f t="shared" si="596"/>
        <v>x</v>
      </c>
      <c r="EK122" s="111"/>
      <c r="EL122" s="112" t="str">
        <f t="shared" si="597"/>
        <v>x</v>
      </c>
      <c r="EM122" s="112" t="str">
        <f t="shared" si="598"/>
        <v>x</v>
      </c>
      <c r="EN122" s="112"/>
      <c r="EO122" s="117" t="str">
        <f t="shared" si="599"/>
        <v>x</v>
      </c>
      <c r="EP122" s="117" t="str">
        <f t="shared" si="600"/>
        <v>x</v>
      </c>
      <c r="EQ122" s="112" t="str">
        <f t="shared" si="601"/>
        <v>x</v>
      </c>
      <c r="ER122" s="111"/>
      <c r="ES122" s="111"/>
      <c r="ET122" s="112" t="str">
        <f t="shared" si="602"/>
        <v>x</v>
      </c>
      <c r="EU122" s="112" t="str">
        <f t="shared" si="603"/>
        <v>x</v>
      </c>
      <c r="EV122" s="112" t="str">
        <f t="shared" si="604"/>
        <v>x</v>
      </c>
      <c r="EW122" s="112" t="str">
        <f t="shared" si="605"/>
        <v>x</v>
      </c>
      <c r="EX122" s="111"/>
      <c r="EY122" s="112" t="str">
        <f t="shared" si="606"/>
        <v>x</v>
      </c>
      <c r="EZ122" s="112"/>
      <c r="FA122" s="112" t="str">
        <f t="shared" si="607"/>
        <v>x</v>
      </c>
      <c r="FB122" s="111"/>
      <c r="FC122" s="112" t="str">
        <f t="shared" si="608"/>
        <v>x</v>
      </c>
      <c r="FD122" s="112" t="str">
        <f t="shared" si="609"/>
        <v>x</v>
      </c>
      <c r="FE122" s="111"/>
      <c r="FF122" s="112" t="str">
        <f t="shared" si="610"/>
        <v>x</v>
      </c>
      <c r="FG122" s="111"/>
      <c r="FH122" s="111"/>
      <c r="FI122" s="112"/>
      <c r="FJ122" s="112" t="str">
        <f t="shared" si="611"/>
        <v>x</v>
      </c>
      <c r="FK122" s="112" t="str">
        <f t="shared" si="612"/>
        <v>x</v>
      </c>
      <c r="FL122" s="112"/>
      <c r="FM122" s="112" t="str">
        <f t="shared" si="613"/>
        <v>x</v>
      </c>
      <c r="FN122" s="112" t="str">
        <f t="shared" si="671"/>
        <v>x</v>
      </c>
      <c r="FO122" s="112" t="str">
        <f t="shared" si="614"/>
        <v>x</v>
      </c>
      <c r="FP122" s="112" t="str">
        <f t="shared" si="615"/>
        <v>x</v>
      </c>
      <c r="FQ122" s="112" t="str">
        <f t="shared" si="616"/>
        <v>x</v>
      </c>
      <c r="FR122" s="112" t="str">
        <f t="shared" si="617"/>
        <v>x</v>
      </c>
      <c r="FS122" s="112" t="str">
        <f t="shared" si="618"/>
        <v>x</v>
      </c>
      <c r="FT122" s="112" t="str">
        <f t="shared" si="619"/>
        <v>x</v>
      </c>
      <c r="FU122" s="112" t="str">
        <f t="shared" si="620"/>
        <v>x</v>
      </c>
      <c r="FV122" s="112" t="str">
        <f t="shared" si="621"/>
        <v>x</v>
      </c>
      <c r="FW122" s="111"/>
      <c r="FX122" s="112"/>
      <c r="FY122" s="112"/>
      <c r="FZ122" s="111"/>
      <c r="GA122" s="111"/>
      <c r="GB122" s="111"/>
      <c r="GC122" s="112" t="str">
        <f t="shared" si="622"/>
        <v>x</v>
      </c>
      <c r="GD122" s="111"/>
      <c r="GE122" s="111"/>
      <c r="GF122" s="111"/>
      <c r="GG122" s="112"/>
      <c r="GH122" s="111"/>
      <c r="GI122" s="111"/>
      <c r="GJ122" s="112" t="str">
        <f t="shared" si="623"/>
        <v>x</v>
      </c>
      <c r="GK122" s="111"/>
      <c r="GL122" s="112" t="str">
        <f t="shared" si="624"/>
        <v>x</v>
      </c>
      <c r="GM122" s="111"/>
      <c r="GN122" s="111"/>
      <c r="GO122" s="112" t="str">
        <f t="shared" si="625"/>
        <v>x</v>
      </c>
      <c r="GP122" s="112"/>
      <c r="GQ122" s="112" t="str">
        <f t="shared" si="626"/>
        <v>x</v>
      </c>
      <c r="GR122" s="112" t="str">
        <f t="shared" si="627"/>
        <v>x</v>
      </c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2" t="str">
        <f t="shared" si="628"/>
        <v>x</v>
      </c>
      <c r="HC122" s="112" t="str">
        <f t="shared" si="629"/>
        <v>x</v>
      </c>
      <c r="HD122" s="112" t="str">
        <f t="shared" si="630"/>
        <v>x</v>
      </c>
      <c r="HE122" s="112" t="str">
        <f t="shared" si="631"/>
        <v>x</v>
      </c>
      <c r="HF122" s="112" t="str">
        <f t="shared" si="632"/>
        <v>x</v>
      </c>
      <c r="HG122" s="112"/>
      <c r="HH122" s="112" t="str">
        <f t="shared" si="672"/>
        <v>x</v>
      </c>
      <c r="HI122" s="112"/>
      <c r="HJ122" s="112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2" t="str">
        <f t="shared" si="633"/>
        <v>x</v>
      </c>
      <c r="HY122" s="112" t="str">
        <f t="shared" si="634"/>
        <v>x</v>
      </c>
      <c r="HZ122" s="112" t="str">
        <f t="shared" si="635"/>
        <v>x</v>
      </c>
      <c r="IA122" s="111"/>
      <c r="IB122" s="111"/>
      <c r="IC122" s="111"/>
      <c r="ID122" s="111"/>
      <c r="IE122" s="111"/>
      <c r="IF122" s="111"/>
      <c r="IG122" s="111"/>
      <c r="IH122" s="112" t="str">
        <f t="shared" si="636"/>
        <v>x</v>
      </c>
      <c r="II122" s="111"/>
      <c r="IJ122" s="112" t="str">
        <f t="shared" si="637"/>
        <v>x</v>
      </c>
      <c r="IK122" s="112" t="str">
        <f t="shared" si="638"/>
        <v>x</v>
      </c>
      <c r="IL122" s="112" t="str">
        <f t="shared" si="639"/>
        <v>x</v>
      </c>
      <c r="IM122" s="112" t="str">
        <f t="shared" si="640"/>
        <v>x</v>
      </c>
      <c r="IN122" s="112"/>
      <c r="IO122" s="112"/>
      <c r="IP122" s="112" t="str">
        <f t="shared" si="641"/>
        <v>x</v>
      </c>
      <c r="IQ122" s="112"/>
      <c r="IR122" s="111"/>
      <c r="IS122" s="111"/>
      <c r="IT122" s="111"/>
      <c r="IU122" s="112" t="str">
        <f t="shared" si="642"/>
        <v>x</v>
      </c>
      <c r="IV122" s="112"/>
      <c r="IW122" s="112" t="str">
        <f t="shared" si="643"/>
        <v>x</v>
      </c>
      <c r="IX122" s="112" t="str">
        <f t="shared" si="644"/>
        <v>x</v>
      </c>
      <c r="IY122" s="111"/>
      <c r="IZ122" s="112" t="str">
        <f t="shared" si="645"/>
        <v>x</v>
      </c>
      <c r="JA122" s="111"/>
      <c r="JB122" s="112" t="str">
        <f t="shared" si="646"/>
        <v>x</v>
      </c>
      <c r="JC122" s="111"/>
      <c r="JD122" s="112"/>
      <c r="JE122" s="112"/>
      <c r="JF122" s="112"/>
      <c r="JG122" s="112"/>
      <c r="JH122" s="111"/>
      <c r="JI122" s="112" t="str">
        <f t="shared" si="673"/>
        <v>x</v>
      </c>
      <c r="JJ122" s="112" t="str">
        <f t="shared" si="674"/>
        <v>x</v>
      </c>
      <c r="JK122" s="112" t="str">
        <f t="shared" si="675"/>
        <v>x</v>
      </c>
      <c r="JL122" s="112" t="str">
        <f t="shared" si="647"/>
        <v>x</v>
      </c>
      <c r="JM122" s="112"/>
      <c r="JN122" s="112"/>
      <c r="JO122" s="112"/>
      <c r="JP122" s="112"/>
      <c r="JQ122" s="112" t="str">
        <f t="shared" si="648"/>
        <v>x</v>
      </c>
      <c r="JR122" s="112"/>
      <c r="JS122" s="112" t="str">
        <f t="shared" si="649"/>
        <v>x</v>
      </c>
      <c r="JT122" s="111"/>
      <c r="JU122" s="111"/>
      <c r="JV122" s="112"/>
      <c r="JW122" s="112"/>
      <c r="JX122" s="112"/>
      <c r="JY122" s="112"/>
      <c r="JZ122" s="112"/>
      <c r="KA122" s="112" t="str">
        <f t="shared" si="650"/>
        <v>x</v>
      </c>
      <c r="KB122" s="111"/>
      <c r="KC122" s="112" t="str">
        <f t="shared" si="651"/>
        <v>x</v>
      </c>
      <c r="KD122" s="112" t="str">
        <f t="shared" si="652"/>
        <v>x</v>
      </c>
      <c r="KE122" s="112" t="str">
        <f t="shared" si="653"/>
        <v>x</v>
      </c>
      <c r="KF122" s="112"/>
      <c r="KG122" s="112"/>
      <c r="KH122" s="112"/>
      <c r="KI122" s="112"/>
      <c r="KJ122" s="112"/>
      <c r="KK122" s="112"/>
      <c r="KL122" s="112"/>
      <c r="KM122" s="112"/>
      <c r="KN122" s="112"/>
      <c r="KO122" s="112"/>
      <c r="KP122" s="112"/>
      <c r="KQ122" s="112"/>
      <c r="KR122" s="112"/>
      <c r="KS122" s="112"/>
      <c r="KT122" s="112"/>
      <c r="KU122" s="112"/>
      <c r="KV122" s="112"/>
      <c r="KW122" s="112"/>
      <c r="KX122" s="112"/>
      <c r="KY122" s="112"/>
      <c r="KZ122" s="112"/>
      <c r="LA122" s="112"/>
      <c r="LB122" s="111"/>
      <c r="LC122" s="112"/>
      <c r="LD122" s="112"/>
      <c r="LE122" s="112"/>
      <c r="LF122" s="112"/>
      <c r="LG122" s="112"/>
      <c r="LH122" s="112"/>
      <c r="LI122" s="112"/>
      <c r="LJ122" s="112"/>
      <c r="LK122" s="112"/>
      <c r="LL122" s="111"/>
      <c r="LM122" s="111"/>
      <c r="LN122" s="111"/>
      <c r="LO122" s="111"/>
      <c r="LP122" s="112"/>
      <c r="LQ122" s="111"/>
      <c r="LR122" s="112"/>
      <c r="LS122" s="112"/>
      <c r="LT122" s="111"/>
      <c r="LU122" s="111"/>
      <c r="LV122" s="111"/>
      <c r="LW122" s="111"/>
      <c r="LX122" s="111"/>
      <c r="LY122" s="111"/>
      <c r="LZ122" s="111"/>
      <c r="MA122" s="112"/>
      <c r="MB122" s="111"/>
      <c r="MC122" s="112" t="str">
        <f t="shared" si="654"/>
        <v>x</v>
      </c>
      <c r="MD122" s="111"/>
      <c r="ME122" s="112" t="str">
        <f t="shared" si="655"/>
        <v>x</v>
      </c>
      <c r="MF122" s="112" t="str">
        <f t="shared" si="656"/>
        <v>x</v>
      </c>
      <c r="MG122" s="112" t="str">
        <f t="shared" si="676"/>
        <v>x</v>
      </c>
      <c r="MH122" s="112" t="str">
        <f t="shared" si="657"/>
        <v>x</v>
      </c>
    </row>
    <row r="123" spans="1:346" x14ac:dyDescent="0.25">
      <c r="A123" s="110" t="s">
        <v>5</v>
      </c>
      <c r="B123" s="101" t="s">
        <v>390</v>
      </c>
      <c r="C123" s="102"/>
      <c r="D123" s="102"/>
      <c r="E123" s="102"/>
      <c r="F123" s="102"/>
      <c r="G123" s="102"/>
      <c r="H123" s="102"/>
      <c r="I123" s="102"/>
      <c r="J123" s="103"/>
      <c r="K123" s="111"/>
      <c r="L123" s="111"/>
      <c r="M123" s="111"/>
      <c r="N123" s="111"/>
      <c r="O123" s="112" t="str">
        <f t="shared" si="658"/>
        <v>x</v>
      </c>
      <c r="P123" s="111"/>
      <c r="Q123" s="111"/>
      <c r="R123" s="111"/>
      <c r="S123" s="111"/>
      <c r="T123" s="112" t="str">
        <f t="shared" si="560"/>
        <v>x</v>
      </c>
      <c r="U123" s="112"/>
      <c r="V123" s="112"/>
      <c r="W123" s="111"/>
      <c r="X123" s="112"/>
      <c r="Y123" s="112"/>
      <c r="Z123" s="112"/>
      <c r="AA123" s="112"/>
      <c r="AB123" s="112"/>
      <c r="AC123" s="112" t="str">
        <f t="shared" si="561"/>
        <v>x</v>
      </c>
      <c r="AD123" s="112"/>
      <c r="AE123" s="112" t="str">
        <f t="shared" si="659"/>
        <v>x</v>
      </c>
      <c r="AF123" s="112" t="str">
        <f t="shared" si="562"/>
        <v>x</v>
      </c>
      <c r="AG123" s="112" t="str">
        <f t="shared" si="563"/>
        <v>x</v>
      </c>
      <c r="AH123" s="111"/>
      <c r="AI123" s="111"/>
      <c r="AJ123" s="112" t="str">
        <f t="shared" si="564"/>
        <v>x</v>
      </c>
      <c r="AK123" s="112" t="str">
        <f t="shared" si="565"/>
        <v>x</v>
      </c>
      <c r="AL123" s="112"/>
      <c r="AM123" s="112" t="str">
        <f t="shared" si="660"/>
        <v>x</v>
      </c>
      <c r="AN123" s="112"/>
      <c r="AO123" s="112"/>
      <c r="AP123" s="112"/>
      <c r="AQ123" s="112"/>
      <c r="AR123" s="112"/>
      <c r="AS123" s="112"/>
      <c r="AT123" s="112"/>
      <c r="AU123" s="114" t="str">
        <f t="shared" si="566"/>
        <v>x</v>
      </c>
      <c r="AV123" s="114" t="str">
        <f t="shared" si="567"/>
        <v>x</v>
      </c>
      <c r="AW123" s="114" t="str">
        <f t="shared" si="568"/>
        <v>x</v>
      </c>
      <c r="AX123" s="111"/>
      <c r="AY123" s="111"/>
      <c r="AZ123" s="112" t="str">
        <f t="shared" si="569"/>
        <v>x</v>
      </c>
      <c r="BA123" s="112" t="str">
        <f t="shared" si="570"/>
        <v>x</v>
      </c>
      <c r="BB123" s="111"/>
      <c r="BC123" s="111"/>
      <c r="BD123" s="111"/>
      <c r="BE123" s="112" t="str">
        <f t="shared" si="571"/>
        <v>x</v>
      </c>
      <c r="BF123" s="111"/>
      <c r="BG123" s="112" t="str">
        <f t="shared" si="572"/>
        <v>x</v>
      </c>
      <c r="BH123" s="112" t="str">
        <f t="shared" si="661"/>
        <v>x</v>
      </c>
      <c r="BI123" s="112" t="str">
        <f t="shared" si="573"/>
        <v>x</v>
      </c>
      <c r="BJ123" s="111"/>
      <c r="BK123" s="112" t="str">
        <f t="shared" si="574"/>
        <v>x</v>
      </c>
      <c r="BL123" s="111"/>
      <c r="BM123" s="111"/>
      <c r="BN123" s="111"/>
      <c r="BO123" s="111"/>
      <c r="BP123" s="111"/>
      <c r="BQ123" s="111"/>
      <c r="BR123" s="112" t="str">
        <f t="shared" si="575"/>
        <v>x</v>
      </c>
      <c r="BS123" s="112"/>
      <c r="BT123" s="111"/>
      <c r="BU123" s="112" t="str">
        <f t="shared" si="576"/>
        <v>x</v>
      </c>
      <c r="BV123" s="112" t="str">
        <f t="shared" si="577"/>
        <v>x</v>
      </c>
      <c r="BW123" s="112"/>
      <c r="BX123" s="112"/>
      <c r="BY123" s="112" t="str">
        <f t="shared" si="662"/>
        <v>x</v>
      </c>
      <c r="BZ123" s="112" t="str">
        <f t="shared" si="578"/>
        <v>x</v>
      </c>
      <c r="CA123" s="112" t="str">
        <f t="shared" si="579"/>
        <v>x</v>
      </c>
      <c r="CB123" s="112" t="str">
        <f t="shared" si="580"/>
        <v>x</v>
      </c>
      <c r="CC123" s="112"/>
      <c r="CD123" s="112"/>
      <c r="CE123" s="111"/>
      <c r="CF123" s="111"/>
      <c r="CG123" s="112" t="str">
        <f t="shared" si="663"/>
        <v>x</v>
      </c>
      <c r="CH123" s="112" t="str">
        <f t="shared" si="581"/>
        <v>x</v>
      </c>
      <c r="CI123" s="112" t="str">
        <f t="shared" si="582"/>
        <v>x</v>
      </c>
      <c r="CJ123" s="112" t="str">
        <f t="shared" si="583"/>
        <v>x</v>
      </c>
      <c r="CK123" s="112"/>
      <c r="CL123" s="112"/>
      <c r="CM123" s="112"/>
      <c r="CN123" s="112"/>
      <c r="CO123" s="112" t="str">
        <f t="shared" si="664"/>
        <v>x</v>
      </c>
      <c r="CP123" s="112"/>
      <c r="CQ123" s="112" t="str">
        <f t="shared" si="665"/>
        <v>x</v>
      </c>
      <c r="CR123" s="112" t="str">
        <f t="shared" si="584"/>
        <v>x</v>
      </c>
      <c r="CS123" s="112"/>
      <c r="CT123" s="112" t="str">
        <f t="shared" si="666"/>
        <v>x</v>
      </c>
      <c r="CU123" s="112"/>
      <c r="CV123" s="112"/>
      <c r="CW123" s="112"/>
      <c r="CX123" s="112" t="str">
        <f t="shared" si="585"/>
        <v>x</v>
      </c>
      <c r="CY123" s="112"/>
      <c r="CZ123" s="112"/>
      <c r="DA123" s="112"/>
      <c r="DB123" s="115" t="str">
        <f t="shared" si="667"/>
        <v>x</v>
      </c>
      <c r="DC123" s="112"/>
      <c r="DD123" s="112"/>
      <c r="DE123" s="112" t="str">
        <f t="shared" si="586"/>
        <v>x</v>
      </c>
      <c r="DF123" s="115" t="str">
        <f t="shared" si="587"/>
        <v>x</v>
      </c>
      <c r="DG123" s="112" t="str">
        <f t="shared" si="588"/>
        <v>x</v>
      </c>
      <c r="DH123" s="112" t="str">
        <f t="shared" si="589"/>
        <v>x</v>
      </c>
      <c r="DI123" s="112"/>
      <c r="DJ123" s="112"/>
      <c r="DK123" s="112"/>
      <c r="DL123" s="112"/>
      <c r="DM123" s="112"/>
      <c r="DN123" s="112"/>
      <c r="DO123" s="111"/>
      <c r="DP123" s="111"/>
      <c r="DQ123" s="112" t="str">
        <f t="shared" si="590"/>
        <v>x</v>
      </c>
      <c r="DR123" s="112" t="str">
        <f t="shared" si="668"/>
        <v>x</v>
      </c>
      <c r="DS123" s="112" t="str">
        <f t="shared" si="669"/>
        <v>x</v>
      </c>
      <c r="DT123" s="112"/>
      <c r="DU123" s="112" t="str">
        <f t="shared" si="591"/>
        <v>x</v>
      </c>
      <c r="DV123" s="111"/>
      <c r="DW123" s="112" t="str">
        <f t="shared" si="670"/>
        <v>x</v>
      </c>
      <c r="DX123" s="111"/>
      <c r="DY123" s="112" t="str">
        <f t="shared" si="592"/>
        <v>x</v>
      </c>
      <c r="DZ123" s="112" t="str">
        <f t="shared" si="593"/>
        <v>x</v>
      </c>
      <c r="EA123" s="112" t="str">
        <f t="shared" si="594"/>
        <v>x</v>
      </c>
      <c r="EB123" s="112" t="str">
        <f t="shared" si="595"/>
        <v>x</v>
      </c>
      <c r="EC123" s="111"/>
      <c r="ED123" s="111"/>
      <c r="EE123" s="111"/>
      <c r="EF123" s="111"/>
      <c r="EG123" s="111"/>
      <c r="EH123" s="111"/>
      <c r="EI123" s="112"/>
      <c r="EJ123" s="112" t="str">
        <f t="shared" si="596"/>
        <v>x</v>
      </c>
      <c r="EK123" s="111"/>
      <c r="EL123" s="112" t="str">
        <f t="shared" si="597"/>
        <v>x</v>
      </c>
      <c r="EM123" s="112" t="str">
        <f t="shared" si="598"/>
        <v>x</v>
      </c>
      <c r="EN123" s="112"/>
      <c r="EO123" s="117" t="str">
        <f t="shared" si="599"/>
        <v>x</v>
      </c>
      <c r="EP123" s="117" t="str">
        <f t="shared" si="600"/>
        <v>x</v>
      </c>
      <c r="EQ123" s="112" t="str">
        <f t="shared" si="601"/>
        <v>x</v>
      </c>
      <c r="ER123" s="111"/>
      <c r="ES123" s="111"/>
      <c r="ET123" s="112" t="str">
        <f t="shared" si="602"/>
        <v>x</v>
      </c>
      <c r="EU123" s="112" t="str">
        <f t="shared" si="603"/>
        <v>x</v>
      </c>
      <c r="EV123" s="112" t="str">
        <f t="shared" si="604"/>
        <v>x</v>
      </c>
      <c r="EW123" s="112" t="str">
        <f t="shared" si="605"/>
        <v>x</v>
      </c>
      <c r="EX123" s="111"/>
      <c r="EY123" s="112" t="str">
        <f t="shared" si="606"/>
        <v>x</v>
      </c>
      <c r="EZ123" s="112"/>
      <c r="FA123" s="112" t="str">
        <f t="shared" si="607"/>
        <v>x</v>
      </c>
      <c r="FB123" s="111"/>
      <c r="FC123" s="112" t="str">
        <f t="shared" si="608"/>
        <v>x</v>
      </c>
      <c r="FD123" s="112" t="str">
        <f t="shared" si="609"/>
        <v>x</v>
      </c>
      <c r="FE123" s="111"/>
      <c r="FF123" s="112" t="str">
        <f t="shared" si="610"/>
        <v>x</v>
      </c>
      <c r="FG123" s="111"/>
      <c r="FH123" s="111"/>
      <c r="FI123" s="112"/>
      <c r="FJ123" s="112" t="str">
        <f t="shared" si="611"/>
        <v>x</v>
      </c>
      <c r="FK123" s="112" t="str">
        <f t="shared" si="612"/>
        <v>x</v>
      </c>
      <c r="FL123" s="112"/>
      <c r="FM123" s="112" t="str">
        <f t="shared" si="613"/>
        <v>x</v>
      </c>
      <c r="FN123" s="112" t="str">
        <f t="shared" si="671"/>
        <v>x</v>
      </c>
      <c r="FO123" s="112" t="str">
        <f t="shared" si="614"/>
        <v>x</v>
      </c>
      <c r="FP123" s="112" t="str">
        <f t="shared" si="615"/>
        <v>x</v>
      </c>
      <c r="FQ123" s="112" t="str">
        <f t="shared" si="616"/>
        <v>x</v>
      </c>
      <c r="FR123" s="112" t="str">
        <f t="shared" si="617"/>
        <v>x</v>
      </c>
      <c r="FS123" s="112" t="str">
        <f t="shared" si="618"/>
        <v>x</v>
      </c>
      <c r="FT123" s="112" t="str">
        <f t="shared" si="619"/>
        <v>x</v>
      </c>
      <c r="FU123" s="112" t="str">
        <f t="shared" si="620"/>
        <v>x</v>
      </c>
      <c r="FV123" s="112" t="str">
        <f t="shared" si="621"/>
        <v>x</v>
      </c>
      <c r="FW123" s="111"/>
      <c r="FX123" s="112"/>
      <c r="FY123" s="112"/>
      <c r="FZ123" s="111"/>
      <c r="GA123" s="111"/>
      <c r="GB123" s="111"/>
      <c r="GC123" s="112" t="str">
        <f t="shared" si="622"/>
        <v>x</v>
      </c>
      <c r="GD123" s="111"/>
      <c r="GE123" s="111"/>
      <c r="GF123" s="111"/>
      <c r="GG123" s="112"/>
      <c r="GH123" s="111"/>
      <c r="GI123" s="111"/>
      <c r="GJ123" s="112" t="str">
        <f t="shared" si="623"/>
        <v>x</v>
      </c>
      <c r="GK123" s="111"/>
      <c r="GL123" s="112" t="str">
        <f t="shared" si="624"/>
        <v>x</v>
      </c>
      <c r="GM123" s="111"/>
      <c r="GN123" s="111"/>
      <c r="GO123" s="112" t="str">
        <f t="shared" si="625"/>
        <v>x</v>
      </c>
      <c r="GP123" s="112"/>
      <c r="GQ123" s="112" t="str">
        <f t="shared" si="626"/>
        <v>x</v>
      </c>
      <c r="GR123" s="112" t="str">
        <f t="shared" si="627"/>
        <v>x</v>
      </c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2" t="str">
        <f t="shared" si="628"/>
        <v>x</v>
      </c>
      <c r="HC123" s="112" t="str">
        <f t="shared" si="629"/>
        <v>x</v>
      </c>
      <c r="HD123" s="112" t="str">
        <f t="shared" si="630"/>
        <v>x</v>
      </c>
      <c r="HE123" s="112" t="str">
        <f t="shared" si="631"/>
        <v>x</v>
      </c>
      <c r="HF123" s="112" t="str">
        <f t="shared" si="632"/>
        <v>x</v>
      </c>
      <c r="HG123" s="112"/>
      <c r="HH123" s="112" t="str">
        <f t="shared" si="672"/>
        <v>x</v>
      </c>
      <c r="HI123" s="112"/>
      <c r="HJ123" s="112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2" t="str">
        <f t="shared" si="633"/>
        <v>x</v>
      </c>
      <c r="HY123" s="112" t="str">
        <f t="shared" si="634"/>
        <v>x</v>
      </c>
      <c r="HZ123" s="112" t="str">
        <f t="shared" si="635"/>
        <v>x</v>
      </c>
      <c r="IA123" s="111"/>
      <c r="IB123" s="111"/>
      <c r="IC123" s="111"/>
      <c r="ID123" s="111"/>
      <c r="IE123" s="111"/>
      <c r="IF123" s="111"/>
      <c r="IG123" s="111"/>
      <c r="IH123" s="112" t="str">
        <f t="shared" si="636"/>
        <v>x</v>
      </c>
      <c r="II123" s="111"/>
      <c r="IJ123" s="112" t="str">
        <f t="shared" si="637"/>
        <v>x</v>
      </c>
      <c r="IK123" s="112" t="str">
        <f t="shared" si="638"/>
        <v>x</v>
      </c>
      <c r="IL123" s="112" t="str">
        <f t="shared" si="639"/>
        <v>x</v>
      </c>
      <c r="IM123" s="112" t="str">
        <f t="shared" si="640"/>
        <v>x</v>
      </c>
      <c r="IN123" s="112"/>
      <c r="IO123" s="112"/>
      <c r="IP123" s="112" t="str">
        <f t="shared" si="641"/>
        <v>x</v>
      </c>
      <c r="IQ123" s="112"/>
      <c r="IR123" s="111"/>
      <c r="IS123" s="111"/>
      <c r="IT123" s="111"/>
      <c r="IU123" s="112" t="str">
        <f t="shared" si="642"/>
        <v>x</v>
      </c>
      <c r="IV123" s="112"/>
      <c r="IW123" s="112" t="str">
        <f t="shared" si="643"/>
        <v>x</v>
      </c>
      <c r="IX123" s="112" t="str">
        <f t="shared" si="644"/>
        <v>x</v>
      </c>
      <c r="IY123" s="111"/>
      <c r="IZ123" s="112" t="str">
        <f t="shared" si="645"/>
        <v>x</v>
      </c>
      <c r="JA123" s="111"/>
      <c r="JB123" s="112" t="str">
        <f t="shared" si="646"/>
        <v>x</v>
      </c>
      <c r="JC123" s="111"/>
      <c r="JD123" s="112"/>
      <c r="JE123" s="112"/>
      <c r="JF123" s="112"/>
      <c r="JG123" s="112"/>
      <c r="JH123" s="111"/>
      <c r="JI123" s="112" t="str">
        <f t="shared" si="673"/>
        <v>x</v>
      </c>
      <c r="JJ123" s="112" t="str">
        <f t="shared" si="674"/>
        <v>x</v>
      </c>
      <c r="JK123" s="112" t="str">
        <f t="shared" si="675"/>
        <v>x</v>
      </c>
      <c r="JL123" s="112" t="str">
        <f t="shared" si="647"/>
        <v>x</v>
      </c>
      <c r="JM123" s="112"/>
      <c r="JN123" s="112"/>
      <c r="JO123" s="112"/>
      <c r="JP123" s="112"/>
      <c r="JQ123" s="112" t="str">
        <f t="shared" si="648"/>
        <v>x</v>
      </c>
      <c r="JR123" s="112"/>
      <c r="JS123" s="112" t="str">
        <f t="shared" si="649"/>
        <v>x</v>
      </c>
      <c r="JT123" s="111"/>
      <c r="JU123" s="111"/>
      <c r="JV123" s="112"/>
      <c r="JW123" s="112"/>
      <c r="JX123" s="112"/>
      <c r="JY123" s="112"/>
      <c r="JZ123" s="112"/>
      <c r="KA123" s="112" t="str">
        <f t="shared" si="650"/>
        <v>x</v>
      </c>
      <c r="KB123" s="111"/>
      <c r="KC123" s="112" t="str">
        <f t="shared" si="651"/>
        <v>x</v>
      </c>
      <c r="KD123" s="112" t="str">
        <f t="shared" si="652"/>
        <v>x</v>
      </c>
      <c r="KE123" s="112" t="str">
        <f t="shared" si="653"/>
        <v>x</v>
      </c>
      <c r="KF123" s="112"/>
      <c r="KG123" s="112"/>
      <c r="KH123" s="112"/>
      <c r="KI123" s="112"/>
      <c r="KJ123" s="112"/>
      <c r="KK123" s="112"/>
      <c r="KL123" s="112"/>
      <c r="KM123" s="112"/>
      <c r="KN123" s="112"/>
      <c r="KO123" s="112"/>
      <c r="KP123" s="112"/>
      <c r="KQ123" s="112"/>
      <c r="KR123" s="112"/>
      <c r="KS123" s="112"/>
      <c r="KT123" s="112"/>
      <c r="KU123" s="112"/>
      <c r="KV123" s="112"/>
      <c r="KW123" s="112"/>
      <c r="KX123" s="112"/>
      <c r="KY123" s="112"/>
      <c r="KZ123" s="112"/>
      <c r="LA123" s="112"/>
      <c r="LB123" s="111"/>
      <c r="LC123" s="112"/>
      <c r="LD123" s="112"/>
      <c r="LE123" s="112"/>
      <c r="LF123" s="112"/>
      <c r="LG123" s="112"/>
      <c r="LH123" s="112"/>
      <c r="LI123" s="112"/>
      <c r="LJ123" s="112"/>
      <c r="LK123" s="112"/>
      <c r="LL123" s="111"/>
      <c r="LM123" s="111"/>
      <c r="LN123" s="111"/>
      <c r="LO123" s="111"/>
      <c r="LP123" s="112"/>
      <c r="LQ123" s="111"/>
      <c r="LR123" s="112"/>
      <c r="LS123" s="112"/>
      <c r="LT123" s="111"/>
      <c r="LU123" s="111"/>
      <c r="LV123" s="111"/>
      <c r="LW123" s="111"/>
      <c r="LX123" s="111"/>
      <c r="LY123" s="111"/>
      <c r="LZ123" s="111"/>
      <c r="MA123" s="112"/>
      <c r="MB123" s="111"/>
      <c r="MC123" s="112" t="str">
        <f t="shared" si="654"/>
        <v>x</v>
      </c>
      <c r="MD123" s="111"/>
      <c r="ME123" s="112" t="str">
        <f t="shared" si="655"/>
        <v>x</v>
      </c>
      <c r="MF123" s="112" t="str">
        <f t="shared" si="656"/>
        <v>x</v>
      </c>
      <c r="MG123" s="112" t="str">
        <f t="shared" si="676"/>
        <v>x</v>
      </c>
      <c r="MH123" s="112" t="str">
        <f t="shared" si="657"/>
        <v>x</v>
      </c>
    </row>
    <row r="124" spans="1:346" x14ac:dyDescent="0.25">
      <c r="A124" s="110" t="s">
        <v>5</v>
      </c>
      <c r="B124" s="101" t="s">
        <v>408</v>
      </c>
      <c r="C124" s="102"/>
      <c r="D124" s="102"/>
      <c r="E124" s="102"/>
      <c r="F124" s="102"/>
      <c r="G124" s="102"/>
      <c r="H124" s="102"/>
      <c r="I124" s="102"/>
      <c r="J124" s="103"/>
      <c r="K124" s="111"/>
      <c r="L124" s="111"/>
      <c r="M124" s="111"/>
      <c r="N124" s="111"/>
      <c r="O124" s="112" t="str">
        <f t="shared" si="658"/>
        <v>x</v>
      </c>
      <c r="P124" s="111"/>
      <c r="Q124" s="111"/>
      <c r="R124" s="111"/>
      <c r="S124" s="111"/>
      <c r="T124" s="112" t="str">
        <f t="shared" si="560"/>
        <v>x</v>
      </c>
      <c r="U124" s="112"/>
      <c r="V124" s="112"/>
      <c r="W124" s="111"/>
      <c r="X124" s="112"/>
      <c r="Y124" s="112"/>
      <c r="Z124" s="112"/>
      <c r="AA124" s="112"/>
      <c r="AB124" s="112"/>
      <c r="AC124" s="112" t="str">
        <f t="shared" si="561"/>
        <v>x</v>
      </c>
      <c r="AD124" s="112"/>
      <c r="AE124" s="112" t="str">
        <f t="shared" si="659"/>
        <v>x</v>
      </c>
      <c r="AF124" s="112" t="str">
        <f t="shared" si="562"/>
        <v>x</v>
      </c>
      <c r="AG124" s="112" t="str">
        <f t="shared" si="563"/>
        <v>x</v>
      </c>
      <c r="AH124" s="111"/>
      <c r="AI124" s="111"/>
      <c r="AJ124" s="112" t="str">
        <f t="shared" si="564"/>
        <v>x</v>
      </c>
      <c r="AK124" s="112" t="str">
        <f t="shared" si="565"/>
        <v>x</v>
      </c>
      <c r="AL124" s="112"/>
      <c r="AM124" s="112" t="str">
        <f t="shared" si="660"/>
        <v>x</v>
      </c>
      <c r="AN124" s="112"/>
      <c r="AO124" s="112"/>
      <c r="AP124" s="112"/>
      <c r="AQ124" s="112"/>
      <c r="AR124" s="112"/>
      <c r="AS124" s="112"/>
      <c r="AT124" s="112"/>
      <c r="AU124" s="114" t="str">
        <f t="shared" si="566"/>
        <v>x</v>
      </c>
      <c r="AV124" s="114" t="str">
        <f t="shared" si="567"/>
        <v>x</v>
      </c>
      <c r="AW124" s="114" t="str">
        <f t="shared" si="568"/>
        <v>x</v>
      </c>
      <c r="AX124" s="111"/>
      <c r="AY124" s="111"/>
      <c r="AZ124" s="112" t="str">
        <f t="shared" si="569"/>
        <v>x</v>
      </c>
      <c r="BA124" s="112" t="str">
        <f t="shared" si="570"/>
        <v>x</v>
      </c>
      <c r="BB124" s="111"/>
      <c r="BC124" s="111"/>
      <c r="BD124" s="111"/>
      <c r="BE124" s="112" t="str">
        <f t="shared" si="571"/>
        <v>x</v>
      </c>
      <c r="BF124" s="111"/>
      <c r="BG124" s="112" t="str">
        <f t="shared" si="572"/>
        <v>x</v>
      </c>
      <c r="BH124" s="112" t="str">
        <f t="shared" si="661"/>
        <v>x</v>
      </c>
      <c r="BI124" s="112" t="str">
        <f t="shared" si="573"/>
        <v>x</v>
      </c>
      <c r="BJ124" s="111"/>
      <c r="BK124" s="112" t="str">
        <f t="shared" si="574"/>
        <v>x</v>
      </c>
      <c r="BL124" s="111"/>
      <c r="BM124" s="111"/>
      <c r="BN124" s="111"/>
      <c r="BO124" s="111"/>
      <c r="BP124" s="111"/>
      <c r="BQ124" s="111"/>
      <c r="BR124" s="112" t="str">
        <f t="shared" si="575"/>
        <v>x</v>
      </c>
      <c r="BS124" s="112"/>
      <c r="BT124" s="111"/>
      <c r="BU124" s="112" t="str">
        <f t="shared" si="576"/>
        <v>x</v>
      </c>
      <c r="BV124" s="112" t="str">
        <f t="shared" si="577"/>
        <v>x</v>
      </c>
      <c r="BW124" s="112"/>
      <c r="BX124" s="112"/>
      <c r="BY124" s="112" t="str">
        <f t="shared" si="662"/>
        <v>x</v>
      </c>
      <c r="BZ124" s="112" t="str">
        <f t="shared" si="578"/>
        <v>x</v>
      </c>
      <c r="CA124" s="112" t="str">
        <f t="shared" si="579"/>
        <v>x</v>
      </c>
      <c r="CB124" s="112" t="str">
        <f t="shared" si="580"/>
        <v>x</v>
      </c>
      <c r="CC124" s="112"/>
      <c r="CD124" s="112"/>
      <c r="CE124" s="111"/>
      <c r="CF124" s="111"/>
      <c r="CG124" s="112" t="str">
        <f t="shared" si="663"/>
        <v>x</v>
      </c>
      <c r="CH124" s="112" t="str">
        <f t="shared" si="581"/>
        <v>x</v>
      </c>
      <c r="CI124" s="112" t="str">
        <f t="shared" si="582"/>
        <v>x</v>
      </c>
      <c r="CJ124" s="112" t="str">
        <f t="shared" si="583"/>
        <v>x</v>
      </c>
      <c r="CK124" s="112"/>
      <c r="CL124" s="112"/>
      <c r="CM124" s="112"/>
      <c r="CN124" s="112"/>
      <c r="CO124" s="112" t="str">
        <f t="shared" si="664"/>
        <v>x</v>
      </c>
      <c r="CP124" s="112"/>
      <c r="CQ124" s="112" t="str">
        <f t="shared" si="665"/>
        <v>x</v>
      </c>
      <c r="CR124" s="112" t="str">
        <f t="shared" si="584"/>
        <v>x</v>
      </c>
      <c r="CS124" s="112"/>
      <c r="CT124" s="112" t="str">
        <f t="shared" si="666"/>
        <v>x</v>
      </c>
      <c r="CU124" s="112"/>
      <c r="CV124" s="112"/>
      <c r="CW124" s="112"/>
      <c r="CX124" s="112" t="str">
        <f t="shared" si="585"/>
        <v>x</v>
      </c>
      <c r="CY124" s="112"/>
      <c r="CZ124" s="112"/>
      <c r="DA124" s="112"/>
      <c r="DB124" s="115" t="str">
        <f t="shared" si="667"/>
        <v>x</v>
      </c>
      <c r="DC124" s="112"/>
      <c r="DD124" s="112"/>
      <c r="DE124" s="112" t="str">
        <f t="shared" si="586"/>
        <v>x</v>
      </c>
      <c r="DF124" s="115" t="str">
        <f t="shared" si="587"/>
        <v>x</v>
      </c>
      <c r="DG124" s="112" t="str">
        <f t="shared" si="588"/>
        <v>x</v>
      </c>
      <c r="DH124" s="112" t="str">
        <f t="shared" si="589"/>
        <v>x</v>
      </c>
      <c r="DI124" s="112"/>
      <c r="DJ124" s="112"/>
      <c r="DK124" s="112"/>
      <c r="DL124" s="112"/>
      <c r="DM124" s="112"/>
      <c r="DN124" s="112"/>
      <c r="DO124" s="111"/>
      <c r="DP124" s="111"/>
      <c r="DQ124" s="112" t="str">
        <f t="shared" si="590"/>
        <v>x</v>
      </c>
      <c r="DR124" s="112" t="str">
        <f t="shared" si="668"/>
        <v>x</v>
      </c>
      <c r="DS124" s="112" t="str">
        <f t="shared" si="669"/>
        <v>x</v>
      </c>
      <c r="DT124" s="112"/>
      <c r="DU124" s="112" t="str">
        <f t="shared" si="591"/>
        <v>x</v>
      </c>
      <c r="DV124" s="111"/>
      <c r="DW124" s="112" t="str">
        <f t="shared" si="670"/>
        <v>x</v>
      </c>
      <c r="DX124" s="111"/>
      <c r="DY124" s="112" t="str">
        <f t="shared" si="592"/>
        <v>x</v>
      </c>
      <c r="DZ124" s="112" t="str">
        <f t="shared" si="593"/>
        <v>x</v>
      </c>
      <c r="EA124" s="112" t="str">
        <f t="shared" si="594"/>
        <v>x</v>
      </c>
      <c r="EB124" s="112" t="str">
        <f t="shared" si="595"/>
        <v>x</v>
      </c>
      <c r="EC124" s="111"/>
      <c r="ED124" s="111"/>
      <c r="EE124" s="111"/>
      <c r="EF124" s="111"/>
      <c r="EG124" s="111"/>
      <c r="EH124" s="111"/>
      <c r="EI124" s="112"/>
      <c r="EJ124" s="112" t="str">
        <f t="shared" si="596"/>
        <v>x</v>
      </c>
      <c r="EK124" s="111"/>
      <c r="EL124" s="112" t="str">
        <f t="shared" si="597"/>
        <v>x</v>
      </c>
      <c r="EM124" s="112" t="str">
        <f t="shared" si="598"/>
        <v>x</v>
      </c>
      <c r="EN124" s="112"/>
      <c r="EO124" s="117" t="str">
        <f t="shared" si="599"/>
        <v>x</v>
      </c>
      <c r="EP124" s="117" t="str">
        <f t="shared" si="600"/>
        <v>x</v>
      </c>
      <c r="EQ124" s="112" t="str">
        <f t="shared" si="601"/>
        <v>x</v>
      </c>
      <c r="ER124" s="111"/>
      <c r="ES124" s="111"/>
      <c r="ET124" s="112" t="str">
        <f t="shared" si="602"/>
        <v>x</v>
      </c>
      <c r="EU124" s="112" t="str">
        <f t="shared" si="603"/>
        <v>x</v>
      </c>
      <c r="EV124" s="112" t="str">
        <f t="shared" si="604"/>
        <v>x</v>
      </c>
      <c r="EW124" s="112" t="str">
        <f t="shared" si="605"/>
        <v>x</v>
      </c>
      <c r="EX124" s="111"/>
      <c r="EY124" s="112" t="str">
        <f t="shared" si="606"/>
        <v>x</v>
      </c>
      <c r="EZ124" s="112"/>
      <c r="FA124" s="112" t="str">
        <f t="shared" si="607"/>
        <v>x</v>
      </c>
      <c r="FB124" s="111"/>
      <c r="FC124" s="112" t="str">
        <f t="shared" si="608"/>
        <v>x</v>
      </c>
      <c r="FD124" s="112" t="str">
        <f t="shared" si="609"/>
        <v>x</v>
      </c>
      <c r="FE124" s="111"/>
      <c r="FF124" s="112" t="str">
        <f t="shared" si="610"/>
        <v>x</v>
      </c>
      <c r="FG124" s="111"/>
      <c r="FH124" s="111"/>
      <c r="FI124" s="112"/>
      <c r="FJ124" s="112" t="str">
        <f t="shared" si="611"/>
        <v>x</v>
      </c>
      <c r="FK124" s="112" t="str">
        <f t="shared" si="612"/>
        <v>x</v>
      </c>
      <c r="FL124" s="112"/>
      <c r="FM124" s="112" t="str">
        <f t="shared" si="613"/>
        <v>x</v>
      </c>
      <c r="FN124" s="112" t="str">
        <f t="shared" si="671"/>
        <v>x</v>
      </c>
      <c r="FO124" s="112" t="str">
        <f t="shared" si="614"/>
        <v>x</v>
      </c>
      <c r="FP124" s="112" t="str">
        <f t="shared" si="615"/>
        <v>x</v>
      </c>
      <c r="FQ124" s="112" t="str">
        <f t="shared" si="616"/>
        <v>x</v>
      </c>
      <c r="FR124" s="112" t="str">
        <f t="shared" si="617"/>
        <v>x</v>
      </c>
      <c r="FS124" s="112" t="str">
        <f t="shared" si="618"/>
        <v>x</v>
      </c>
      <c r="FT124" s="112" t="str">
        <f t="shared" si="619"/>
        <v>x</v>
      </c>
      <c r="FU124" s="112" t="str">
        <f t="shared" si="620"/>
        <v>x</v>
      </c>
      <c r="FV124" s="112" t="str">
        <f t="shared" si="621"/>
        <v>x</v>
      </c>
      <c r="FW124" s="111"/>
      <c r="FX124" s="112"/>
      <c r="FY124" s="112"/>
      <c r="FZ124" s="111"/>
      <c r="GA124" s="111"/>
      <c r="GB124" s="111"/>
      <c r="GC124" s="112" t="str">
        <f t="shared" si="622"/>
        <v>x</v>
      </c>
      <c r="GD124" s="111"/>
      <c r="GE124" s="111"/>
      <c r="GF124" s="111"/>
      <c r="GG124" s="112"/>
      <c r="GH124" s="111"/>
      <c r="GI124" s="111"/>
      <c r="GJ124" s="112" t="str">
        <f t="shared" si="623"/>
        <v>x</v>
      </c>
      <c r="GK124" s="111"/>
      <c r="GL124" s="112" t="str">
        <f t="shared" si="624"/>
        <v>x</v>
      </c>
      <c r="GM124" s="111"/>
      <c r="GN124" s="111"/>
      <c r="GO124" s="112" t="str">
        <f t="shared" si="625"/>
        <v>x</v>
      </c>
      <c r="GP124" s="112"/>
      <c r="GQ124" s="112" t="str">
        <f t="shared" si="626"/>
        <v>x</v>
      </c>
      <c r="GR124" s="112" t="str">
        <f t="shared" si="627"/>
        <v>x</v>
      </c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2" t="str">
        <f t="shared" si="628"/>
        <v>x</v>
      </c>
      <c r="HC124" s="112" t="str">
        <f t="shared" si="629"/>
        <v>x</v>
      </c>
      <c r="HD124" s="112" t="str">
        <f t="shared" si="630"/>
        <v>x</v>
      </c>
      <c r="HE124" s="112" t="str">
        <f t="shared" si="631"/>
        <v>x</v>
      </c>
      <c r="HF124" s="112" t="str">
        <f t="shared" si="632"/>
        <v>x</v>
      </c>
      <c r="HG124" s="112"/>
      <c r="HH124" s="112" t="str">
        <f t="shared" si="672"/>
        <v>x</v>
      </c>
      <c r="HI124" s="112"/>
      <c r="HJ124" s="112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2" t="str">
        <f t="shared" si="633"/>
        <v>x</v>
      </c>
      <c r="HY124" s="112" t="str">
        <f t="shared" si="634"/>
        <v>x</v>
      </c>
      <c r="HZ124" s="112" t="str">
        <f t="shared" si="635"/>
        <v>x</v>
      </c>
      <c r="IA124" s="111"/>
      <c r="IB124" s="111"/>
      <c r="IC124" s="111"/>
      <c r="ID124" s="111"/>
      <c r="IE124" s="111"/>
      <c r="IF124" s="111"/>
      <c r="IG124" s="111"/>
      <c r="IH124" s="112" t="str">
        <f t="shared" si="636"/>
        <v>x</v>
      </c>
      <c r="II124" s="111"/>
      <c r="IJ124" s="112" t="str">
        <f t="shared" si="637"/>
        <v>x</v>
      </c>
      <c r="IK124" s="112" t="str">
        <f t="shared" si="638"/>
        <v>x</v>
      </c>
      <c r="IL124" s="112" t="str">
        <f t="shared" si="639"/>
        <v>x</v>
      </c>
      <c r="IM124" s="112" t="str">
        <f t="shared" si="640"/>
        <v>x</v>
      </c>
      <c r="IN124" s="112"/>
      <c r="IO124" s="112"/>
      <c r="IP124" s="112" t="str">
        <f t="shared" si="641"/>
        <v>x</v>
      </c>
      <c r="IQ124" s="112"/>
      <c r="IR124" s="111"/>
      <c r="IS124" s="111"/>
      <c r="IT124" s="111"/>
      <c r="IU124" s="112" t="str">
        <f t="shared" si="642"/>
        <v>x</v>
      </c>
      <c r="IV124" s="112"/>
      <c r="IW124" s="112" t="str">
        <f t="shared" si="643"/>
        <v>x</v>
      </c>
      <c r="IX124" s="112" t="str">
        <f t="shared" si="644"/>
        <v>x</v>
      </c>
      <c r="IY124" s="111"/>
      <c r="IZ124" s="112" t="str">
        <f t="shared" si="645"/>
        <v>x</v>
      </c>
      <c r="JA124" s="111"/>
      <c r="JB124" s="112" t="str">
        <f t="shared" si="646"/>
        <v>x</v>
      </c>
      <c r="JC124" s="111"/>
      <c r="JD124" s="112"/>
      <c r="JE124" s="112"/>
      <c r="JF124" s="112"/>
      <c r="JG124" s="112"/>
      <c r="JH124" s="111"/>
      <c r="JI124" s="112" t="str">
        <f t="shared" si="673"/>
        <v>x</v>
      </c>
      <c r="JJ124" s="112" t="str">
        <f t="shared" si="674"/>
        <v>x</v>
      </c>
      <c r="JK124" s="112" t="str">
        <f t="shared" si="675"/>
        <v>x</v>
      </c>
      <c r="JL124" s="112" t="str">
        <f t="shared" si="647"/>
        <v>x</v>
      </c>
      <c r="JM124" s="112"/>
      <c r="JN124" s="112"/>
      <c r="JO124" s="112"/>
      <c r="JP124" s="112"/>
      <c r="JQ124" s="112" t="str">
        <f t="shared" si="648"/>
        <v>x</v>
      </c>
      <c r="JR124" s="112"/>
      <c r="JS124" s="112" t="str">
        <f t="shared" si="649"/>
        <v>x</v>
      </c>
      <c r="JT124" s="111"/>
      <c r="JU124" s="111"/>
      <c r="JV124" s="112"/>
      <c r="JW124" s="112"/>
      <c r="JX124" s="112"/>
      <c r="JY124" s="112"/>
      <c r="JZ124" s="112"/>
      <c r="KA124" s="112" t="str">
        <f t="shared" si="650"/>
        <v>x</v>
      </c>
      <c r="KB124" s="111"/>
      <c r="KC124" s="112" t="str">
        <f t="shared" si="651"/>
        <v>x</v>
      </c>
      <c r="KD124" s="112" t="str">
        <f t="shared" si="652"/>
        <v>x</v>
      </c>
      <c r="KE124" s="112" t="str">
        <f t="shared" si="653"/>
        <v>x</v>
      </c>
      <c r="KF124" s="112"/>
      <c r="KG124" s="112"/>
      <c r="KH124" s="112"/>
      <c r="KI124" s="112"/>
      <c r="KJ124" s="112"/>
      <c r="KK124" s="112"/>
      <c r="KL124" s="112"/>
      <c r="KM124" s="112"/>
      <c r="KN124" s="112"/>
      <c r="KO124" s="112"/>
      <c r="KP124" s="112"/>
      <c r="KQ124" s="112"/>
      <c r="KR124" s="112"/>
      <c r="KS124" s="112"/>
      <c r="KT124" s="112"/>
      <c r="KU124" s="112"/>
      <c r="KV124" s="112"/>
      <c r="KW124" s="112"/>
      <c r="KX124" s="112"/>
      <c r="KY124" s="112"/>
      <c r="KZ124" s="112"/>
      <c r="LA124" s="112"/>
      <c r="LB124" s="111"/>
      <c r="LC124" s="112"/>
      <c r="LD124" s="112"/>
      <c r="LE124" s="112"/>
      <c r="LF124" s="112"/>
      <c r="LG124" s="112"/>
      <c r="LH124" s="112"/>
      <c r="LI124" s="112"/>
      <c r="LJ124" s="112"/>
      <c r="LK124" s="112"/>
      <c r="LL124" s="111"/>
      <c r="LM124" s="111"/>
      <c r="LN124" s="111"/>
      <c r="LO124" s="111"/>
      <c r="LP124" s="112"/>
      <c r="LQ124" s="111"/>
      <c r="LR124" s="112"/>
      <c r="LS124" s="112"/>
      <c r="LT124" s="111"/>
      <c r="LU124" s="111"/>
      <c r="LV124" s="111"/>
      <c r="LW124" s="111"/>
      <c r="LX124" s="111"/>
      <c r="LY124" s="111"/>
      <c r="LZ124" s="111"/>
      <c r="MA124" s="112"/>
      <c r="MB124" s="111"/>
      <c r="MC124" s="112" t="str">
        <f t="shared" si="654"/>
        <v>x</v>
      </c>
      <c r="MD124" s="111"/>
      <c r="ME124" s="112" t="str">
        <f t="shared" si="655"/>
        <v>x</v>
      </c>
      <c r="MF124" s="112" t="str">
        <f t="shared" si="656"/>
        <v>x</v>
      </c>
      <c r="MG124" s="112" t="str">
        <f t="shared" si="676"/>
        <v>x</v>
      </c>
      <c r="MH124" s="112" t="str">
        <f t="shared" si="657"/>
        <v>x</v>
      </c>
    </row>
    <row r="125" spans="1:346" x14ac:dyDescent="0.25">
      <c r="A125" s="110" t="s">
        <v>5</v>
      </c>
      <c r="B125" s="101" t="s">
        <v>409</v>
      </c>
      <c r="C125" s="102"/>
      <c r="D125" s="102"/>
      <c r="E125" s="102"/>
      <c r="F125" s="102"/>
      <c r="G125" s="102"/>
      <c r="H125" s="102"/>
      <c r="I125" s="102"/>
      <c r="J125" s="103"/>
      <c r="K125" s="111"/>
      <c r="L125" s="111"/>
      <c r="M125" s="111"/>
      <c r="N125" s="111"/>
      <c r="O125" s="112" t="str">
        <f t="shared" si="658"/>
        <v>x</v>
      </c>
      <c r="P125" s="111"/>
      <c r="Q125" s="111"/>
      <c r="R125" s="111"/>
      <c r="S125" s="111"/>
      <c r="T125" s="112" t="str">
        <f t="shared" si="560"/>
        <v>x</v>
      </c>
      <c r="U125" s="112"/>
      <c r="V125" s="112"/>
      <c r="W125" s="111"/>
      <c r="X125" s="112"/>
      <c r="Y125" s="112"/>
      <c r="Z125" s="112"/>
      <c r="AA125" s="112"/>
      <c r="AB125" s="112"/>
      <c r="AC125" s="112" t="str">
        <f t="shared" si="561"/>
        <v>x</v>
      </c>
      <c r="AD125" s="112"/>
      <c r="AE125" s="112" t="str">
        <f t="shared" si="659"/>
        <v>x</v>
      </c>
      <c r="AF125" s="112" t="str">
        <f t="shared" si="562"/>
        <v>x</v>
      </c>
      <c r="AG125" s="112" t="str">
        <f t="shared" si="563"/>
        <v>x</v>
      </c>
      <c r="AH125" s="111"/>
      <c r="AI125" s="111"/>
      <c r="AJ125" s="112" t="str">
        <f t="shared" si="564"/>
        <v>x</v>
      </c>
      <c r="AK125" s="112" t="str">
        <f t="shared" si="565"/>
        <v>x</v>
      </c>
      <c r="AL125" s="112"/>
      <c r="AM125" s="112" t="str">
        <f t="shared" si="660"/>
        <v>x</v>
      </c>
      <c r="AN125" s="112"/>
      <c r="AO125" s="112"/>
      <c r="AP125" s="112"/>
      <c r="AQ125" s="112"/>
      <c r="AR125" s="112"/>
      <c r="AS125" s="112"/>
      <c r="AT125" s="112"/>
      <c r="AU125" s="114" t="str">
        <f t="shared" si="566"/>
        <v>x</v>
      </c>
      <c r="AV125" s="114" t="str">
        <f t="shared" si="567"/>
        <v>x</v>
      </c>
      <c r="AW125" s="114" t="str">
        <f t="shared" si="568"/>
        <v>x</v>
      </c>
      <c r="AX125" s="111"/>
      <c r="AY125" s="111"/>
      <c r="AZ125" s="112" t="str">
        <f t="shared" si="569"/>
        <v>x</v>
      </c>
      <c r="BA125" s="112" t="str">
        <f t="shared" si="570"/>
        <v>x</v>
      </c>
      <c r="BB125" s="111"/>
      <c r="BC125" s="111"/>
      <c r="BD125" s="111"/>
      <c r="BE125" s="112" t="str">
        <f t="shared" si="571"/>
        <v>x</v>
      </c>
      <c r="BF125" s="111"/>
      <c r="BG125" s="112" t="str">
        <f t="shared" si="572"/>
        <v>x</v>
      </c>
      <c r="BH125" s="112" t="str">
        <f t="shared" si="661"/>
        <v>x</v>
      </c>
      <c r="BI125" s="112" t="str">
        <f t="shared" si="573"/>
        <v>x</v>
      </c>
      <c r="BJ125" s="111"/>
      <c r="BK125" s="112" t="str">
        <f t="shared" si="574"/>
        <v>x</v>
      </c>
      <c r="BL125" s="111"/>
      <c r="BM125" s="111"/>
      <c r="BN125" s="111"/>
      <c r="BO125" s="111"/>
      <c r="BP125" s="111"/>
      <c r="BQ125" s="111"/>
      <c r="BR125" s="112" t="str">
        <f t="shared" si="575"/>
        <v>x</v>
      </c>
      <c r="BS125" s="112"/>
      <c r="BT125" s="111"/>
      <c r="BU125" s="112" t="str">
        <f t="shared" si="576"/>
        <v>x</v>
      </c>
      <c r="BV125" s="112" t="str">
        <f t="shared" si="577"/>
        <v>x</v>
      </c>
      <c r="BW125" s="112"/>
      <c r="BX125" s="112"/>
      <c r="BY125" s="112" t="str">
        <f t="shared" si="662"/>
        <v>x</v>
      </c>
      <c r="BZ125" s="112" t="str">
        <f t="shared" si="578"/>
        <v>x</v>
      </c>
      <c r="CA125" s="112" t="str">
        <f t="shared" si="579"/>
        <v>x</v>
      </c>
      <c r="CB125" s="112" t="str">
        <f t="shared" si="580"/>
        <v>x</v>
      </c>
      <c r="CC125" s="112"/>
      <c r="CD125" s="112"/>
      <c r="CE125" s="111"/>
      <c r="CF125" s="111"/>
      <c r="CG125" s="112" t="str">
        <f t="shared" si="663"/>
        <v>x</v>
      </c>
      <c r="CH125" s="112" t="str">
        <f t="shared" si="581"/>
        <v>x</v>
      </c>
      <c r="CI125" s="112" t="str">
        <f t="shared" si="582"/>
        <v>x</v>
      </c>
      <c r="CJ125" s="112" t="str">
        <f t="shared" si="583"/>
        <v>x</v>
      </c>
      <c r="CK125" s="112"/>
      <c r="CL125" s="112"/>
      <c r="CM125" s="112"/>
      <c r="CN125" s="112"/>
      <c r="CO125" s="112" t="str">
        <f t="shared" si="664"/>
        <v>x</v>
      </c>
      <c r="CP125" s="112"/>
      <c r="CQ125" s="112" t="str">
        <f t="shared" si="665"/>
        <v>x</v>
      </c>
      <c r="CR125" s="112" t="str">
        <f t="shared" si="584"/>
        <v>x</v>
      </c>
      <c r="CS125" s="112"/>
      <c r="CT125" s="112" t="str">
        <f t="shared" si="666"/>
        <v>x</v>
      </c>
      <c r="CU125" s="112"/>
      <c r="CV125" s="112"/>
      <c r="CW125" s="112"/>
      <c r="CX125" s="112" t="str">
        <f t="shared" si="585"/>
        <v>x</v>
      </c>
      <c r="CY125" s="112"/>
      <c r="CZ125" s="112"/>
      <c r="DA125" s="112"/>
      <c r="DB125" s="115" t="str">
        <f t="shared" si="667"/>
        <v>x</v>
      </c>
      <c r="DC125" s="112"/>
      <c r="DD125" s="112"/>
      <c r="DE125" s="112" t="str">
        <f t="shared" si="586"/>
        <v>x</v>
      </c>
      <c r="DF125" s="115" t="str">
        <f t="shared" si="587"/>
        <v>x</v>
      </c>
      <c r="DG125" s="112" t="str">
        <f t="shared" si="588"/>
        <v>x</v>
      </c>
      <c r="DH125" s="112" t="str">
        <f t="shared" si="589"/>
        <v>x</v>
      </c>
      <c r="DI125" s="112"/>
      <c r="DJ125" s="112"/>
      <c r="DK125" s="112"/>
      <c r="DL125" s="112"/>
      <c r="DM125" s="112"/>
      <c r="DN125" s="112"/>
      <c r="DO125" s="111"/>
      <c r="DP125" s="111"/>
      <c r="DQ125" s="112" t="str">
        <f t="shared" si="590"/>
        <v>x</v>
      </c>
      <c r="DR125" s="112" t="str">
        <f t="shared" si="668"/>
        <v>x</v>
      </c>
      <c r="DS125" s="112" t="str">
        <f t="shared" si="669"/>
        <v>x</v>
      </c>
      <c r="DT125" s="112"/>
      <c r="DU125" s="112" t="str">
        <f t="shared" si="591"/>
        <v>x</v>
      </c>
      <c r="DV125" s="111"/>
      <c r="DW125" s="112" t="str">
        <f t="shared" si="670"/>
        <v>x</v>
      </c>
      <c r="DX125" s="111"/>
      <c r="DY125" s="112" t="str">
        <f t="shared" si="592"/>
        <v>x</v>
      </c>
      <c r="DZ125" s="112" t="str">
        <f t="shared" si="593"/>
        <v>x</v>
      </c>
      <c r="EA125" s="112" t="str">
        <f t="shared" si="594"/>
        <v>x</v>
      </c>
      <c r="EB125" s="112" t="str">
        <f t="shared" si="595"/>
        <v>x</v>
      </c>
      <c r="EC125" s="111"/>
      <c r="ED125" s="111"/>
      <c r="EE125" s="111"/>
      <c r="EF125" s="111"/>
      <c r="EG125" s="111"/>
      <c r="EH125" s="111"/>
      <c r="EI125" s="112"/>
      <c r="EJ125" s="112" t="str">
        <f t="shared" si="596"/>
        <v>x</v>
      </c>
      <c r="EK125" s="111"/>
      <c r="EL125" s="112" t="str">
        <f t="shared" si="597"/>
        <v>x</v>
      </c>
      <c r="EM125" s="112" t="str">
        <f t="shared" si="598"/>
        <v>x</v>
      </c>
      <c r="EN125" s="112"/>
      <c r="EO125" s="117" t="str">
        <f t="shared" si="599"/>
        <v>x</v>
      </c>
      <c r="EP125" s="117" t="str">
        <f t="shared" si="600"/>
        <v>x</v>
      </c>
      <c r="EQ125" s="112" t="str">
        <f t="shared" si="601"/>
        <v>x</v>
      </c>
      <c r="ER125" s="111"/>
      <c r="ES125" s="111"/>
      <c r="ET125" s="112" t="str">
        <f t="shared" si="602"/>
        <v>x</v>
      </c>
      <c r="EU125" s="112" t="str">
        <f t="shared" si="603"/>
        <v>x</v>
      </c>
      <c r="EV125" s="112" t="str">
        <f t="shared" si="604"/>
        <v>x</v>
      </c>
      <c r="EW125" s="112" t="str">
        <f t="shared" si="605"/>
        <v>x</v>
      </c>
      <c r="EX125" s="111"/>
      <c r="EY125" s="112" t="str">
        <f t="shared" si="606"/>
        <v>x</v>
      </c>
      <c r="EZ125" s="112"/>
      <c r="FA125" s="112" t="str">
        <f t="shared" si="607"/>
        <v>x</v>
      </c>
      <c r="FB125" s="111"/>
      <c r="FC125" s="112" t="str">
        <f t="shared" si="608"/>
        <v>x</v>
      </c>
      <c r="FD125" s="112" t="str">
        <f t="shared" si="609"/>
        <v>x</v>
      </c>
      <c r="FE125" s="111"/>
      <c r="FF125" s="112" t="str">
        <f t="shared" si="610"/>
        <v>x</v>
      </c>
      <c r="FG125" s="111"/>
      <c r="FH125" s="111"/>
      <c r="FI125" s="112"/>
      <c r="FJ125" s="112" t="str">
        <f t="shared" si="611"/>
        <v>x</v>
      </c>
      <c r="FK125" s="112" t="str">
        <f t="shared" si="612"/>
        <v>x</v>
      </c>
      <c r="FL125" s="112"/>
      <c r="FM125" s="112" t="str">
        <f t="shared" si="613"/>
        <v>x</v>
      </c>
      <c r="FN125" s="112" t="str">
        <f t="shared" si="671"/>
        <v>x</v>
      </c>
      <c r="FO125" s="112" t="str">
        <f t="shared" si="614"/>
        <v>x</v>
      </c>
      <c r="FP125" s="112" t="str">
        <f t="shared" si="615"/>
        <v>x</v>
      </c>
      <c r="FQ125" s="112" t="str">
        <f t="shared" si="616"/>
        <v>x</v>
      </c>
      <c r="FR125" s="112" t="str">
        <f t="shared" si="617"/>
        <v>x</v>
      </c>
      <c r="FS125" s="112" t="str">
        <f t="shared" si="618"/>
        <v>x</v>
      </c>
      <c r="FT125" s="112" t="str">
        <f t="shared" si="619"/>
        <v>x</v>
      </c>
      <c r="FU125" s="112" t="str">
        <f t="shared" si="620"/>
        <v>x</v>
      </c>
      <c r="FV125" s="112" t="str">
        <f t="shared" si="621"/>
        <v>x</v>
      </c>
      <c r="FW125" s="111"/>
      <c r="FX125" s="112"/>
      <c r="FY125" s="112"/>
      <c r="FZ125" s="111"/>
      <c r="GA125" s="111"/>
      <c r="GB125" s="111"/>
      <c r="GC125" s="112" t="str">
        <f t="shared" si="622"/>
        <v>x</v>
      </c>
      <c r="GD125" s="111"/>
      <c r="GE125" s="111"/>
      <c r="GF125" s="111"/>
      <c r="GG125" s="112"/>
      <c r="GH125" s="111"/>
      <c r="GI125" s="111"/>
      <c r="GJ125" s="112" t="str">
        <f t="shared" si="623"/>
        <v>x</v>
      </c>
      <c r="GK125" s="111"/>
      <c r="GL125" s="112" t="str">
        <f t="shared" si="624"/>
        <v>x</v>
      </c>
      <c r="GM125" s="111"/>
      <c r="GN125" s="111"/>
      <c r="GO125" s="112" t="str">
        <f t="shared" si="625"/>
        <v>x</v>
      </c>
      <c r="GP125" s="112"/>
      <c r="GQ125" s="112" t="str">
        <f t="shared" si="626"/>
        <v>x</v>
      </c>
      <c r="GR125" s="112" t="str">
        <f t="shared" si="627"/>
        <v>x</v>
      </c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2" t="str">
        <f t="shared" si="628"/>
        <v>x</v>
      </c>
      <c r="HC125" s="112" t="str">
        <f t="shared" si="629"/>
        <v>x</v>
      </c>
      <c r="HD125" s="112" t="str">
        <f t="shared" si="630"/>
        <v>x</v>
      </c>
      <c r="HE125" s="112" t="str">
        <f t="shared" si="631"/>
        <v>x</v>
      </c>
      <c r="HF125" s="112" t="str">
        <f t="shared" si="632"/>
        <v>x</v>
      </c>
      <c r="HG125" s="112"/>
      <c r="HH125" s="112" t="str">
        <f t="shared" si="672"/>
        <v>x</v>
      </c>
      <c r="HI125" s="112"/>
      <c r="HJ125" s="112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2" t="str">
        <f t="shared" si="633"/>
        <v>x</v>
      </c>
      <c r="HY125" s="112" t="str">
        <f t="shared" si="634"/>
        <v>x</v>
      </c>
      <c r="HZ125" s="112" t="str">
        <f t="shared" si="635"/>
        <v>x</v>
      </c>
      <c r="IA125" s="111"/>
      <c r="IB125" s="111"/>
      <c r="IC125" s="111"/>
      <c r="ID125" s="111"/>
      <c r="IE125" s="111"/>
      <c r="IF125" s="111"/>
      <c r="IG125" s="111"/>
      <c r="IH125" s="112" t="str">
        <f t="shared" si="636"/>
        <v>x</v>
      </c>
      <c r="II125" s="111"/>
      <c r="IJ125" s="112" t="str">
        <f t="shared" si="637"/>
        <v>x</v>
      </c>
      <c r="IK125" s="112" t="str">
        <f t="shared" si="638"/>
        <v>x</v>
      </c>
      <c r="IL125" s="112" t="str">
        <f t="shared" si="639"/>
        <v>x</v>
      </c>
      <c r="IM125" s="112" t="str">
        <f t="shared" si="640"/>
        <v>x</v>
      </c>
      <c r="IN125" s="112"/>
      <c r="IO125" s="112"/>
      <c r="IP125" s="112" t="str">
        <f t="shared" si="641"/>
        <v>x</v>
      </c>
      <c r="IQ125" s="112"/>
      <c r="IR125" s="111"/>
      <c r="IS125" s="111"/>
      <c r="IT125" s="111"/>
      <c r="IU125" s="112" t="str">
        <f t="shared" si="642"/>
        <v>x</v>
      </c>
      <c r="IV125" s="112"/>
      <c r="IW125" s="112" t="str">
        <f t="shared" si="643"/>
        <v>x</v>
      </c>
      <c r="IX125" s="112" t="str">
        <f t="shared" si="644"/>
        <v>x</v>
      </c>
      <c r="IY125" s="111"/>
      <c r="IZ125" s="112" t="str">
        <f t="shared" si="645"/>
        <v>x</v>
      </c>
      <c r="JA125" s="111"/>
      <c r="JB125" s="112" t="str">
        <f t="shared" si="646"/>
        <v>x</v>
      </c>
      <c r="JC125" s="111"/>
      <c r="JD125" s="112"/>
      <c r="JE125" s="112"/>
      <c r="JF125" s="112"/>
      <c r="JG125" s="112"/>
      <c r="JH125" s="111"/>
      <c r="JI125" s="112" t="str">
        <f t="shared" si="673"/>
        <v>x</v>
      </c>
      <c r="JJ125" s="112" t="str">
        <f t="shared" si="674"/>
        <v>x</v>
      </c>
      <c r="JK125" s="112" t="str">
        <f t="shared" si="675"/>
        <v>x</v>
      </c>
      <c r="JL125" s="112" t="str">
        <f t="shared" si="647"/>
        <v>x</v>
      </c>
      <c r="JM125" s="112"/>
      <c r="JN125" s="112"/>
      <c r="JO125" s="112"/>
      <c r="JP125" s="112"/>
      <c r="JQ125" s="112" t="str">
        <f t="shared" si="648"/>
        <v>x</v>
      </c>
      <c r="JR125" s="112"/>
      <c r="JS125" s="112" t="str">
        <f t="shared" si="649"/>
        <v>x</v>
      </c>
      <c r="JT125" s="111"/>
      <c r="JU125" s="111"/>
      <c r="JV125" s="112"/>
      <c r="JW125" s="112"/>
      <c r="JX125" s="112"/>
      <c r="JY125" s="112"/>
      <c r="JZ125" s="112"/>
      <c r="KA125" s="112" t="str">
        <f t="shared" si="650"/>
        <v>x</v>
      </c>
      <c r="KB125" s="111"/>
      <c r="KC125" s="112" t="str">
        <f t="shared" si="651"/>
        <v>x</v>
      </c>
      <c r="KD125" s="112" t="str">
        <f t="shared" si="652"/>
        <v>x</v>
      </c>
      <c r="KE125" s="112" t="str">
        <f t="shared" si="653"/>
        <v>x</v>
      </c>
      <c r="KF125" s="112"/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  <c r="KY125" s="112"/>
      <c r="KZ125" s="112"/>
      <c r="LA125" s="112"/>
      <c r="LB125" s="111"/>
      <c r="LC125" s="112"/>
      <c r="LD125" s="112"/>
      <c r="LE125" s="112"/>
      <c r="LF125" s="112"/>
      <c r="LG125" s="112"/>
      <c r="LH125" s="112"/>
      <c r="LI125" s="112"/>
      <c r="LJ125" s="112"/>
      <c r="LK125" s="112"/>
      <c r="LL125" s="111"/>
      <c r="LM125" s="111"/>
      <c r="LN125" s="111"/>
      <c r="LO125" s="111"/>
      <c r="LP125" s="112"/>
      <c r="LQ125" s="111"/>
      <c r="LR125" s="112"/>
      <c r="LS125" s="112"/>
      <c r="LT125" s="111"/>
      <c r="LU125" s="111"/>
      <c r="LV125" s="111"/>
      <c r="LW125" s="111"/>
      <c r="LX125" s="111"/>
      <c r="LY125" s="111"/>
      <c r="LZ125" s="111"/>
      <c r="MA125" s="112"/>
      <c r="MB125" s="111"/>
      <c r="MC125" s="112" t="str">
        <f t="shared" si="654"/>
        <v>x</v>
      </c>
      <c r="MD125" s="111"/>
      <c r="ME125" s="112" t="str">
        <f t="shared" si="655"/>
        <v>x</v>
      </c>
      <c r="MF125" s="112" t="str">
        <f t="shared" si="656"/>
        <v>x</v>
      </c>
      <c r="MG125" s="112" t="str">
        <f t="shared" si="676"/>
        <v>x</v>
      </c>
      <c r="MH125" s="112" t="str">
        <f t="shared" si="657"/>
        <v>x</v>
      </c>
    </row>
    <row r="126" spans="1:346" x14ac:dyDescent="0.25">
      <c r="A126" s="110" t="s">
        <v>5</v>
      </c>
      <c r="B126" s="101" t="s">
        <v>68</v>
      </c>
      <c r="C126" s="102"/>
      <c r="D126" s="102"/>
      <c r="E126" s="102"/>
      <c r="F126" s="102"/>
      <c r="G126" s="102"/>
      <c r="H126" s="102"/>
      <c r="I126" s="102"/>
      <c r="J126" s="103"/>
      <c r="K126" s="111"/>
      <c r="L126" s="111"/>
      <c r="M126" s="111"/>
      <c r="N126" s="111"/>
      <c r="O126" s="112" t="str">
        <f t="shared" si="658"/>
        <v>x</v>
      </c>
      <c r="P126" s="111"/>
      <c r="Q126" s="111"/>
      <c r="R126" s="111"/>
      <c r="S126" s="111"/>
      <c r="T126" s="112" t="str">
        <f t="shared" si="560"/>
        <v>x</v>
      </c>
      <c r="U126" s="112"/>
      <c r="V126" s="112"/>
      <c r="W126" s="111"/>
      <c r="X126" s="112"/>
      <c r="Y126" s="112"/>
      <c r="Z126" s="112"/>
      <c r="AA126" s="112"/>
      <c r="AB126" s="112"/>
      <c r="AC126" s="112" t="str">
        <f t="shared" si="561"/>
        <v>x</v>
      </c>
      <c r="AD126" s="112"/>
      <c r="AE126" s="112" t="str">
        <f t="shared" si="659"/>
        <v>x</v>
      </c>
      <c r="AF126" s="112" t="str">
        <f t="shared" si="562"/>
        <v>x</v>
      </c>
      <c r="AG126" s="112" t="str">
        <f t="shared" si="563"/>
        <v>x</v>
      </c>
      <c r="AH126" s="111"/>
      <c r="AI126" s="111"/>
      <c r="AJ126" s="112" t="str">
        <f t="shared" si="564"/>
        <v>x</v>
      </c>
      <c r="AK126" s="112" t="str">
        <f t="shared" si="565"/>
        <v>x</v>
      </c>
      <c r="AL126" s="112"/>
      <c r="AM126" s="112" t="str">
        <f t="shared" si="660"/>
        <v>x</v>
      </c>
      <c r="AN126" s="112"/>
      <c r="AO126" s="112"/>
      <c r="AP126" s="112"/>
      <c r="AQ126" s="112"/>
      <c r="AR126" s="112"/>
      <c r="AS126" s="112"/>
      <c r="AT126" s="112"/>
      <c r="AU126" s="114" t="str">
        <f t="shared" si="566"/>
        <v>x</v>
      </c>
      <c r="AV126" s="114" t="str">
        <f t="shared" si="567"/>
        <v>x</v>
      </c>
      <c r="AW126" s="114" t="str">
        <f t="shared" si="568"/>
        <v>x</v>
      </c>
      <c r="AX126" s="111"/>
      <c r="AY126" s="111"/>
      <c r="AZ126" s="112" t="str">
        <f t="shared" si="569"/>
        <v>x</v>
      </c>
      <c r="BA126" s="112" t="str">
        <f t="shared" si="570"/>
        <v>x</v>
      </c>
      <c r="BB126" s="111"/>
      <c r="BC126" s="111"/>
      <c r="BD126" s="111"/>
      <c r="BE126" s="112" t="str">
        <f t="shared" si="571"/>
        <v>x</v>
      </c>
      <c r="BF126" s="111"/>
      <c r="BG126" s="112" t="str">
        <f t="shared" si="572"/>
        <v>x</v>
      </c>
      <c r="BH126" s="112" t="str">
        <f t="shared" si="661"/>
        <v>x</v>
      </c>
      <c r="BI126" s="112" t="str">
        <f t="shared" si="573"/>
        <v>x</v>
      </c>
      <c r="BJ126" s="111"/>
      <c r="BK126" s="112" t="str">
        <f t="shared" si="574"/>
        <v>x</v>
      </c>
      <c r="BL126" s="111"/>
      <c r="BM126" s="111"/>
      <c r="BN126" s="111"/>
      <c r="BO126" s="111"/>
      <c r="BP126" s="111"/>
      <c r="BQ126" s="111"/>
      <c r="BR126" s="112" t="str">
        <f t="shared" si="575"/>
        <v>x</v>
      </c>
      <c r="BS126" s="112"/>
      <c r="BT126" s="111"/>
      <c r="BU126" s="112" t="str">
        <f t="shared" si="576"/>
        <v>x</v>
      </c>
      <c r="BV126" s="112" t="str">
        <f t="shared" si="577"/>
        <v>x</v>
      </c>
      <c r="BW126" s="112"/>
      <c r="BX126" s="112"/>
      <c r="BY126" s="112" t="str">
        <f t="shared" si="662"/>
        <v>x</v>
      </c>
      <c r="BZ126" s="112" t="str">
        <f t="shared" si="578"/>
        <v>x</v>
      </c>
      <c r="CA126" s="112" t="str">
        <f t="shared" si="579"/>
        <v>x</v>
      </c>
      <c r="CB126" s="112" t="str">
        <f t="shared" si="580"/>
        <v>x</v>
      </c>
      <c r="CC126" s="112"/>
      <c r="CD126" s="112"/>
      <c r="CE126" s="111"/>
      <c r="CF126" s="111"/>
      <c r="CG126" s="112" t="str">
        <f t="shared" si="663"/>
        <v>x</v>
      </c>
      <c r="CH126" s="112" t="str">
        <f t="shared" si="581"/>
        <v>x</v>
      </c>
      <c r="CI126" s="112" t="str">
        <f t="shared" si="582"/>
        <v>x</v>
      </c>
      <c r="CJ126" s="112" t="str">
        <f t="shared" si="583"/>
        <v>x</v>
      </c>
      <c r="CK126" s="112"/>
      <c r="CL126" s="112"/>
      <c r="CM126" s="112"/>
      <c r="CN126" s="112"/>
      <c r="CO126" s="112" t="str">
        <f t="shared" si="664"/>
        <v>x</v>
      </c>
      <c r="CP126" s="112"/>
      <c r="CQ126" s="112" t="str">
        <f t="shared" si="665"/>
        <v>x</v>
      </c>
      <c r="CR126" s="112" t="str">
        <f t="shared" si="584"/>
        <v>x</v>
      </c>
      <c r="CS126" s="112"/>
      <c r="CT126" s="112" t="str">
        <f t="shared" si="666"/>
        <v>x</v>
      </c>
      <c r="CU126" s="112"/>
      <c r="CV126" s="112"/>
      <c r="CW126" s="112"/>
      <c r="CX126" s="112" t="str">
        <f t="shared" si="585"/>
        <v>x</v>
      </c>
      <c r="CY126" s="112"/>
      <c r="CZ126" s="112"/>
      <c r="DA126" s="112"/>
      <c r="DB126" s="115" t="str">
        <f t="shared" si="667"/>
        <v>x</v>
      </c>
      <c r="DC126" s="112"/>
      <c r="DD126" s="112"/>
      <c r="DE126" s="112" t="str">
        <f t="shared" si="586"/>
        <v>x</v>
      </c>
      <c r="DF126" s="115" t="str">
        <f t="shared" si="587"/>
        <v>x</v>
      </c>
      <c r="DG126" s="112" t="str">
        <f t="shared" si="588"/>
        <v>x</v>
      </c>
      <c r="DH126" s="112" t="str">
        <f t="shared" si="589"/>
        <v>x</v>
      </c>
      <c r="DI126" s="112"/>
      <c r="DJ126" s="112"/>
      <c r="DK126" s="112"/>
      <c r="DL126" s="112"/>
      <c r="DM126" s="112"/>
      <c r="DN126" s="112"/>
      <c r="DO126" s="111"/>
      <c r="DP126" s="111"/>
      <c r="DQ126" s="112" t="str">
        <f t="shared" si="590"/>
        <v>x</v>
      </c>
      <c r="DR126" s="112" t="str">
        <f t="shared" si="668"/>
        <v>x</v>
      </c>
      <c r="DS126" s="112" t="str">
        <f t="shared" si="669"/>
        <v>x</v>
      </c>
      <c r="DT126" s="112"/>
      <c r="DU126" s="112" t="str">
        <f t="shared" si="591"/>
        <v>x</v>
      </c>
      <c r="DV126" s="111"/>
      <c r="DW126" s="112" t="str">
        <f t="shared" si="670"/>
        <v>x</v>
      </c>
      <c r="DX126" s="111"/>
      <c r="DY126" s="112" t="str">
        <f t="shared" si="592"/>
        <v>x</v>
      </c>
      <c r="DZ126" s="112" t="str">
        <f t="shared" si="593"/>
        <v>x</v>
      </c>
      <c r="EA126" s="112" t="str">
        <f t="shared" si="594"/>
        <v>x</v>
      </c>
      <c r="EB126" s="112" t="str">
        <f t="shared" si="595"/>
        <v>x</v>
      </c>
      <c r="EC126" s="111"/>
      <c r="ED126" s="111"/>
      <c r="EE126" s="111"/>
      <c r="EF126" s="111"/>
      <c r="EG126" s="111"/>
      <c r="EH126" s="111"/>
      <c r="EI126" s="112"/>
      <c r="EJ126" s="112" t="str">
        <f t="shared" si="596"/>
        <v>x</v>
      </c>
      <c r="EK126" s="111"/>
      <c r="EL126" s="112" t="str">
        <f t="shared" si="597"/>
        <v>x</v>
      </c>
      <c r="EM126" s="112" t="str">
        <f t="shared" si="598"/>
        <v>x</v>
      </c>
      <c r="EN126" s="112"/>
      <c r="EO126" s="117" t="str">
        <f t="shared" si="599"/>
        <v>x</v>
      </c>
      <c r="EP126" s="117" t="str">
        <f t="shared" si="600"/>
        <v>x</v>
      </c>
      <c r="EQ126" s="112" t="str">
        <f t="shared" si="601"/>
        <v>x</v>
      </c>
      <c r="ER126" s="111"/>
      <c r="ES126" s="111"/>
      <c r="ET126" s="112" t="str">
        <f t="shared" si="602"/>
        <v>x</v>
      </c>
      <c r="EU126" s="112" t="str">
        <f t="shared" si="603"/>
        <v>x</v>
      </c>
      <c r="EV126" s="112" t="str">
        <f t="shared" si="604"/>
        <v>x</v>
      </c>
      <c r="EW126" s="112" t="str">
        <f t="shared" si="605"/>
        <v>x</v>
      </c>
      <c r="EX126" s="111"/>
      <c r="EY126" s="112" t="str">
        <f t="shared" si="606"/>
        <v>x</v>
      </c>
      <c r="EZ126" s="112"/>
      <c r="FA126" s="112" t="str">
        <f t="shared" si="607"/>
        <v>x</v>
      </c>
      <c r="FB126" s="111"/>
      <c r="FC126" s="112" t="str">
        <f t="shared" si="608"/>
        <v>x</v>
      </c>
      <c r="FD126" s="112" t="str">
        <f t="shared" si="609"/>
        <v>x</v>
      </c>
      <c r="FE126" s="111"/>
      <c r="FF126" s="112" t="str">
        <f t="shared" si="610"/>
        <v>x</v>
      </c>
      <c r="FG126" s="111"/>
      <c r="FH126" s="111"/>
      <c r="FI126" s="112"/>
      <c r="FJ126" s="112" t="str">
        <f t="shared" si="611"/>
        <v>x</v>
      </c>
      <c r="FK126" s="112" t="str">
        <f t="shared" si="612"/>
        <v>x</v>
      </c>
      <c r="FL126" s="112"/>
      <c r="FM126" s="112" t="str">
        <f t="shared" si="613"/>
        <v>x</v>
      </c>
      <c r="FN126" s="112" t="str">
        <f t="shared" si="671"/>
        <v>x</v>
      </c>
      <c r="FO126" s="112" t="str">
        <f t="shared" si="614"/>
        <v>x</v>
      </c>
      <c r="FP126" s="112" t="str">
        <f t="shared" si="615"/>
        <v>x</v>
      </c>
      <c r="FQ126" s="112" t="str">
        <f t="shared" si="616"/>
        <v>x</v>
      </c>
      <c r="FR126" s="112" t="str">
        <f t="shared" si="617"/>
        <v>x</v>
      </c>
      <c r="FS126" s="112" t="str">
        <f t="shared" si="618"/>
        <v>x</v>
      </c>
      <c r="FT126" s="112" t="str">
        <f t="shared" si="619"/>
        <v>x</v>
      </c>
      <c r="FU126" s="112" t="str">
        <f t="shared" si="620"/>
        <v>x</v>
      </c>
      <c r="FV126" s="112" t="str">
        <f t="shared" si="621"/>
        <v>x</v>
      </c>
      <c r="FW126" s="111"/>
      <c r="FX126" s="112"/>
      <c r="FY126" s="112"/>
      <c r="FZ126" s="111"/>
      <c r="GA126" s="111"/>
      <c r="GB126" s="111"/>
      <c r="GC126" s="112" t="str">
        <f t="shared" si="622"/>
        <v>x</v>
      </c>
      <c r="GD126" s="111"/>
      <c r="GE126" s="111"/>
      <c r="GF126" s="111"/>
      <c r="GG126" s="112"/>
      <c r="GH126" s="111"/>
      <c r="GI126" s="111"/>
      <c r="GJ126" s="112" t="str">
        <f t="shared" si="623"/>
        <v>x</v>
      </c>
      <c r="GK126" s="111"/>
      <c r="GL126" s="112" t="str">
        <f t="shared" si="624"/>
        <v>x</v>
      </c>
      <c r="GM126" s="111"/>
      <c r="GN126" s="111"/>
      <c r="GO126" s="112" t="str">
        <f t="shared" si="625"/>
        <v>x</v>
      </c>
      <c r="GP126" s="112"/>
      <c r="GQ126" s="112" t="str">
        <f t="shared" si="626"/>
        <v>x</v>
      </c>
      <c r="GR126" s="112" t="str">
        <f t="shared" si="627"/>
        <v>x</v>
      </c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2" t="str">
        <f t="shared" si="628"/>
        <v>x</v>
      </c>
      <c r="HC126" s="112" t="str">
        <f t="shared" si="629"/>
        <v>x</v>
      </c>
      <c r="HD126" s="112" t="str">
        <f t="shared" si="630"/>
        <v>x</v>
      </c>
      <c r="HE126" s="112" t="str">
        <f t="shared" si="631"/>
        <v>x</v>
      </c>
      <c r="HF126" s="112" t="str">
        <f t="shared" si="632"/>
        <v>x</v>
      </c>
      <c r="HG126" s="112"/>
      <c r="HH126" s="112" t="str">
        <f t="shared" si="672"/>
        <v>x</v>
      </c>
      <c r="HI126" s="112"/>
      <c r="HJ126" s="112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2" t="str">
        <f t="shared" si="633"/>
        <v>x</v>
      </c>
      <c r="HY126" s="112" t="str">
        <f t="shared" si="634"/>
        <v>x</v>
      </c>
      <c r="HZ126" s="112" t="str">
        <f t="shared" si="635"/>
        <v>x</v>
      </c>
      <c r="IA126" s="111"/>
      <c r="IB126" s="111"/>
      <c r="IC126" s="111"/>
      <c r="ID126" s="111"/>
      <c r="IE126" s="111"/>
      <c r="IF126" s="111"/>
      <c r="IG126" s="111"/>
      <c r="IH126" s="112" t="str">
        <f t="shared" si="636"/>
        <v>x</v>
      </c>
      <c r="II126" s="111"/>
      <c r="IJ126" s="112" t="str">
        <f t="shared" si="637"/>
        <v>x</v>
      </c>
      <c r="IK126" s="112" t="str">
        <f t="shared" si="638"/>
        <v>x</v>
      </c>
      <c r="IL126" s="112" t="str">
        <f t="shared" si="639"/>
        <v>x</v>
      </c>
      <c r="IM126" s="112" t="str">
        <f t="shared" si="640"/>
        <v>x</v>
      </c>
      <c r="IN126" s="112"/>
      <c r="IO126" s="112"/>
      <c r="IP126" s="112" t="str">
        <f t="shared" si="641"/>
        <v>x</v>
      </c>
      <c r="IQ126" s="112"/>
      <c r="IR126" s="111"/>
      <c r="IS126" s="111"/>
      <c r="IT126" s="111"/>
      <c r="IU126" s="112" t="str">
        <f t="shared" si="642"/>
        <v>x</v>
      </c>
      <c r="IV126" s="112"/>
      <c r="IW126" s="112" t="str">
        <f t="shared" si="643"/>
        <v>x</v>
      </c>
      <c r="IX126" s="112" t="str">
        <f t="shared" si="644"/>
        <v>x</v>
      </c>
      <c r="IY126" s="111"/>
      <c r="IZ126" s="112" t="str">
        <f t="shared" si="645"/>
        <v>x</v>
      </c>
      <c r="JA126" s="111"/>
      <c r="JB126" s="112" t="str">
        <f t="shared" si="646"/>
        <v>x</v>
      </c>
      <c r="JC126" s="111"/>
      <c r="JD126" s="112"/>
      <c r="JE126" s="112"/>
      <c r="JF126" s="112"/>
      <c r="JG126" s="112"/>
      <c r="JH126" s="111"/>
      <c r="JI126" s="112" t="str">
        <f t="shared" si="673"/>
        <v>x</v>
      </c>
      <c r="JJ126" s="112" t="str">
        <f t="shared" si="674"/>
        <v>x</v>
      </c>
      <c r="JK126" s="112" t="str">
        <f t="shared" si="675"/>
        <v>x</v>
      </c>
      <c r="JL126" s="112" t="str">
        <f t="shared" si="647"/>
        <v>x</v>
      </c>
      <c r="JM126" s="112"/>
      <c r="JN126" s="112"/>
      <c r="JO126" s="112"/>
      <c r="JP126" s="112"/>
      <c r="JQ126" s="112" t="str">
        <f t="shared" si="648"/>
        <v>x</v>
      </c>
      <c r="JR126" s="112"/>
      <c r="JS126" s="112" t="str">
        <f t="shared" si="649"/>
        <v>x</v>
      </c>
      <c r="JT126" s="111"/>
      <c r="JU126" s="111"/>
      <c r="JV126" s="112"/>
      <c r="JW126" s="112"/>
      <c r="JX126" s="112"/>
      <c r="JY126" s="112"/>
      <c r="JZ126" s="112"/>
      <c r="KA126" s="112" t="str">
        <f t="shared" si="650"/>
        <v>x</v>
      </c>
      <c r="KB126" s="111"/>
      <c r="KC126" s="112" t="str">
        <f t="shared" si="651"/>
        <v>x</v>
      </c>
      <c r="KD126" s="112" t="str">
        <f t="shared" si="652"/>
        <v>x</v>
      </c>
      <c r="KE126" s="112" t="str">
        <f t="shared" si="653"/>
        <v>x</v>
      </c>
      <c r="KF126" s="112"/>
      <c r="KG126" s="112"/>
      <c r="KH126" s="112"/>
      <c r="KI126" s="112"/>
      <c r="KJ126" s="112"/>
      <c r="KK126" s="112"/>
      <c r="KL126" s="112"/>
      <c r="KM126" s="112"/>
      <c r="KN126" s="112"/>
      <c r="KO126" s="112"/>
      <c r="KP126" s="112"/>
      <c r="KQ126" s="112"/>
      <c r="KR126" s="112"/>
      <c r="KS126" s="112"/>
      <c r="KT126" s="112"/>
      <c r="KU126" s="112"/>
      <c r="KV126" s="112"/>
      <c r="KW126" s="112"/>
      <c r="KX126" s="112"/>
      <c r="KY126" s="112"/>
      <c r="KZ126" s="112"/>
      <c r="LA126" s="112"/>
      <c r="LB126" s="111"/>
      <c r="LC126" s="112"/>
      <c r="LD126" s="112"/>
      <c r="LE126" s="112"/>
      <c r="LF126" s="112"/>
      <c r="LG126" s="112"/>
      <c r="LH126" s="112"/>
      <c r="LI126" s="112"/>
      <c r="LJ126" s="112"/>
      <c r="LK126" s="112"/>
      <c r="LL126" s="111"/>
      <c r="LM126" s="111"/>
      <c r="LN126" s="111"/>
      <c r="LO126" s="111"/>
      <c r="LP126" s="112"/>
      <c r="LQ126" s="111"/>
      <c r="LR126" s="112"/>
      <c r="LS126" s="112"/>
      <c r="LT126" s="111"/>
      <c r="LU126" s="111"/>
      <c r="LV126" s="111"/>
      <c r="LW126" s="111"/>
      <c r="LX126" s="111"/>
      <c r="LY126" s="111"/>
      <c r="LZ126" s="111"/>
      <c r="MA126" s="112"/>
      <c r="MB126" s="111"/>
      <c r="MC126" s="112" t="str">
        <f t="shared" si="654"/>
        <v>x</v>
      </c>
      <c r="MD126" s="111"/>
      <c r="ME126" s="112" t="str">
        <f t="shared" si="655"/>
        <v>x</v>
      </c>
      <c r="MF126" s="112" t="str">
        <f t="shared" si="656"/>
        <v>x</v>
      </c>
      <c r="MG126" s="112" t="str">
        <f t="shared" si="676"/>
        <v>x</v>
      </c>
      <c r="MH126" s="112" t="str">
        <f t="shared" si="657"/>
        <v>x</v>
      </c>
    </row>
    <row r="127" spans="1:346" x14ac:dyDescent="0.25">
      <c r="A127" s="101" t="s">
        <v>487</v>
      </c>
      <c r="B127" s="102"/>
      <c r="C127" s="102"/>
      <c r="D127" s="102"/>
      <c r="E127" s="102"/>
      <c r="F127" s="102"/>
      <c r="G127" s="102"/>
      <c r="H127" s="102"/>
      <c r="I127" s="102"/>
      <c r="J127" s="103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6"/>
      <c r="AV127" s="106"/>
      <c r="AW127" s="106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9"/>
      <c r="EP127" s="109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5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4"/>
      <c r="JK127" s="104"/>
      <c r="JL127" s="104"/>
      <c r="JM127" s="104"/>
      <c r="JN127" s="104"/>
      <c r="JO127" s="104"/>
      <c r="JP127" s="104"/>
      <c r="JQ127" s="104"/>
      <c r="JR127" s="104"/>
      <c r="JS127" s="104"/>
      <c r="JT127" s="104"/>
      <c r="JU127" s="104"/>
      <c r="JV127" s="104"/>
      <c r="JW127" s="104"/>
      <c r="JX127" s="104"/>
      <c r="JY127" s="104"/>
      <c r="JZ127" s="104"/>
      <c r="KA127" s="104"/>
      <c r="KB127" s="104"/>
      <c r="KC127" s="104"/>
      <c r="KD127" s="104"/>
      <c r="KE127" s="104"/>
      <c r="KF127" s="104"/>
      <c r="KG127" s="104"/>
      <c r="KH127" s="104"/>
      <c r="KI127" s="104"/>
      <c r="KJ127" s="104"/>
      <c r="KK127" s="104"/>
      <c r="KL127" s="104"/>
      <c r="KM127" s="104"/>
      <c r="KN127" s="104"/>
      <c r="KO127" s="104"/>
      <c r="KP127" s="104"/>
      <c r="KQ127" s="104"/>
      <c r="KR127" s="104"/>
      <c r="KS127" s="104"/>
      <c r="KT127" s="104"/>
      <c r="KU127" s="104"/>
      <c r="KV127" s="104"/>
      <c r="KW127" s="104"/>
      <c r="KX127" s="104"/>
      <c r="KY127" s="104"/>
      <c r="KZ127" s="104"/>
      <c r="LA127" s="104"/>
      <c r="LB127" s="104"/>
      <c r="LC127" s="104"/>
      <c r="LD127" s="104"/>
      <c r="LE127" s="104"/>
      <c r="LF127" s="104"/>
      <c r="LG127" s="104"/>
      <c r="LH127" s="104"/>
      <c r="LI127" s="104"/>
      <c r="LJ127" s="104"/>
      <c r="LK127" s="104"/>
      <c r="LL127" s="104"/>
      <c r="LM127" s="104"/>
      <c r="LN127" s="104"/>
      <c r="LO127" s="104"/>
      <c r="LP127" s="104"/>
      <c r="LQ127" s="104"/>
      <c r="LR127" s="104"/>
      <c r="LS127" s="104"/>
      <c r="LT127" s="104"/>
      <c r="LU127" s="104"/>
      <c r="LV127" s="104"/>
      <c r="LW127" s="104"/>
      <c r="LX127" s="104"/>
      <c r="LY127" s="104"/>
      <c r="LZ127" s="104"/>
      <c r="MA127" s="104"/>
      <c r="MB127" s="104"/>
      <c r="MC127" s="104"/>
      <c r="MD127" s="104"/>
      <c r="ME127" s="104"/>
      <c r="MF127" s="104"/>
      <c r="MG127" s="104"/>
      <c r="MH127" s="104"/>
    </row>
    <row r="128" spans="1:346" x14ac:dyDescent="0.25">
      <c r="A128" s="110" t="s">
        <v>487</v>
      </c>
      <c r="B128" s="101" t="s">
        <v>83</v>
      </c>
      <c r="C128" s="102"/>
      <c r="D128" s="102"/>
      <c r="E128" s="102"/>
      <c r="F128" s="102"/>
      <c r="G128" s="102"/>
      <c r="H128" s="102"/>
      <c r="I128" s="102"/>
      <c r="J128" s="103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2"/>
      <c r="AO128" s="112"/>
      <c r="AP128" s="112"/>
      <c r="AQ128" s="112"/>
      <c r="AR128" s="112"/>
      <c r="AS128" s="112"/>
      <c r="AT128" s="112"/>
      <c r="AU128" s="113"/>
      <c r="AV128" s="114" t="str">
        <f>HYPERLINK("http://sab.landtag.sachsen.de/dokumente/landtagskurier/SAB_DeutschLernen_DinA5_WEB141115.pdf","x")</f>
        <v>x</v>
      </c>
      <c r="AW128" s="114" t="str">
        <f>HYPERLINK("http://sab.landtag.sachsen.de/dokumente/landtagskurier/SAB_PL_Lernposter_WEB091115.pdf","x")</f>
        <v>x</v>
      </c>
      <c r="AX128" s="111"/>
      <c r="AY128" s="111"/>
      <c r="AZ12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28" s="112" t="str">
        <f>HYPERLINK("http://wie-kann-ich-helfen.info/WoerterbuchAnalphabet_innen_%28c%29_Dagmar_Schmeelcke.pdf","x")</f>
        <v>x</v>
      </c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2" t="str">
        <f>HYPERLINK("http://www.goethe.de/lrn/prj/wnd/deu/lti/deindex.htm#13322010","x")</f>
        <v>x</v>
      </c>
      <c r="BS128" s="112"/>
      <c r="BT128" s="111"/>
      <c r="BU128" s="112" t="str">
        <f>HYPERLINK("https://s3-eu-west-1.amazonaws.com/lingolia/download/lingolia_daf.pdf","x")</f>
        <v>x</v>
      </c>
      <c r="BV128" s="112"/>
      <c r="BW128" s="112"/>
      <c r="BX128" s="112"/>
      <c r="BY128" s="112"/>
      <c r="BZ128" s="112" t="str">
        <f>HYPERLINK("http://www.hueber.de/shared/uebungen/schritte-plus","x")</f>
        <v>x</v>
      </c>
      <c r="CA128" s="112" t="str">
        <f>HYPERLINK("https://www.hueber.de/shared/uebungen/menschen-hier/ab/a1-1/menu.html","x")</f>
        <v>x</v>
      </c>
      <c r="CB128" s="112" t="str">
        <f>HYPERLINK("http://www.goethe-verlag.com/DE/","x")</f>
        <v>x</v>
      </c>
      <c r="CC128" s="112"/>
      <c r="CD128" s="112"/>
      <c r="CE128" s="111"/>
      <c r="CF128" s="111"/>
      <c r="CG128" s="111"/>
      <c r="CH128" s="111"/>
      <c r="CI128" s="112"/>
      <c r="CJ128" s="112" t="str">
        <f>HYPERLINK("http://www.e-migrantinnen.de/index.php?de_wichtige-links","x")</f>
        <v>x</v>
      </c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5"/>
      <c r="DC128" s="112"/>
      <c r="DD128" s="112"/>
      <c r="DE128" s="112" t="str">
        <f>HYPERLINK("http://fi-lohmar-siegburg.de/data/documents/130-37_Inklusion_im_Anfangsunterricht_-_Poster_mit_Situationsbildern.pdf","x")</f>
        <v>x</v>
      </c>
      <c r="DF128" s="115" t="str">
        <f>HYPERLINK("http://s3-eu-west-1.amazonaws.com/lingolia/calendar/2016/lingolia_2016_de.pdf","x")</f>
        <v>x</v>
      </c>
      <c r="DG128" s="112" t="str">
        <f>HYPERLINK("http://www.bibliomedia.ch/de/angebote/img/Wimmelbild.jpg","x")</f>
        <v>x</v>
      </c>
      <c r="DH128" s="112" t="str">
        <f t="shared" ref="DH128" si="677">HYPERLINK("http://www.bibliomedia.ch/de/angebote/dokumente/Wimmelbild_Fehler.jpg","x")</f>
        <v>x</v>
      </c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2"/>
      <c r="DU128" s="111"/>
      <c r="DV128" s="111"/>
      <c r="DW128" s="111"/>
      <c r="DX128" s="111"/>
      <c r="DY128" s="111"/>
      <c r="DZ128" s="111"/>
      <c r="EA128" s="112"/>
      <c r="EB128" s="112"/>
      <c r="EC128" s="111"/>
      <c r="ED128" s="111"/>
      <c r="EE128" s="111"/>
      <c r="EF128" s="111"/>
      <c r="EG128" s="111"/>
      <c r="EH128" s="111"/>
      <c r="EI128" s="112"/>
      <c r="EJ128" s="112"/>
      <c r="EK128" s="111"/>
      <c r="EL128" s="112" t="str">
        <f>HYPERLINK("http://www.kvs-sachsen.de/fileadmin/img/Mitglieder/Asylbewerber/Allg-Informationen/Anlage_1_Georgisch_LEK.pdf","x")</f>
        <v>x</v>
      </c>
      <c r="EM128" s="112"/>
      <c r="EN128" s="111"/>
      <c r="EO128" s="117"/>
      <c r="EP128" s="118"/>
      <c r="EQ128" s="112" t="str">
        <f>HYPERLINK("http://www.kvs-sachsen.de/fileadmin/img/Mitglieder/Asylbewerber/Allg-Informationen/Anlagen_2-1_2-2_Georgisch_LEK.pdf","x")</f>
        <v>x</v>
      </c>
      <c r="ER128" s="111"/>
      <c r="ES128" s="111"/>
      <c r="ET128" s="111"/>
      <c r="EU128" s="111"/>
      <c r="EV128" s="112" t="str">
        <f t="shared" ref="EV128" si="678">HYPERLINK("http://www.lak-rlp.de/fileadmin/redakteure/pdf/download/Piktogramme_Dosieretiketten_AoG.pdf","x")</f>
        <v>x</v>
      </c>
      <c r="EW128" s="111"/>
      <c r="EX128" s="111"/>
      <c r="EY128" s="111"/>
      <c r="EZ128" s="111"/>
      <c r="FA128" s="111"/>
      <c r="FB128" s="111"/>
      <c r="FC128" s="112" t="str">
        <f>HYPERLINK("http://mige.ix-tech.de/index.php?id=241","x")</f>
        <v>x</v>
      </c>
      <c r="FD128" s="112"/>
      <c r="FE128" s="111"/>
      <c r="FF128" s="111"/>
      <c r="FG128" s="111"/>
      <c r="FH128" s="111"/>
      <c r="FI128" s="112"/>
      <c r="FJ128" s="112"/>
      <c r="FK128" s="111"/>
      <c r="FL128" s="111"/>
      <c r="FM128" s="112"/>
      <c r="FN128" s="112"/>
      <c r="FO128" s="112"/>
      <c r="FP128" s="111"/>
      <c r="FQ128" s="112"/>
      <c r="FR128" s="112"/>
      <c r="FS128" s="112"/>
      <c r="FT128" s="112"/>
      <c r="FU128" s="112"/>
      <c r="FV128" s="112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2"/>
      <c r="GH128" s="111"/>
      <c r="GI128" s="111"/>
      <c r="GJ128" s="111"/>
      <c r="GK128" s="111"/>
      <c r="GL128" s="112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2" t="str">
        <f t="shared" ref="HB128" si="679">HYPERLINK("https://www.zahnaerzte-wl.de/images/_PDF-suche/KZV_ZÄK/piktogrammheft.pdf","x")</f>
        <v>x</v>
      </c>
      <c r="HC128" s="111"/>
      <c r="HD128" s="111"/>
      <c r="HE128" s="111"/>
      <c r="HF128" s="111"/>
      <c r="HG128" s="111"/>
      <c r="HH128" s="111"/>
      <c r="HI128" s="111"/>
      <c r="HJ128" s="112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2" t="str">
        <f>HYPERLINK("http://www.selfhelpfortrauma.org/","x")</f>
        <v>x</v>
      </c>
      <c r="HY128" s="112" t="str">
        <f>HYPERLINK("http://peacefulheart.se/wp-content/uploads/2014/12/Resolving-Yesterday-20141201-Self-Tapping.pdf","x")</f>
        <v>x</v>
      </c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2"/>
      <c r="IK128" s="111"/>
      <c r="IL128" s="111"/>
      <c r="IM128" s="111"/>
      <c r="IN128" s="111"/>
      <c r="IO128" s="111"/>
      <c r="IP128" s="112"/>
      <c r="IQ128" s="112"/>
      <c r="IR128" s="111"/>
      <c r="IS128" s="111"/>
      <c r="IT128" s="111"/>
      <c r="IU128" s="112"/>
      <c r="IV128" s="112"/>
      <c r="IW128" s="112"/>
      <c r="IX128" s="112"/>
      <c r="IY128" s="111"/>
      <c r="IZ128" s="111"/>
      <c r="JA128" s="111"/>
      <c r="JB128" s="112"/>
      <c r="JC128" s="111"/>
      <c r="JD128" s="112"/>
      <c r="JE128" s="112"/>
      <c r="JF128" s="112"/>
      <c r="JG128" s="112"/>
      <c r="JH128" s="111"/>
      <c r="JI128" s="112"/>
      <c r="JJ128" s="112"/>
      <c r="JK128" s="112"/>
      <c r="JL128" s="112"/>
      <c r="JM128" s="112"/>
      <c r="JN128" s="112"/>
      <c r="JO128" s="112"/>
      <c r="JP128" s="112"/>
      <c r="JQ128" s="112"/>
      <c r="JR128" s="112"/>
      <c r="JS128" s="112"/>
      <c r="JT128" s="111"/>
      <c r="JU128" s="111"/>
      <c r="JV128" s="112"/>
      <c r="JW128" s="112"/>
      <c r="JX128" s="111"/>
      <c r="JY128" s="111"/>
      <c r="JZ128" s="111"/>
      <c r="KA128" s="111"/>
      <c r="KB128" s="111"/>
      <c r="KC128" s="111"/>
      <c r="KD128" s="111"/>
      <c r="KE128" s="112"/>
      <c r="KF128" s="111"/>
      <c r="KG128" s="111"/>
      <c r="KH128" s="111"/>
      <c r="KI128" s="111"/>
      <c r="KJ128" s="111"/>
      <c r="KK128" s="111"/>
      <c r="KL128" s="111"/>
      <c r="KM128" s="111"/>
      <c r="KN128" s="111"/>
      <c r="KO128" s="111"/>
      <c r="KP128" s="111"/>
      <c r="KQ128" s="111"/>
      <c r="KR128" s="111"/>
      <c r="KS128" s="111"/>
      <c r="KT128" s="111"/>
      <c r="KU128" s="111"/>
      <c r="KV128" s="111"/>
      <c r="KW128" s="111"/>
      <c r="KX128" s="111"/>
      <c r="KY128" s="111"/>
      <c r="KZ128" s="111"/>
      <c r="LA128" s="111"/>
      <c r="LB128" s="111"/>
      <c r="LC128" s="111"/>
      <c r="LD128" s="111"/>
      <c r="LE128" s="111"/>
      <c r="LF128" s="111"/>
      <c r="LG128" s="111"/>
      <c r="LH128" s="111"/>
      <c r="LI128" s="111"/>
      <c r="LJ128" s="111"/>
      <c r="LK128" s="111"/>
      <c r="LL128" s="111"/>
      <c r="LM128" s="111"/>
      <c r="LN128" s="111"/>
      <c r="LO128" s="111"/>
      <c r="LP128" s="111"/>
      <c r="LQ128" s="111"/>
      <c r="LR128" s="111"/>
      <c r="LS128" s="111"/>
      <c r="LT128" s="111"/>
      <c r="LU128" s="111"/>
      <c r="LV128" s="111"/>
      <c r="LW128" s="111"/>
      <c r="LX128" s="111"/>
      <c r="LY128" s="111"/>
      <c r="LZ128" s="111"/>
      <c r="MA128" s="111"/>
      <c r="MB128" s="111"/>
      <c r="MC128" s="111"/>
      <c r="MD128" s="111"/>
      <c r="ME128" s="111"/>
      <c r="MF128" s="111"/>
      <c r="MG128" s="111"/>
      <c r="MH128" s="111"/>
    </row>
    <row r="129" spans="1:346" x14ac:dyDescent="0.25">
      <c r="A129" s="101" t="s">
        <v>106</v>
      </c>
      <c r="B129" s="102"/>
      <c r="C129" s="102"/>
      <c r="D129" s="102"/>
      <c r="E129" s="102"/>
      <c r="F129" s="102"/>
      <c r="G129" s="102"/>
      <c r="H129" s="102"/>
      <c r="I129" s="102"/>
      <c r="J129" s="103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6"/>
      <c r="AV129" s="106"/>
      <c r="AW129" s="106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9"/>
      <c r="EP129" s="109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5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4"/>
      <c r="JJ129" s="104"/>
      <c r="JK129" s="104"/>
      <c r="JL129" s="104"/>
      <c r="JM129" s="104"/>
      <c r="JN129" s="104"/>
      <c r="JO129" s="104"/>
      <c r="JP129" s="104"/>
      <c r="JQ129" s="104"/>
      <c r="JR129" s="104"/>
      <c r="JS129" s="104"/>
      <c r="JT129" s="104"/>
      <c r="JU129" s="104"/>
      <c r="JV129" s="104"/>
      <c r="JW129" s="104"/>
      <c r="JX129" s="104"/>
      <c r="JY129" s="104"/>
      <c r="JZ129" s="104"/>
      <c r="KA129" s="104"/>
      <c r="KB129" s="104"/>
      <c r="KC129" s="104"/>
      <c r="KD129" s="104"/>
      <c r="KE129" s="104"/>
      <c r="KF129" s="104"/>
      <c r="KG129" s="104"/>
      <c r="KH129" s="104"/>
      <c r="KI129" s="104"/>
      <c r="KJ129" s="104"/>
      <c r="KK129" s="104"/>
      <c r="KL129" s="104"/>
      <c r="KM129" s="104"/>
      <c r="KN129" s="104"/>
      <c r="KO129" s="104"/>
      <c r="KP129" s="104"/>
      <c r="KQ129" s="104"/>
      <c r="KR129" s="104"/>
      <c r="KS129" s="104"/>
      <c r="KT129" s="104"/>
      <c r="KU129" s="104"/>
      <c r="KV129" s="104"/>
      <c r="KW129" s="104"/>
      <c r="KX129" s="104"/>
      <c r="KY129" s="104"/>
      <c r="KZ129" s="104"/>
      <c r="LA129" s="104"/>
      <c r="LB129" s="104"/>
      <c r="LC129" s="104"/>
      <c r="LD129" s="104"/>
      <c r="LE129" s="104"/>
      <c r="LF129" s="104"/>
      <c r="LG129" s="104"/>
      <c r="LH129" s="104"/>
      <c r="LI129" s="104"/>
      <c r="LJ129" s="104"/>
      <c r="LK129" s="104"/>
      <c r="LL129" s="104"/>
      <c r="LM129" s="104"/>
      <c r="LN129" s="104"/>
      <c r="LO129" s="104"/>
      <c r="LP129" s="104"/>
      <c r="LQ129" s="104"/>
      <c r="LR129" s="104"/>
      <c r="LS129" s="104"/>
      <c r="LT129" s="104"/>
      <c r="LU129" s="104"/>
      <c r="LV129" s="104"/>
      <c r="LW129" s="104"/>
      <c r="LX129" s="104"/>
      <c r="LY129" s="104"/>
      <c r="LZ129" s="104"/>
      <c r="MA129" s="104"/>
      <c r="MB129" s="104"/>
      <c r="MC129" s="104"/>
      <c r="MD129" s="104"/>
      <c r="ME129" s="104"/>
      <c r="MF129" s="104"/>
      <c r="MG129" s="104"/>
      <c r="MH129" s="104"/>
    </row>
    <row r="130" spans="1:346" x14ac:dyDescent="0.25">
      <c r="A130" s="110" t="s">
        <v>106</v>
      </c>
      <c r="B130" s="101" t="s">
        <v>89</v>
      </c>
      <c r="C130" s="102"/>
      <c r="D130" s="102"/>
      <c r="E130" s="102"/>
      <c r="F130" s="102"/>
      <c r="G130" s="102"/>
      <c r="H130" s="102"/>
      <c r="I130" s="102"/>
      <c r="J130" s="103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2"/>
      <c r="AO130" s="112"/>
      <c r="AP130" s="112"/>
      <c r="AQ130" s="112"/>
      <c r="AR130" s="112"/>
      <c r="AS130" s="112"/>
      <c r="AT130" s="112"/>
      <c r="AU130" s="113"/>
      <c r="AV130" s="114" t="str">
        <f>HYPERLINK("http://sab.landtag.sachsen.de/dokumente/landtagskurier/SAB_DeutschLernen_DinA5_WEB141115.pdf","x")</f>
        <v>x</v>
      </c>
      <c r="AW130" s="114" t="str">
        <f>HYPERLINK("http://sab.landtag.sachsen.de/dokumente/landtagskurier/SAB_PL_Lernposter_WEB091115.pdf","x")</f>
        <v>x</v>
      </c>
      <c r="AX130" s="111"/>
      <c r="AY130" s="111"/>
      <c r="AZ13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0" s="112" t="str">
        <f>HYPERLINK("http://wie-kann-ich-helfen.info/WoerterbuchAnalphabet_innen_%28c%29_Dagmar_Schmeelcke.pdf","x")</f>
        <v>x</v>
      </c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2" t="str">
        <f>HYPERLINK("http://www.goethe.de/lrn/prj/wnd/deu/lti/deindex.htm#13322010","x")</f>
        <v>x</v>
      </c>
      <c r="BS130" s="112"/>
      <c r="BT130" s="111"/>
      <c r="BU130" s="112" t="str">
        <f>HYPERLINK("https://s3-eu-west-1.amazonaws.com/lingolia/download/lingolia_daf.pdf","x")</f>
        <v>x</v>
      </c>
      <c r="BV130" s="112" t="str">
        <f>HYPERLINK("http://www.welcomegrooves.de/wp-content/uploads/2015/11/welcomegrooves_DE-GRIECHISCH.pdf","x")</f>
        <v>x</v>
      </c>
      <c r="BW130" s="112"/>
      <c r="BX130" s="112"/>
      <c r="BY130" s="112"/>
      <c r="BZ130" s="112" t="str">
        <f>HYPERLINK("http://www.hueber.de/shared/uebungen/schritte-plus","x")</f>
        <v>x</v>
      </c>
      <c r="CA130" s="112" t="str">
        <f>HYPERLINK("https://www.hueber.de/shared/uebungen/menschen-hier/ab/a1-1/menu.html","x")</f>
        <v>x</v>
      </c>
      <c r="CB130" s="112" t="str">
        <f>HYPERLINK("http://www.goethe-verlag.com/DE/","x")</f>
        <v>x</v>
      </c>
      <c r="CC130" s="112"/>
      <c r="CD130" s="112"/>
      <c r="CE130" s="111"/>
      <c r="CF130" s="111"/>
      <c r="CG130" s="111"/>
      <c r="CH130" s="111"/>
      <c r="CI130" s="111"/>
      <c r="CJ130" s="112" t="str">
        <f>HYPERLINK("http://www.e-migrantinnen.de/index.php?de_wichtige-links","x")</f>
        <v>x</v>
      </c>
      <c r="CK130" s="112"/>
      <c r="CL130" s="112"/>
      <c r="CM130" s="112"/>
      <c r="CN130" s="112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2"/>
      <c r="CZ130" s="112"/>
      <c r="DA130" s="112"/>
      <c r="DB130" s="115"/>
      <c r="DC130" s="112"/>
      <c r="DD130" s="112"/>
      <c r="DE130" s="112" t="str">
        <f>HYPERLINK("http://fi-lohmar-siegburg.de/data/documents/130-37_Inklusion_im_Anfangsunterricht_-_Poster_mit_Situationsbildern.pdf","x")</f>
        <v>x</v>
      </c>
      <c r="DF130" s="115" t="str">
        <f>HYPERLINK("http://s3-eu-west-1.amazonaws.com/lingolia/calendar/2016/lingolia_2016_de.pdf","x")</f>
        <v>x</v>
      </c>
      <c r="DG130" s="112" t="str">
        <f>HYPERLINK("http://www.bibliomedia.ch/de/angebote/img/Wimmelbild.jpg","x")</f>
        <v>x</v>
      </c>
      <c r="DH130" s="112" t="str">
        <f>HYPERLINK("http://www.bibliomedia.ch/de/angebote/dokumente/Wimmelbild_Fehler.jpg","x")</f>
        <v>x</v>
      </c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2" t="str">
        <f>HYPERLINK("http://bildung.koeln.de/materialbibliothek/download.php?idx=d35570d7126defc916713321f0977622","x")</f>
        <v>x</v>
      </c>
      <c r="DS130" s="112" t="str">
        <f>HYPERLINK("http://bildung.koeln.de/materialbibliothek/download.php?idx=bde72be3f1bc4c51a4b0bcfe4a4187c4","x")</f>
        <v>x</v>
      </c>
      <c r="DT130" s="112"/>
      <c r="DU130" s="112" t="str">
        <f>HYPERLINK("https://www.bmbf.de/pub/BMBF_Kausa_Elternbroschuere_griechisch.pdf","x")</f>
        <v>x</v>
      </c>
      <c r="DV130" s="111"/>
      <c r="DW130" s="111"/>
      <c r="DX130" s="111"/>
      <c r="DY130" s="111"/>
      <c r="DZ130" s="112" t="str">
        <f>HYPERLINK("http://www.bamf.de/SharedDocs/Anlagen/DE/Publikationen/Flyer/AnerkennungBerufsabschluss/anerkennung-berufsabschluss_ausland_el.pdf?__blob=publicationFile","x")</f>
        <v>x</v>
      </c>
      <c r="EA130" s="112"/>
      <c r="EB130" s="112" t="str">
        <f>HYPERLINK("http://www.bamf.de/SharedDocs/Anlagen/DE/Publikationen/Flyer/Berufsbezsprachf-ESF-BAMF/berufsbezsprachf-esf-bamf_gr.pdf?__blob=publicationFile","x")</f>
        <v>x</v>
      </c>
      <c r="EC130" s="111"/>
      <c r="ED130" s="111"/>
      <c r="EE130" s="111"/>
      <c r="EF130" s="111"/>
      <c r="EG130" s="111"/>
      <c r="EH130" s="111"/>
      <c r="EI130" s="112"/>
      <c r="EJ130" s="112"/>
      <c r="EK130" s="111"/>
      <c r="EL130" s="111"/>
      <c r="EM130" s="111"/>
      <c r="EN130" s="111"/>
      <c r="EO130" s="117" t="str">
        <f>HYPERLINK("http://www.medi-bild.de/pdf/anamnese/Welche_Sprache.pdf","x")</f>
        <v>x</v>
      </c>
      <c r="EP130" s="117" t="str">
        <f>HYPERLINK("http://www.medknowledge.de/migration/tipdoc/anamnesebogen/tipdoc_Anamnese_greek.pdf","x")</f>
        <v>x</v>
      </c>
      <c r="EQ130" s="111"/>
      <c r="ER130" s="111"/>
      <c r="ES130" s="111"/>
      <c r="ET130" s="111"/>
      <c r="EU130" s="111"/>
      <c r="EV130" s="112" t="str">
        <f t="shared" ref="EV130:EV132" si="680">HYPERLINK("http://www.lak-rlp.de/fileadmin/redakteure/pdf/download/Piktogramme_Dosieretiketten_AoG.pdf","x")</f>
        <v>x</v>
      </c>
      <c r="EW130" s="111"/>
      <c r="EX130" s="111"/>
      <c r="EY130" s="111"/>
      <c r="EZ130" s="111"/>
      <c r="FA130" s="111"/>
      <c r="FB130" s="111"/>
      <c r="FC130" s="112" t="str">
        <f>HYPERLINK("http://mige.ix-tech.de/index.php?id=241","x")</f>
        <v>x</v>
      </c>
      <c r="FD130" s="112" t="str">
        <f>HYPERLINK("http://sghanstedt.elbnetz.com/ueber-uns/","x")</f>
        <v>x</v>
      </c>
      <c r="FE130" s="111"/>
      <c r="FF130" s="111"/>
      <c r="FG130" s="111"/>
      <c r="FH130" s="111"/>
      <c r="FI130" s="111"/>
      <c r="FJ130" s="111"/>
      <c r="FK130" s="112" t="str">
        <f>HYPERLINK("http://www.ethno-medizinisches-zentrum.de/images/PDF-Files/impfwegweiser_griechisch_2013_online.pdf","x")</f>
        <v>x</v>
      </c>
      <c r="FL130" s="112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2" t="str">
        <f t="shared" si="628"/>
        <v>x</v>
      </c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2" t="str">
        <f>HYPERLINK("http://www.selfhelpfortrauma.org/","x")</f>
        <v>x</v>
      </c>
      <c r="HY130" s="112" t="str">
        <f>HYPERLINK("http://peacefulheart.se/wp-content/uploads/2014/12/Resolving-Yesterday-20141201-Self-Tapping.pdf","x")</f>
        <v>x</v>
      </c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2" t="str">
        <f>HYPERLINK("http://www.bamf.de/SharedDocs/Anlagen/DE/Publikationen/Flyer/Lassen-Sie-Sich-Beraten/lassen-sie-sich-beraten_el.pdf?__blob=publicationFile","x")</f>
        <v>x</v>
      </c>
      <c r="IK130" s="111"/>
      <c r="IL130" s="111"/>
      <c r="IM130" s="112" t="str">
        <f>HYPERLINK("https://www.bamf.de/SharedDocs/Anlagen/DE/Publikationen/Broschueren/willkommen-in-deutschland_gr.pdf?__blob=publicationFile","x")</f>
        <v>x</v>
      </c>
      <c r="IN130" s="112"/>
      <c r="IO130" s="111"/>
      <c r="IP130" s="112" t="str">
        <f>HYPERLINK("http://www.bamf.de/SharedDocs/Anlagen/DE/Publikationen/Flyer/Lernen-Sie-Deutsch/lernen-sie-deutsch_gr.pdf?__blob=publicationFile","x")</f>
        <v>x</v>
      </c>
      <c r="IQ130" s="112"/>
      <c r="IR130" s="111"/>
      <c r="IS130" s="111"/>
      <c r="IT130" s="111"/>
      <c r="IU130" s="112"/>
      <c r="IV130" s="112"/>
      <c r="IW130" s="112" t="str">
        <f t="shared" ref="IW130:IW132" si="681">HYPERLINK("http://www.berlin.de/labo/willkommen-in-berlin/service/downloads/artikel.273193.php","x")</f>
        <v>x</v>
      </c>
      <c r="IX130" s="112"/>
      <c r="IY130" s="111"/>
      <c r="IZ130" s="111"/>
      <c r="JA130" s="111"/>
      <c r="JB130" s="112"/>
      <c r="JC130" s="111"/>
      <c r="JD130" s="112"/>
      <c r="JE130" s="112"/>
      <c r="JF130" s="112"/>
      <c r="JG130" s="112"/>
      <c r="JH130" s="111"/>
      <c r="JI130" s="112"/>
      <c r="JJ130" s="112"/>
      <c r="JK130" s="112"/>
      <c r="JL130" s="112" t="str">
        <f t="shared" ref="JL130:JL132" si="682">HYPERLINK("https://www.arbeitsagentur.de/web/content/DE/Formulare/Detail/index.htm?dfContentId=L6019022DSTBAI485740","x")</f>
        <v>x</v>
      </c>
      <c r="JM130" s="112"/>
      <c r="JN130" s="112"/>
      <c r="JO130" s="112"/>
      <c r="JP130" s="112"/>
      <c r="JQ130" s="112" t="str">
        <f t="shared" ref="JQ130:JQ132" si="683">HYPERLINK("http://www.ibla-germany.de/merkblaetter.php","x")</f>
        <v>x</v>
      </c>
      <c r="JR130" s="112"/>
      <c r="JS130" s="111"/>
      <c r="JT130" s="111"/>
      <c r="JU130" s="111"/>
      <c r="JV130" s="112"/>
      <c r="JW130" s="112"/>
      <c r="JX130" s="111"/>
      <c r="JY130" s="111"/>
      <c r="JZ130" s="111"/>
      <c r="KA130" s="111"/>
      <c r="KB130" s="111"/>
      <c r="KC130" s="111"/>
      <c r="KD130" s="111"/>
      <c r="KE130" s="111"/>
      <c r="KF130" s="111"/>
      <c r="KG130" s="111"/>
      <c r="KH130" s="111"/>
      <c r="KI130" s="111"/>
      <c r="KJ130" s="111"/>
      <c r="KK130" s="111"/>
      <c r="KL130" s="111"/>
      <c r="KM130" s="111"/>
      <c r="KN130" s="111"/>
      <c r="KO130" s="111"/>
      <c r="KP130" s="111"/>
      <c r="KQ130" s="111"/>
      <c r="KR130" s="111"/>
      <c r="KS130" s="111"/>
      <c r="KT130" s="111"/>
      <c r="KU130" s="111"/>
      <c r="KV130" s="111"/>
      <c r="KW130" s="111"/>
      <c r="KX130" s="111"/>
      <c r="KY130" s="111"/>
      <c r="KZ130" s="111"/>
      <c r="LA130" s="111"/>
      <c r="LB130" s="111"/>
      <c r="LC130" s="111"/>
      <c r="LD130" s="111"/>
      <c r="LE130" s="111"/>
      <c r="LF130" s="111"/>
      <c r="LG130" s="111"/>
      <c r="LH130" s="111"/>
      <c r="LI130" s="111"/>
      <c r="LJ130" s="111"/>
      <c r="LK130" s="111"/>
      <c r="LL130" s="111"/>
      <c r="LM130" s="111"/>
      <c r="LN130" s="111"/>
      <c r="LO130" s="111"/>
      <c r="LP130" s="111"/>
      <c r="LQ130" s="111"/>
      <c r="LR130" s="111"/>
      <c r="LS130" s="111"/>
      <c r="LT130" s="111"/>
      <c r="LU130" s="111"/>
      <c r="LV130" s="111"/>
      <c r="LW130" s="111"/>
      <c r="LX130" s="111"/>
      <c r="LY130" s="111"/>
      <c r="LZ130" s="111"/>
      <c r="MA130" s="111"/>
      <c r="MB130" s="111"/>
      <c r="MC130" s="111"/>
      <c r="MD130" s="111"/>
      <c r="ME130" s="111"/>
      <c r="MF130" s="111"/>
      <c r="MG130" s="111"/>
      <c r="MH130" s="111"/>
    </row>
    <row r="131" spans="1:346" x14ac:dyDescent="0.25">
      <c r="A131" s="110" t="s">
        <v>106</v>
      </c>
      <c r="B131" s="101" t="s">
        <v>25</v>
      </c>
      <c r="C131" s="102"/>
      <c r="D131" s="102"/>
      <c r="E131" s="102"/>
      <c r="F131" s="102"/>
      <c r="G131" s="102"/>
      <c r="H131" s="102"/>
      <c r="I131" s="102"/>
      <c r="J131" s="103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2"/>
      <c r="AO131" s="112"/>
      <c r="AP131" s="112"/>
      <c r="AQ131" s="112"/>
      <c r="AR131" s="112"/>
      <c r="AS131" s="112"/>
      <c r="AT131" s="112"/>
      <c r="AU131" s="113"/>
      <c r="AV131" s="114" t="str">
        <f>HYPERLINK("http://sab.landtag.sachsen.de/dokumente/landtagskurier/SAB_DeutschLernen_DinA5_WEB141115.pdf","x")</f>
        <v>x</v>
      </c>
      <c r="AW131" s="114" t="str">
        <f>HYPERLINK("http://sab.landtag.sachsen.de/dokumente/landtagskurier/SAB_PL_Lernposter_WEB091115.pdf","x")</f>
        <v>x</v>
      </c>
      <c r="AX131" s="111"/>
      <c r="AY131" s="111"/>
      <c r="AZ13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1" s="112" t="str">
        <f>HYPERLINK("http://wie-kann-ich-helfen.info/WoerterbuchAnalphabet_innen_%28c%29_Dagmar_Schmeelcke.pdf","x")</f>
        <v>x</v>
      </c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2" t="str">
        <f>HYPERLINK("http://www.goethe.de/lrn/prj/wnd/deu/lti/deindex.htm#13322010","x")</f>
        <v>x</v>
      </c>
      <c r="BS131" s="112"/>
      <c r="BT131" s="111"/>
      <c r="BU131" s="112" t="str">
        <f>HYPERLINK("https://s3-eu-west-1.amazonaws.com/lingolia/download/lingolia_daf.pdf","x")</f>
        <v>x</v>
      </c>
      <c r="BV131" s="112" t="str">
        <f>HYPERLINK("http://www.welcomegrooves.de/wp-content/uploads/2015/11/welcomegrooves_DE-GRIECHISCH.pdf","x")</f>
        <v>x</v>
      </c>
      <c r="BW131" s="112"/>
      <c r="BX131" s="112"/>
      <c r="BY131" s="112"/>
      <c r="BZ131" s="112" t="str">
        <f>HYPERLINK("http://www.hueber.de/shared/uebungen/schritte-plus","x")</f>
        <v>x</v>
      </c>
      <c r="CA131" s="112" t="str">
        <f>HYPERLINK("https://www.hueber.de/shared/uebungen/menschen-hier/ab/a1-1/menu.html","x")</f>
        <v>x</v>
      </c>
      <c r="CB131" s="112" t="str">
        <f>HYPERLINK("http://www.goethe-verlag.com/DE/","x")</f>
        <v>x</v>
      </c>
      <c r="CC131" s="112"/>
      <c r="CD131" s="112"/>
      <c r="CE131" s="111"/>
      <c r="CF131" s="111"/>
      <c r="CG131" s="111"/>
      <c r="CH131" s="111"/>
      <c r="CI131" s="111"/>
      <c r="CJ131" s="112" t="str">
        <f>HYPERLINK("http://www.e-migrantinnen.de/index.php?de_wichtige-links","x")</f>
        <v>x</v>
      </c>
      <c r="CK131" s="112"/>
      <c r="CL131" s="112"/>
      <c r="CM131" s="112"/>
      <c r="CN131" s="112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2"/>
      <c r="CZ131" s="112"/>
      <c r="DA131" s="112"/>
      <c r="DB131" s="115"/>
      <c r="DC131" s="112"/>
      <c r="DD131" s="112"/>
      <c r="DE131" s="112" t="str">
        <f>HYPERLINK("http://fi-lohmar-siegburg.de/data/documents/130-37_Inklusion_im_Anfangsunterricht_-_Poster_mit_Situationsbildern.pdf","x")</f>
        <v>x</v>
      </c>
      <c r="DF131" s="115" t="str">
        <f>HYPERLINK("http://s3-eu-west-1.amazonaws.com/lingolia/calendar/2016/lingolia_2016_de.pdf","x")</f>
        <v>x</v>
      </c>
      <c r="DG131" s="112" t="str">
        <f>HYPERLINK("http://www.bibliomedia.ch/de/angebote/img/Wimmelbild.jpg","x")</f>
        <v>x</v>
      </c>
      <c r="DH131" s="112" t="str">
        <f>HYPERLINK("http://www.bibliomedia.ch/de/angebote/dokumente/Wimmelbild_Fehler.jpg","x")</f>
        <v>x</v>
      </c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2" t="str">
        <f t="shared" ref="DR131:DR132" si="684">HYPERLINK("http://bildung.koeln.de/materialbibliothek/download.php?idx=d35570d7126defc916713321f0977622","x")</f>
        <v>x</v>
      </c>
      <c r="DS131" s="112" t="str">
        <f t="shared" ref="DS131:DS132" si="685">HYPERLINK("http://bildung.koeln.de/materialbibliothek/download.php?idx=bde72be3f1bc4c51a4b0bcfe4a4187c4","x")</f>
        <v>x</v>
      </c>
      <c r="DT131" s="112"/>
      <c r="DU131" s="112" t="str">
        <f>HYPERLINK("https://www.bmbf.de/pub/BMBF_Kausa_Elternbroschuere_griechisch.pdf","x")</f>
        <v>x</v>
      </c>
      <c r="DV131" s="111"/>
      <c r="DW131" s="111"/>
      <c r="DX131" s="111"/>
      <c r="DY131" s="111"/>
      <c r="DZ131" s="112" t="str">
        <f>HYPERLINK("http://www.bamf.de/SharedDocs/Anlagen/DE/Publikationen/Flyer/AnerkennungBerufsabschluss/anerkennung-berufsabschluss_ausland_el.pdf?__blob=publicationFile","x")</f>
        <v>x</v>
      </c>
      <c r="EA131" s="112"/>
      <c r="EB131" s="112" t="str">
        <f>HYPERLINK("http://www.bamf.de/SharedDocs/Anlagen/DE/Publikationen/Flyer/Berufsbezsprachf-ESF-BAMF/berufsbezsprachf-esf-bamf_gr.pdf?__blob=publicationFile","x")</f>
        <v>x</v>
      </c>
      <c r="EC131" s="111"/>
      <c r="ED131" s="111"/>
      <c r="EE131" s="111"/>
      <c r="EF131" s="111"/>
      <c r="EG131" s="111"/>
      <c r="EH131" s="111"/>
      <c r="EI131" s="112"/>
      <c r="EJ131" s="112"/>
      <c r="EK131" s="111"/>
      <c r="EL131" s="111"/>
      <c r="EM131" s="111"/>
      <c r="EN131" s="111"/>
      <c r="EO131" s="117" t="str">
        <f>HYPERLINK("http://www.medi-bild.de/pdf/anamnese/Welche_Sprache.pdf","x")</f>
        <v>x</v>
      </c>
      <c r="EP131" s="117" t="str">
        <f>HYPERLINK("http://www.medknowledge.de/migration/tipdoc/anamnesebogen/tipdoc_Anamnese_greek.pdf","x")</f>
        <v>x</v>
      </c>
      <c r="EQ131" s="111"/>
      <c r="ER131" s="111"/>
      <c r="ES131" s="111"/>
      <c r="ET131" s="111"/>
      <c r="EU131" s="111"/>
      <c r="EV131" s="112" t="str">
        <f t="shared" si="680"/>
        <v>x</v>
      </c>
      <c r="EW131" s="111"/>
      <c r="EX131" s="111"/>
      <c r="EY131" s="111"/>
      <c r="EZ131" s="111"/>
      <c r="FA131" s="111"/>
      <c r="FB131" s="111"/>
      <c r="FC131" s="112" t="str">
        <f>HYPERLINK("http://mige.ix-tech.de/index.php?id=241","x")</f>
        <v>x</v>
      </c>
      <c r="FD131" s="112" t="str">
        <f>HYPERLINK("http://sghanstedt.elbnetz.com/ueber-uns/","x")</f>
        <v>x</v>
      </c>
      <c r="FE131" s="111"/>
      <c r="FF131" s="111"/>
      <c r="FG131" s="111"/>
      <c r="FH131" s="111"/>
      <c r="FI131" s="111"/>
      <c r="FJ131" s="111"/>
      <c r="FK131" s="112" t="str">
        <f>HYPERLINK("http://www.ethno-medizinisches-zentrum.de/images/PDF-Files/impfwegweiser_griechisch_2013_online.pdf","x")</f>
        <v>x</v>
      </c>
      <c r="FL131" s="112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2" t="str">
        <f t="shared" si="628"/>
        <v>x</v>
      </c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2" t="str">
        <f>HYPERLINK("http://www.selfhelpfortrauma.org/","x")</f>
        <v>x</v>
      </c>
      <c r="HY131" s="112" t="str">
        <f>HYPERLINK("http://peacefulheart.se/wp-content/uploads/2014/12/Resolving-Yesterday-20141201-Self-Tapping.pdf","x")</f>
        <v>x</v>
      </c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2" t="str">
        <f>HYPERLINK("http://www.bamf.de/SharedDocs/Anlagen/DE/Publikationen/Flyer/Lassen-Sie-Sich-Beraten/lassen-sie-sich-beraten_el.pdf?__blob=publicationFile","x")</f>
        <v>x</v>
      </c>
      <c r="IK131" s="111"/>
      <c r="IL131" s="111"/>
      <c r="IM131" s="112" t="str">
        <f>HYPERLINK("https://www.bamf.de/SharedDocs/Anlagen/DE/Publikationen/Broschueren/willkommen-in-deutschland_gr.pdf?__blob=publicationFile","x")</f>
        <v>x</v>
      </c>
      <c r="IN131" s="112"/>
      <c r="IO131" s="111"/>
      <c r="IP131" s="112" t="str">
        <f>HYPERLINK("http://www.bamf.de/SharedDocs/Anlagen/DE/Publikationen/Flyer/Lernen-Sie-Deutsch/lernen-sie-deutsch_gr.pdf?__blob=publicationFile","x")</f>
        <v>x</v>
      </c>
      <c r="IQ131" s="112"/>
      <c r="IR131" s="111"/>
      <c r="IS131" s="111"/>
      <c r="IT131" s="111"/>
      <c r="IU131" s="112"/>
      <c r="IV131" s="112"/>
      <c r="IW131" s="112" t="str">
        <f t="shared" si="681"/>
        <v>x</v>
      </c>
      <c r="IX131" s="112"/>
      <c r="IY131" s="111"/>
      <c r="IZ131" s="111"/>
      <c r="JA131" s="111"/>
      <c r="JB131" s="112"/>
      <c r="JC131" s="111"/>
      <c r="JD131" s="112"/>
      <c r="JE131" s="112"/>
      <c r="JF131" s="112"/>
      <c r="JG131" s="112"/>
      <c r="JH131" s="111"/>
      <c r="JI131" s="112"/>
      <c r="JJ131" s="112"/>
      <c r="JK131" s="112"/>
      <c r="JL131" s="112" t="str">
        <f t="shared" si="682"/>
        <v>x</v>
      </c>
      <c r="JM131" s="112"/>
      <c r="JN131" s="112"/>
      <c r="JO131" s="112"/>
      <c r="JP131" s="112"/>
      <c r="JQ131" s="112" t="str">
        <f t="shared" si="683"/>
        <v>x</v>
      </c>
      <c r="JR131" s="112"/>
      <c r="JS131" s="111"/>
      <c r="JT131" s="111"/>
      <c r="JU131" s="111"/>
      <c r="JV131" s="112"/>
      <c r="JW131" s="112"/>
      <c r="JX131" s="111"/>
      <c r="JY131" s="111"/>
      <c r="JZ131" s="111"/>
      <c r="KA131" s="111"/>
      <c r="KB131" s="111"/>
      <c r="KC131" s="111"/>
      <c r="KD131" s="111"/>
      <c r="KE131" s="111"/>
      <c r="KF131" s="111"/>
      <c r="KG131" s="111"/>
      <c r="KH131" s="111"/>
      <c r="KI131" s="111"/>
      <c r="KJ131" s="111"/>
      <c r="KK131" s="111"/>
      <c r="KL131" s="111"/>
      <c r="KM131" s="111"/>
      <c r="KN131" s="111"/>
      <c r="KO131" s="111"/>
      <c r="KP131" s="111"/>
      <c r="KQ131" s="111"/>
      <c r="KR131" s="111"/>
      <c r="KS131" s="111"/>
      <c r="KT131" s="111"/>
      <c r="KU131" s="111"/>
      <c r="KV131" s="111"/>
      <c r="KW131" s="111"/>
      <c r="KX131" s="111"/>
      <c r="KY131" s="111"/>
      <c r="KZ131" s="111"/>
      <c r="LA131" s="111"/>
      <c r="LB131" s="111"/>
      <c r="LC131" s="111"/>
      <c r="LD131" s="111"/>
      <c r="LE131" s="111"/>
      <c r="LF131" s="111"/>
      <c r="LG131" s="111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1"/>
      <c r="LU131" s="111"/>
      <c r="LV131" s="111"/>
      <c r="LW131" s="111"/>
      <c r="LX131" s="111"/>
      <c r="LY131" s="111"/>
      <c r="LZ131" s="111"/>
      <c r="MA131" s="111"/>
      <c r="MB131" s="111"/>
      <c r="MC131" s="111"/>
      <c r="MD131" s="111"/>
      <c r="ME131" s="111"/>
      <c r="MF131" s="111"/>
      <c r="MG131" s="111"/>
      <c r="MH131" s="111"/>
    </row>
    <row r="132" spans="1:346" x14ac:dyDescent="0.25">
      <c r="A132" s="110" t="s">
        <v>106</v>
      </c>
      <c r="B132" s="101" t="s">
        <v>397</v>
      </c>
      <c r="C132" s="102"/>
      <c r="D132" s="102"/>
      <c r="E132" s="102"/>
      <c r="F132" s="102"/>
      <c r="G132" s="102"/>
      <c r="H132" s="102"/>
      <c r="I132" s="102"/>
      <c r="J132" s="103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2"/>
      <c r="AO132" s="112"/>
      <c r="AP132" s="112"/>
      <c r="AQ132" s="112"/>
      <c r="AR132" s="112"/>
      <c r="AS132" s="112"/>
      <c r="AT132" s="112"/>
      <c r="AU132" s="113"/>
      <c r="AV132" s="114" t="str">
        <f>HYPERLINK("http://sab.landtag.sachsen.de/dokumente/landtagskurier/SAB_DeutschLernen_DinA5_WEB141115.pdf","x")</f>
        <v>x</v>
      </c>
      <c r="AW132" s="114" t="str">
        <f>HYPERLINK("http://sab.landtag.sachsen.de/dokumente/landtagskurier/SAB_PL_Lernposter_WEB091115.pdf","x")</f>
        <v>x</v>
      </c>
      <c r="AX132" s="111"/>
      <c r="AY132" s="111"/>
      <c r="AZ13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2" s="112" t="str">
        <f>HYPERLINK("http://wie-kann-ich-helfen.info/WoerterbuchAnalphabet_innen_%28c%29_Dagmar_Schmeelcke.pdf","x")</f>
        <v>x</v>
      </c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2" t="str">
        <f>HYPERLINK("http://www.goethe.de/lrn/prj/wnd/deu/lti/deindex.htm#13322010","x")</f>
        <v>x</v>
      </c>
      <c r="BS132" s="112"/>
      <c r="BT132" s="111"/>
      <c r="BU132" s="112" t="str">
        <f>HYPERLINK("https://s3-eu-west-1.amazonaws.com/lingolia/download/lingolia_daf.pdf","x")</f>
        <v>x</v>
      </c>
      <c r="BV132" s="112" t="str">
        <f>HYPERLINK("http://www.welcomegrooves.de/wp-content/uploads/2015/11/welcomegrooves_DE-GRIECHISCH.pdf","x")</f>
        <v>x</v>
      </c>
      <c r="BW132" s="112"/>
      <c r="BX132" s="112"/>
      <c r="BY132" s="112"/>
      <c r="BZ132" s="112" t="str">
        <f>HYPERLINK("http://www.hueber.de/shared/uebungen/schritte-plus","x")</f>
        <v>x</v>
      </c>
      <c r="CA132" s="112" t="str">
        <f>HYPERLINK("https://www.hueber.de/shared/uebungen/menschen-hier/ab/a1-1/menu.html","x")</f>
        <v>x</v>
      </c>
      <c r="CB132" s="112" t="str">
        <f>HYPERLINK("http://www.goethe-verlag.com/DE/","x")</f>
        <v>x</v>
      </c>
      <c r="CC132" s="112"/>
      <c r="CD132" s="112"/>
      <c r="CE132" s="111"/>
      <c r="CF132" s="111"/>
      <c r="CG132" s="111"/>
      <c r="CH132" s="111"/>
      <c r="CI132" s="111"/>
      <c r="CJ132" s="112" t="str">
        <f>HYPERLINK("http://www.e-migrantinnen.de/index.php?de_wichtige-links","x")</f>
        <v>x</v>
      </c>
      <c r="CK132" s="112"/>
      <c r="CL132" s="112"/>
      <c r="CM132" s="112"/>
      <c r="CN132" s="112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2"/>
      <c r="CZ132" s="112"/>
      <c r="DA132" s="112"/>
      <c r="DB132" s="115"/>
      <c r="DC132" s="112"/>
      <c r="DD132" s="112"/>
      <c r="DE132" s="112" t="str">
        <f>HYPERLINK("http://fi-lohmar-siegburg.de/data/documents/130-37_Inklusion_im_Anfangsunterricht_-_Poster_mit_Situationsbildern.pdf","x")</f>
        <v>x</v>
      </c>
      <c r="DF132" s="115" t="str">
        <f>HYPERLINK("http://s3-eu-west-1.amazonaws.com/lingolia/calendar/2016/lingolia_2016_de.pdf","x")</f>
        <v>x</v>
      </c>
      <c r="DG132" s="112" t="str">
        <f>HYPERLINK("http://www.bibliomedia.ch/de/angebote/img/Wimmelbild.jpg","x")</f>
        <v>x</v>
      </c>
      <c r="DH132" s="112" t="str">
        <f>HYPERLINK("http://www.bibliomedia.ch/de/angebote/dokumente/Wimmelbild_Fehler.jpg","x")</f>
        <v>x</v>
      </c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2" t="str">
        <f t="shared" si="684"/>
        <v>x</v>
      </c>
      <c r="DS132" s="112" t="str">
        <f t="shared" si="685"/>
        <v>x</v>
      </c>
      <c r="DT132" s="112"/>
      <c r="DU132" s="112" t="str">
        <f>HYPERLINK("https://www.bmbf.de/pub/BMBF_Kausa_Elternbroschuere_griechisch.pdf","x")</f>
        <v>x</v>
      </c>
      <c r="DV132" s="111"/>
      <c r="DW132" s="111"/>
      <c r="DX132" s="111"/>
      <c r="DY132" s="111"/>
      <c r="DZ132" s="112" t="str">
        <f>HYPERLINK("http://www.bamf.de/SharedDocs/Anlagen/DE/Publikationen/Flyer/AnerkennungBerufsabschluss/anerkennung-berufsabschluss_ausland_el.pdf?__blob=publicationFile","x")</f>
        <v>x</v>
      </c>
      <c r="EA132" s="112"/>
      <c r="EB132" s="112" t="str">
        <f>HYPERLINK("http://www.bamf.de/SharedDocs/Anlagen/DE/Publikationen/Flyer/Berufsbezsprachf-ESF-BAMF/berufsbezsprachf-esf-bamf_gr.pdf?__blob=publicationFile","x")</f>
        <v>x</v>
      </c>
      <c r="EC132" s="111"/>
      <c r="ED132" s="111"/>
      <c r="EE132" s="111"/>
      <c r="EF132" s="111"/>
      <c r="EG132" s="111"/>
      <c r="EH132" s="111"/>
      <c r="EI132" s="112"/>
      <c r="EJ132" s="112"/>
      <c r="EK132" s="111"/>
      <c r="EL132" s="111"/>
      <c r="EM132" s="111"/>
      <c r="EN132" s="111"/>
      <c r="EO132" s="117" t="str">
        <f>HYPERLINK("http://www.medi-bild.de/pdf/anamnese/Welche_Sprache.pdf","x")</f>
        <v>x</v>
      </c>
      <c r="EP132" s="117" t="str">
        <f>HYPERLINK("http://www.medknowledge.de/migration/tipdoc/anamnesebogen/tipdoc_Anamnese_greek.pdf","x")</f>
        <v>x</v>
      </c>
      <c r="EQ132" s="111"/>
      <c r="ER132" s="111"/>
      <c r="ES132" s="111"/>
      <c r="ET132" s="111"/>
      <c r="EU132" s="111"/>
      <c r="EV132" s="112" t="str">
        <f t="shared" si="680"/>
        <v>x</v>
      </c>
      <c r="EW132" s="111"/>
      <c r="EX132" s="111"/>
      <c r="EY132" s="111"/>
      <c r="EZ132" s="111"/>
      <c r="FA132" s="111"/>
      <c r="FB132" s="111"/>
      <c r="FC132" s="112" t="str">
        <f>HYPERLINK("http://mige.ix-tech.de/index.php?id=241","x")</f>
        <v>x</v>
      </c>
      <c r="FD132" s="112" t="str">
        <f>HYPERLINK("http://sghanstedt.elbnetz.com/ueber-uns/","x")</f>
        <v>x</v>
      </c>
      <c r="FE132" s="111"/>
      <c r="FF132" s="111"/>
      <c r="FG132" s="111"/>
      <c r="FH132" s="111"/>
      <c r="FI132" s="111"/>
      <c r="FJ132" s="111"/>
      <c r="FK132" s="112" t="str">
        <f>HYPERLINK("http://www.ethno-medizinisches-zentrum.de/images/PDF-Files/impfwegweiser_griechisch_2013_online.pdf","x")</f>
        <v>x</v>
      </c>
      <c r="FL132" s="112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2" t="str">
        <f t="shared" si="628"/>
        <v>x</v>
      </c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2" t="str">
        <f>HYPERLINK("http://www.selfhelpfortrauma.org/","x")</f>
        <v>x</v>
      </c>
      <c r="HY132" s="112" t="str">
        <f>HYPERLINK("http://peacefulheart.se/wp-content/uploads/2014/12/Resolving-Yesterday-20141201-Self-Tapping.pdf","x")</f>
        <v>x</v>
      </c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2" t="str">
        <f>HYPERLINK("http://www.bamf.de/SharedDocs/Anlagen/DE/Publikationen/Flyer/Lassen-Sie-Sich-Beraten/lassen-sie-sich-beraten_el.pdf?__blob=publicationFile","x")</f>
        <v>x</v>
      </c>
      <c r="IK132" s="111"/>
      <c r="IL132" s="111"/>
      <c r="IM132" s="112" t="str">
        <f>HYPERLINK("https://www.bamf.de/SharedDocs/Anlagen/DE/Publikationen/Broschueren/willkommen-in-deutschland_gr.pdf?__blob=publicationFile","x")</f>
        <v>x</v>
      </c>
      <c r="IN132" s="112"/>
      <c r="IO132" s="111"/>
      <c r="IP132" s="112" t="str">
        <f>HYPERLINK("http://www.bamf.de/SharedDocs/Anlagen/DE/Publikationen/Flyer/Lernen-Sie-Deutsch/lernen-sie-deutsch_gr.pdf?__blob=publicationFile","x")</f>
        <v>x</v>
      </c>
      <c r="IQ132" s="112"/>
      <c r="IR132" s="111"/>
      <c r="IS132" s="111"/>
      <c r="IT132" s="111"/>
      <c r="IU132" s="112"/>
      <c r="IV132" s="112"/>
      <c r="IW132" s="112" t="str">
        <f t="shared" si="681"/>
        <v>x</v>
      </c>
      <c r="IX132" s="112"/>
      <c r="IY132" s="111"/>
      <c r="IZ132" s="111"/>
      <c r="JA132" s="111"/>
      <c r="JB132" s="112"/>
      <c r="JC132" s="111"/>
      <c r="JD132" s="112"/>
      <c r="JE132" s="112"/>
      <c r="JF132" s="112"/>
      <c r="JG132" s="112"/>
      <c r="JH132" s="111"/>
      <c r="JI132" s="112"/>
      <c r="JJ132" s="112"/>
      <c r="JK132" s="112"/>
      <c r="JL132" s="112" t="str">
        <f t="shared" si="682"/>
        <v>x</v>
      </c>
      <c r="JM132" s="112"/>
      <c r="JN132" s="112"/>
      <c r="JO132" s="112"/>
      <c r="JP132" s="112"/>
      <c r="JQ132" s="112" t="str">
        <f t="shared" si="683"/>
        <v>x</v>
      </c>
      <c r="JR132" s="112"/>
      <c r="JS132" s="111"/>
      <c r="JT132" s="111"/>
      <c r="JU132" s="111"/>
      <c r="JV132" s="112"/>
      <c r="JW132" s="112"/>
      <c r="JX132" s="111"/>
      <c r="JY132" s="111"/>
      <c r="JZ132" s="111"/>
      <c r="KA132" s="111"/>
      <c r="KB132" s="111"/>
      <c r="KC132" s="111"/>
      <c r="KD132" s="111"/>
      <c r="KE132" s="111"/>
      <c r="KF132" s="111"/>
      <c r="KG132" s="111"/>
      <c r="KH132" s="111"/>
      <c r="KI132" s="111"/>
      <c r="KJ132" s="111"/>
      <c r="KK132" s="111"/>
      <c r="KL132" s="111"/>
      <c r="KM132" s="111"/>
      <c r="KN132" s="111"/>
      <c r="KO132" s="111"/>
      <c r="KP132" s="111"/>
      <c r="KQ132" s="111"/>
      <c r="KR132" s="111"/>
      <c r="KS132" s="111"/>
      <c r="KT132" s="111"/>
      <c r="KU132" s="111"/>
      <c r="KV132" s="111"/>
      <c r="KW132" s="111"/>
      <c r="KX132" s="111"/>
      <c r="KY132" s="111"/>
      <c r="KZ132" s="111"/>
      <c r="LA132" s="111"/>
      <c r="LB132" s="111"/>
      <c r="LC132" s="111"/>
      <c r="LD132" s="111"/>
      <c r="LE132" s="111"/>
      <c r="LF132" s="111"/>
      <c r="LG132" s="111"/>
      <c r="LH132" s="111"/>
      <c r="LI132" s="111"/>
      <c r="LJ132" s="111"/>
      <c r="LK132" s="111"/>
      <c r="LL132" s="111"/>
      <c r="LM132" s="111"/>
      <c r="LN132" s="111"/>
      <c r="LO132" s="111"/>
      <c r="LP132" s="111"/>
      <c r="LQ132" s="111"/>
      <c r="LR132" s="111"/>
      <c r="LS132" s="111"/>
      <c r="LT132" s="111"/>
      <c r="LU132" s="111"/>
      <c r="LV132" s="111"/>
      <c r="LW132" s="111"/>
      <c r="LX132" s="111"/>
      <c r="LY132" s="111"/>
      <c r="LZ132" s="111"/>
      <c r="MA132" s="111"/>
      <c r="MB132" s="111"/>
      <c r="MC132" s="111"/>
      <c r="MD132" s="111"/>
      <c r="ME132" s="111"/>
      <c r="MF132" s="111"/>
      <c r="MG132" s="111"/>
      <c r="MH132" s="111"/>
    </row>
    <row r="133" spans="1:346" x14ac:dyDescent="0.25">
      <c r="A133" s="101" t="s">
        <v>483</v>
      </c>
      <c r="B133" s="102"/>
      <c r="C133" s="102"/>
      <c r="D133" s="102"/>
      <c r="E133" s="102"/>
      <c r="F133" s="102"/>
      <c r="G133" s="102"/>
      <c r="H133" s="102"/>
      <c r="I133" s="102"/>
      <c r="J133" s="103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6"/>
      <c r="AV133" s="106"/>
      <c r="AW133" s="106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9"/>
      <c r="EP133" s="109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5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4"/>
      <c r="JN133" s="104"/>
      <c r="JO133" s="104"/>
      <c r="JP133" s="104"/>
      <c r="JQ133" s="104"/>
      <c r="JR133" s="104"/>
      <c r="JS133" s="104"/>
      <c r="JT133" s="104"/>
      <c r="JU133" s="104"/>
      <c r="JV133" s="104"/>
      <c r="JW133" s="104"/>
      <c r="JX133" s="104"/>
      <c r="JY133" s="104"/>
      <c r="JZ133" s="104"/>
      <c r="KA133" s="104"/>
      <c r="KB133" s="104"/>
      <c r="KC133" s="104"/>
      <c r="KD133" s="104"/>
      <c r="KE133" s="104"/>
      <c r="KF133" s="104"/>
      <c r="KG133" s="104"/>
      <c r="KH133" s="104"/>
      <c r="KI133" s="104"/>
      <c r="KJ133" s="104"/>
      <c r="KK133" s="104"/>
      <c r="KL133" s="104"/>
      <c r="KM133" s="104"/>
      <c r="KN133" s="104"/>
      <c r="KO133" s="104"/>
      <c r="KP133" s="104"/>
      <c r="KQ133" s="104"/>
      <c r="KR133" s="104"/>
      <c r="KS133" s="104"/>
      <c r="KT133" s="104"/>
      <c r="KU133" s="104"/>
      <c r="KV133" s="104"/>
      <c r="KW133" s="104"/>
      <c r="KX133" s="104"/>
      <c r="KY133" s="104"/>
      <c r="KZ133" s="104"/>
      <c r="LA133" s="104"/>
      <c r="LB133" s="104"/>
      <c r="LC133" s="104"/>
      <c r="LD133" s="104"/>
      <c r="LE133" s="104"/>
      <c r="LF133" s="104"/>
      <c r="LG133" s="104"/>
      <c r="LH133" s="104"/>
      <c r="LI133" s="104"/>
      <c r="LJ133" s="104"/>
      <c r="LK133" s="104"/>
      <c r="LL133" s="104"/>
      <c r="LM133" s="104"/>
      <c r="LN133" s="104"/>
      <c r="LO133" s="104"/>
      <c r="LP133" s="104"/>
      <c r="LQ133" s="104"/>
      <c r="LR133" s="104"/>
      <c r="LS133" s="104"/>
      <c r="LT133" s="104"/>
      <c r="LU133" s="104"/>
      <c r="LV133" s="104"/>
      <c r="LW133" s="104"/>
      <c r="LX133" s="104"/>
      <c r="LY133" s="104"/>
      <c r="LZ133" s="104"/>
      <c r="MA133" s="104"/>
      <c r="MB133" s="104"/>
      <c r="MC133" s="104"/>
      <c r="MD133" s="104"/>
      <c r="ME133" s="104"/>
      <c r="MF133" s="104"/>
      <c r="MG133" s="104"/>
      <c r="MH133" s="104"/>
    </row>
    <row r="134" spans="1:346" x14ac:dyDescent="0.25">
      <c r="A134" s="110" t="s">
        <v>483</v>
      </c>
      <c r="B134" s="101" t="s">
        <v>390</v>
      </c>
      <c r="C134" s="102"/>
      <c r="D134" s="102"/>
      <c r="E134" s="102"/>
      <c r="F134" s="102"/>
      <c r="G134" s="102"/>
      <c r="H134" s="102"/>
      <c r="I134" s="102"/>
      <c r="J134" s="103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2"/>
      <c r="AO134" s="112"/>
      <c r="AP134" s="112"/>
      <c r="AQ134" s="112"/>
      <c r="AR134" s="112"/>
      <c r="AS134" s="112"/>
      <c r="AT134" s="112"/>
      <c r="AU134" s="113"/>
      <c r="AV134" s="114" t="str">
        <f>HYPERLINK("http://sab.landtag.sachsen.de/dokumente/landtagskurier/SAB_DeutschLernen_DinA5_WEB141115.pdf","x")</f>
        <v>x</v>
      </c>
      <c r="AW134" s="114" t="str">
        <f>HYPERLINK("http://sab.landtag.sachsen.de/dokumente/landtagskurier/SAB_PL_Lernposter_WEB091115.pdf","x")</f>
        <v>x</v>
      </c>
      <c r="AX134" s="111"/>
      <c r="AY134" s="111"/>
      <c r="AZ13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4" s="112" t="str">
        <f>HYPERLINK("http://wie-kann-ich-helfen.info/WoerterbuchAnalphabet_innen_%28c%29_Dagmar_Schmeelcke.pdf","x")</f>
        <v>x</v>
      </c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2" t="str">
        <f>HYPERLINK("http://www.goethe.de/lrn/prj/wnd/deu/lti/deindex.htm#13322010","x")</f>
        <v>x</v>
      </c>
      <c r="BS134" s="112"/>
      <c r="BT134" s="111"/>
      <c r="BU134" s="112" t="str">
        <f>HYPERLINK("https://s3-eu-west-1.amazonaws.com/lingolia/download/lingolia_daf.pdf","x")</f>
        <v>x</v>
      </c>
      <c r="BV134" s="112" t="str">
        <f>HYPERLINK("http://www.welcomegrooves.de/wp-content/uploads/2015/10/welcomegrooves_DE-HAUSA.pdf","x")</f>
        <v>x</v>
      </c>
      <c r="BW134" s="112"/>
      <c r="BX134" s="112"/>
      <c r="BY134" s="112"/>
      <c r="BZ134" s="112" t="str">
        <f>HYPERLINK("http://www.hueber.de/shared/uebungen/schritte-plus","x")</f>
        <v>x</v>
      </c>
      <c r="CA134" s="112" t="str">
        <f>HYPERLINK("https://www.hueber.de/shared/uebungen/menschen-hier/ab/a1-1/menu.html","x")</f>
        <v>x</v>
      </c>
      <c r="CB134" s="112" t="str">
        <f>HYPERLINK("http://www.goethe-verlag.com/DE/","x")</f>
        <v>x</v>
      </c>
      <c r="CC134" s="112"/>
      <c r="CD134" s="112"/>
      <c r="CE134" s="111"/>
      <c r="CF134" s="111"/>
      <c r="CG134" s="111"/>
      <c r="CH134" s="111"/>
      <c r="CI134" s="112"/>
      <c r="CJ134" s="112" t="str">
        <f>HYPERLINK("http://www.e-migrantinnen.de/index.php?de_wichtige-links","x")</f>
        <v>x</v>
      </c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5"/>
      <c r="DC134" s="112"/>
      <c r="DD134" s="112"/>
      <c r="DE134" s="112" t="str">
        <f>HYPERLINK("http://fi-lohmar-siegburg.de/data/documents/130-37_Inklusion_im_Anfangsunterricht_-_Poster_mit_Situationsbildern.pdf","x")</f>
        <v>x</v>
      </c>
      <c r="DF134" s="115" t="str">
        <f>HYPERLINK("http://s3-eu-west-1.amazonaws.com/lingolia/calendar/2016/lingolia_2016_de.pdf","x")</f>
        <v>x</v>
      </c>
      <c r="DG134" s="112" t="str">
        <f>HYPERLINK("http://www.bibliomedia.ch/de/angebote/img/Wimmelbild.jpg","x")</f>
        <v>x</v>
      </c>
      <c r="DH134" s="112" t="str">
        <f t="shared" ref="DH134" si="686">HYPERLINK("http://www.bibliomedia.ch/de/angebote/dokumente/Wimmelbild_Fehler.jpg","x")</f>
        <v>x</v>
      </c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2"/>
      <c r="DU134" s="111"/>
      <c r="DV134" s="111"/>
      <c r="DW134" s="111"/>
      <c r="DX134" s="111"/>
      <c r="DY134" s="111"/>
      <c r="DZ134" s="111"/>
      <c r="EA134" s="112"/>
      <c r="EB134" s="112"/>
      <c r="EC134" s="111"/>
      <c r="ED134" s="111"/>
      <c r="EE134" s="111"/>
      <c r="EF134" s="111"/>
      <c r="EG134" s="111"/>
      <c r="EH134" s="111"/>
      <c r="EI134" s="112"/>
      <c r="EJ134" s="112"/>
      <c r="EK134" s="111"/>
      <c r="EL134" s="112"/>
      <c r="EM134" s="112"/>
      <c r="EN134" s="111"/>
      <c r="EO134" s="117"/>
      <c r="EP134" s="118"/>
      <c r="EQ134" s="112"/>
      <c r="ER134" s="111"/>
      <c r="ES134" s="111"/>
      <c r="ET134" s="111"/>
      <c r="EU134" s="111"/>
      <c r="EV134" s="112" t="str">
        <f t="shared" ref="EV134" si="687">HYPERLINK("http://www.lak-rlp.de/fileadmin/redakteure/pdf/download/Piktogramme_Dosieretiketten_AoG.pdf","x")</f>
        <v>x</v>
      </c>
      <c r="EW134" s="111"/>
      <c r="EX134" s="111"/>
      <c r="EY134" s="111"/>
      <c r="EZ134" s="111"/>
      <c r="FA134" s="111"/>
      <c r="FB134" s="111"/>
      <c r="FC134" s="112" t="str">
        <f>HYPERLINK("http://mige.ix-tech.de/index.php?id=241","x")</f>
        <v>x</v>
      </c>
      <c r="FD134" s="112"/>
      <c r="FE134" s="111"/>
      <c r="FF134" s="111"/>
      <c r="FG134" s="111"/>
      <c r="FH134" s="111"/>
      <c r="FI134" s="112"/>
      <c r="FJ134" s="112"/>
      <c r="FK134" s="111"/>
      <c r="FL134" s="111"/>
      <c r="FM134" s="112"/>
      <c r="FN134" s="112"/>
      <c r="FO134" s="112"/>
      <c r="FP134" s="111"/>
      <c r="FQ134" s="112"/>
      <c r="FR134" s="112"/>
      <c r="FS134" s="112"/>
      <c r="FT134" s="112"/>
      <c r="FU134" s="112"/>
      <c r="FV134" s="112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2"/>
      <c r="GH134" s="111"/>
      <c r="GI134" s="111"/>
      <c r="GJ134" s="111"/>
      <c r="GK134" s="111"/>
      <c r="GL134" s="112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2" t="str">
        <f t="shared" ref="HB134" si="688">HYPERLINK("https://www.zahnaerzte-wl.de/images/_PDF-suche/KZV_ZÄK/piktogrammheft.pdf","x")</f>
        <v>x</v>
      </c>
      <c r="HC134" s="111"/>
      <c r="HD134" s="111"/>
      <c r="HE134" s="111"/>
      <c r="HF134" s="111"/>
      <c r="HG134" s="111"/>
      <c r="HH134" s="111"/>
      <c r="HI134" s="111"/>
      <c r="HJ134" s="112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2" t="str">
        <f>HYPERLINK("http://www.selfhelpfortrauma.org/","x")</f>
        <v>x</v>
      </c>
      <c r="HY134" s="112" t="str">
        <f>HYPERLINK("http://peacefulheart.se/wp-content/uploads/2014/12/Resolving-Yesterday-20141201-Self-Tapping.pdf","x")</f>
        <v>x</v>
      </c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2"/>
      <c r="IK134" s="111"/>
      <c r="IL134" s="111"/>
      <c r="IM134" s="111"/>
      <c r="IN134" s="111"/>
      <c r="IO134" s="111"/>
      <c r="IP134" s="112"/>
      <c r="IQ134" s="112"/>
      <c r="IR134" s="111"/>
      <c r="IS134" s="111"/>
      <c r="IT134" s="111"/>
      <c r="IU134" s="112"/>
      <c r="IV134" s="112"/>
      <c r="IW134" s="112"/>
      <c r="IX134" s="112"/>
      <c r="IY134" s="111"/>
      <c r="IZ134" s="111"/>
      <c r="JA134" s="111"/>
      <c r="JB134" s="112"/>
      <c r="JC134" s="111"/>
      <c r="JD134" s="112"/>
      <c r="JE134" s="112"/>
      <c r="JF134" s="112"/>
      <c r="JG134" s="112"/>
      <c r="JH134" s="111"/>
      <c r="JI134" s="112"/>
      <c r="JJ134" s="112"/>
      <c r="JK134" s="112"/>
      <c r="JL134" s="112"/>
      <c r="JM134" s="112"/>
      <c r="JN134" s="112"/>
      <c r="JO134" s="112"/>
      <c r="JP134" s="112"/>
      <c r="JQ134" s="112"/>
      <c r="JR134" s="112"/>
      <c r="JS134" s="112"/>
      <c r="JT134" s="111"/>
      <c r="JU134" s="111"/>
      <c r="JV134" s="112"/>
      <c r="JW134" s="112"/>
      <c r="JX134" s="111"/>
      <c r="JY134" s="111"/>
      <c r="JZ134" s="111"/>
      <c r="KA134" s="111"/>
      <c r="KB134" s="111"/>
      <c r="KC134" s="111"/>
      <c r="KD134" s="111"/>
      <c r="KE134" s="112"/>
      <c r="KF134" s="111"/>
      <c r="KG134" s="111"/>
      <c r="KH134" s="111"/>
      <c r="KI134" s="111"/>
      <c r="KJ134" s="111"/>
      <c r="KK134" s="111"/>
      <c r="KL134" s="111"/>
      <c r="KM134" s="111"/>
      <c r="KN134" s="111"/>
      <c r="KO134" s="111"/>
      <c r="KP134" s="111"/>
      <c r="KQ134" s="111"/>
      <c r="KR134" s="111"/>
      <c r="KS134" s="111"/>
      <c r="KT134" s="111"/>
      <c r="KU134" s="111"/>
      <c r="KV134" s="111"/>
      <c r="KW134" s="111"/>
      <c r="KX134" s="111"/>
      <c r="KY134" s="111"/>
      <c r="KZ134" s="111"/>
      <c r="LA134" s="111"/>
      <c r="LB134" s="111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1"/>
      <c r="ME134" s="111"/>
      <c r="MF134" s="111"/>
      <c r="MG134" s="111"/>
      <c r="MH134" s="111"/>
    </row>
    <row r="135" spans="1:346" x14ac:dyDescent="0.25">
      <c r="A135" s="101" t="s">
        <v>488</v>
      </c>
      <c r="B135" s="102"/>
      <c r="C135" s="102"/>
      <c r="D135" s="102"/>
      <c r="E135" s="102"/>
      <c r="F135" s="102"/>
      <c r="G135" s="102"/>
      <c r="H135" s="102"/>
      <c r="I135" s="102"/>
      <c r="J135" s="103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6"/>
      <c r="AV135" s="106"/>
      <c r="AW135" s="106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9"/>
      <c r="EP135" s="109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5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</row>
    <row r="136" spans="1:346" x14ac:dyDescent="0.25">
      <c r="A136" s="110" t="s">
        <v>488</v>
      </c>
      <c r="B136" s="101" t="s">
        <v>90</v>
      </c>
      <c r="C136" s="102"/>
      <c r="D136" s="102"/>
      <c r="E136" s="102"/>
      <c r="F136" s="102"/>
      <c r="G136" s="102"/>
      <c r="H136" s="102"/>
      <c r="I136" s="102"/>
      <c r="J136" s="103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2"/>
      <c r="AO136" s="112"/>
      <c r="AP136" s="112"/>
      <c r="AQ136" s="112"/>
      <c r="AR136" s="112"/>
      <c r="AS136" s="112"/>
      <c r="AT136" s="112"/>
      <c r="AU136" s="113"/>
      <c r="AV136" s="114" t="str">
        <f>HYPERLINK("http://sab.landtag.sachsen.de/dokumente/landtagskurier/SAB_DeutschLernen_DinA5_WEB141115.pdf","x")</f>
        <v>x</v>
      </c>
      <c r="AW136" s="114" t="str">
        <f>HYPERLINK("http://sab.landtag.sachsen.de/dokumente/landtagskurier/SAB_PL_Lernposter_WEB091115.pdf","x")</f>
        <v>x</v>
      </c>
      <c r="AX136" s="111"/>
      <c r="AY136" s="111"/>
      <c r="AZ13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6" s="112" t="str">
        <f>HYPERLINK("http://wie-kann-ich-helfen.info/WoerterbuchAnalphabet_innen_%28c%29_Dagmar_Schmeelcke.pdf","x")</f>
        <v>x</v>
      </c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2" t="str">
        <f>HYPERLINK("http://www.goethe.de/lrn/prj/wnd/deu/lti/deindex.htm#13322010","x")</f>
        <v>x</v>
      </c>
      <c r="BS136" s="112"/>
      <c r="BT136" s="111"/>
      <c r="BU136" s="112" t="str">
        <f>HYPERLINK("https://s3-eu-west-1.amazonaws.com/lingolia/download/lingolia_daf.pdf","x")</f>
        <v>x</v>
      </c>
      <c r="BV136" s="112"/>
      <c r="BW136" s="112"/>
      <c r="BX136" s="112"/>
      <c r="BY136" s="112"/>
      <c r="BZ136" s="112" t="str">
        <f>HYPERLINK("http://www.hueber.de/shared/uebungen/schritte-plus","x")</f>
        <v>x</v>
      </c>
      <c r="CA136" s="112" t="str">
        <f>HYPERLINK("https://www.hueber.de/shared/uebungen/menschen-hier/ab/a1-1/menu.html","x")</f>
        <v>x</v>
      </c>
      <c r="CB136" s="112" t="str">
        <f>HYPERLINK("http://www.goethe-verlag.com/DE/","x")</f>
        <v>x</v>
      </c>
      <c r="CC136" s="112"/>
      <c r="CD136" s="112"/>
      <c r="CE136" s="111"/>
      <c r="CF136" s="111"/>
      <c r="CG136" s="111"/>
      <c r="CH136" s="111"/>
      <c r="CI136" s="112"/>
      <c r="CJ136" s="112" t="str">
        <f>HYPERLINK("http://www.e-migrantinnen.de/index.php?de_wichtige-links","x")</f>
        <v>x</v>
      </c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5"/>
      <c r="DC136" s="112"/>
      <c r="DD136" s="112"/>
      <c r="DE136" s="112" t="str">
        <f>HYPERLINK("http://fi-lohmar-siegburg.de/data/documents/130-37_Inklusion_im_Anfangsunterricht_-_Poster_mit_Situationsbildern.pdf","x")</f>
        <v>x</v>
      </c>
      <c r="DF136" s="115" t="str">
        <f>HYPERLINK("http://s3-eu-west-1.amazonaws.com/lingolia/calendar/2016/lingolia_2016_de.pdf","x")</f>
        <v>x</v>
      </c>
      <c r="DG136" s="112" t="str">
        <f>HYPERLINK("http://www.bibliomedia.ch/de/angebote/img/Wimmelbild.jpg","x")</f>
        <v>x</v>
      </c>
      <c r="DH136" s="112" t="str">
        <f t="shared" ref="DH136" si="689">HYPERLINK("http://www.bibliomedia.ch/de/angebote/dokumente/Wimmelbild_Fehler.jpg","x")</f>
        <v>x</v>
      </c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2"/>
      <c r="DU136" s="111"/>
      <c r="DV136" s="111"/>
      <c r="DW136" s="111"/>
      <c r="DX136" s="111"/>
      <c r="DY136" s="111"/>
      <c r="DZ136" s="111"/>
      <c r="EA136" s="112"/>
      <c r="EB136" s="112"/>
      <c r="EC136" s="111"/>
      <c r="ED136" s="111"/>
      <c r="EE136" s="111"/>
      <c r="EF136" s="111"/>
      <c r="EG136" s="111"/>
      <c r="EH136" s="111"/>
      <c r="EI136" s="112"/>
      <c r="EJ136" s="112"/>
      <c r="EK136" s="111"/>
      <c r="EL136" s="112" t="str">
        <f>HYPERLINK("Merkblatt ärztliche Untersuchung durch Gesundheitsämter","x")</f>
        <v>x</v>
      </c>
      <c r="EM136" s="112"/>
      <c r="EN136" s="111"/>
      <c r="EO136" s="117"/>
      <c r="EP136" s="118"/>
      <c r="EQ136" s="112" t="str">
        <f>HYPERLINK("http://www.kvs-sachsen.de/fileadmin/img/Mitglieder/Asylbewerber/Allg-Informationen/Anlagen_2-1_2-2_Hindi_LEK.pdf","x")</f>
        <v>x</v>
      </c>
      <c r="ER136" s="111"/>
      <c r="ES136" s="111"/>
      <c r="ET136" s="111"/>
      <c r="EU136" s="111"/>
      <c r="EV136" s="112" t="str">
        <f t="shared" ref="EV136" si="690">HYPERLINK("http://www.lak-rlp.de/fileadmin/redakteure/pdf/download/Piktogramme_Dosieretiketten_AoG.pdf","x")</f>
        <v>x</v>
      </c>
      <c r="EW136" s="111"/>
      <c r="EX136" s="111"/>
      <c r="EY136" s="111"/>
      <c r="EZ136" s="111"/>
      <c r="FA136" s="111"/>
      <c r="FB136" s="111"/>
      <c r="FC136" s="112" t="str">
        <f>HYPERLINK("http://mige.ix-tech.de/index.php?id=241","x")</f>
        <v>x</v>
      </c>
      <c r="FD136" s="112"/>
      <c r="FE136" s="111"/>
      <c r="FF136" s="111"/>
      <c r="FG136" s="111"/>
      <c r="FH136" s="111"/>
      <c r="FI136" s="112"/>
      <c r="FJ136" s="112"/>
      <c r="FK136" s="111"/>
      <c r="FL136" s="111"/>
      <c r="FM136" s="112"/>
      <c r="FN136" s="112"/>
      <c r="FO136" s="112"/>
      <c r="FP136" s="111"/>
      <c r="FQ136" s="112"/>
      <c r="FR136" s="112"/>
      <c r="FS136" s="112"/>
      <c r="FT136" s="112"/>
      <c r="FU136" s="112"/>
      <c r="FV136" s="112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2"/>
      <c r="GH136" s="111"/>
      <c r="GI136" s="111"/>
      <c r="GJ136" s="111"/>
      <c r="GK136" s="111"/>
      <c r="GL136" s="112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2" t="str">
        <f t="shared" ref="HB136" si="691">HYPERLINK("https://www.zahnaerzte-wl.de/images/_PDF-suche/KZV_ZÄK/piktogrammheft.pdf","x")</f>
        <v>x</v>
      </c>
      <c r="HC136" s="111"/>
      <c r="HD136" s="111"/>
      <c r="HE136" s="111"/>
      <c r="HF136" s="111"/>
      <c r="HG136" s="111"/>
      <c r="HH136" s="111"/>
      <c r="HI136" s="111"/>
      <c r="HJ136" s="112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2" t="str">
        <f>HYPERLINK("http://www.selfhelpfortrauma.org/","x")</f>
        <v>x</v>
      </c>
      <c r="HY136" s="112" t="str">
        <f>HYPERLINK("http://peacefulheart.se/wp-content/uploads/2014/12/Resolving-Yesterday-20141201-Self-Tapping.pdf","x")</f>
        <v>x</v>
      </c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2"/>
      <c r="IK136" s="111"/>
      <c r="IL136" s="111"/>
      <c r="IM136" s="111"/>
      <c r="IN136" s="111"/>
      <c r="IO136" s="111"/>
      <c r="IP136" s="112"/>
      <c r="IQ136" s="112"/>
      <c r="IR136" s="111"/>
      <c r="IS136" s="111"/>
      <c r="IT136" s="111"/>
      <c r="IU136" s="112"/>
      <c r="IV136" s="112"/>
      <c r="IW136" s="112"/>
      <c r="IX136" s="112" t="str">
        <f>HYPERLINK("http://www.bamf.de/SharedDocs/Anlagen/DE/Publikationen/Broschueren/broschuere-eat-a4-hi-hindi.pdf?__blob=publicationFile","x")</f>
        <v>x</v>
      </c>
      <c r="IY136" s="111"/>
      <c r="IZ136" s="111"/>
      <c r="JA136" s="111"/>
      <c r="JB136" s="112"/>
      <c r="JC136" s="111"/>
      <c r="JD136" s="112"/>
      <c r="JE136" s="112"/>
      <c r="JF136" s="112"/>
      <c r="JG136" s="112"/>
      <c r="JH136" s="111"/>
      <c r="JI136" s="112"/>
      <c r="JJ136" s="112"/>
      <c r="JK136" s="112"/>
      <c r="JL136" s="112"/>
      <c r="JM136" s="112"/>
      <c r="JN136" s="112"/>
      <c r="JO136" s="112"/>
      <c r="JP136" s="112"/>
      <c r="JQ136" s="112" t="str">
        <f>HYPERLINK("http://www.ibla-germany.de/merkblaetter.php","x")</f>
        <v>x</v>
      </c>
      <c r="JR136" s="112"/>
      <c r="JS136" s="112"/>
      <c r="JT136" s="111"/>
      <c r="JU136" s="111"/>
      <c r="JV136" s="112"/>
      <c r="JW136" s="112"/>
      <c r="JX136" s="111"/>
      <c r="JY136" s="111"/>
      <c r="JZ136" s="111"/>
      <c r="KA136" s="111"/>
      <c r="KB136" s="111"/>
      <c r="KC136" s="111"/>
      <c r="KD136" s="111"/>
      <c r="KE136" s="112"/>
      <c r="KF136" s="111"/>
      <c r="KG136" s="111"/>
      <c r="KH136" s="111"/>
      <c r="KI136" s="111"/>
      <c r="KJ136" s="111"/>
      <c r="KK136" s="111"/>
      <c r="KL136" s="111"/>
      <c r="KM136" s="111"/>
      <c r="KN136" s="111"/>
      <c r="KO136" s="111"/>
      <c r="KP136" s="111"/>
      <c r="KQ136" s="111"/>
      <c r="KR136" s="111"/>
      <c r="KS136" s="111"/>
      <c r="KT136" s="111"/>
      <c r="KU136" s="111"/>
      <c r="KV136" s="111"/>
      <c r="KW136" s="111"/>
      <c r="KX136" s="111"/>
      <c r="KY136" s="111"/>
      <c r="KZ136" s="111"/>
      <c r="LA136" s="111"/>
      <c r="LB136" s="111"/>
      <c r="LC136" s="111"/>
      <c r="LD136" s="111"/>
      <c r="LE136" s="111"/>
      <c r="LF136" s="111"/>
      <c r="LG136" s="111"/>
      <c r="LH136" s="111"/>
      <c r="LI136" s="111"/>
      <c r="LJ136" s="111"/>
      <c r="LK136" s="111"/>
      <c r="LL136" s="111"/>
      <c r="LM136" s="111"/>
      <c r="LN136" s="111"/>
      <c r="LO136" s="111"/>
      <c r="LP136" s="111"/>
      <c r="LQ136" s="111"/>
      <c r="LR136" s="111"/>
      <c r="LS136" s="111"/>
      <c r="LT136" s="111"/>
      <c r="LU136" s="111"/>
      <c r="LV136" s="111"/>
      <c r="LW136" s="111"/>
      <c r="LX136" s="111"/>
      <c r="LY136" s="111"/>
      <c r="LZ136" s="111"/>
      <c r="MA136" s="111"/>
      <c r="MB136" s="111"/>
      <c r="MC136" s="111"/>
      <c r="MD136" s="111"/>
      <c r="ME136" s="111"/>
      <c r="MF136" s="111"/>
      <c r="MG136" s="111"/>
      <c r="MH136" s="111"/>
    </row>
    <row r="137" spans="1:346" x14ac:dyDescent="0.25">
      <c r="A137" s="101" t="s">
        <v>489</v>
      </c>
      <c r="B137" s="102"/>
      <c r="C137" s="102"/>
      <c r="D137" s="102"/>
      <c r="E137" s="102"/>
      <c r="F137" s="102"/>
      <c r="G137" s="102"/>
      <c r="H137" s="102"/>
      <c r="I137" s="102"/>
      <c r="J137" s="103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6"/>
      <c r="AV137" s="106"/>
      <c r="AW137" s="106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9"/>
      <c r="EP137" s="109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5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4"/>
      <c r="JN137" s="104"/>
      <c r="JO137" s="104"/>
      <c r="JP137" s="104"/>
      <c r="JQ137" s="104"/>
      <c r="JR137" s="104"/>
      <c r="JS137" s="104"/>
      <c r="JT137" s="104"/>
      <c r="JU137" s="104"/>
      <c r="JV137" s="104"/>
      <c r="JW137" s="104"/>
      <c r="JX137" s="104"/>
      <c r="JY137" s="104"/>
      <c r="JZ137" s="104"/>
      <c r="KA137" s="104"/>
      <c r="KB137" s="104"/>
      <c r="KC137" s="104"/>
      <c r="KD137" s="104"/>
      <c r="KE137" s="104"/>
      <c r="KF137" s="104"/>
      <c r="KG137" s="104"/>
      <c r="KH137" s="104"/>
      <c r="KI137" s="104"/>
      <c r="KJ137" s="104"/>
      <c r="KK137" s="104"/>
      <c r="KL137" s="104"/>
      <c r="KM137" s="104"/>
      <c r="KN137" s="104"/>
      <c r="KO137" s="104"/>
      <c r="KP137" s="104"/>
      <c r="KQ137" s="104"/>
      <c r="KR137" s="104"/>
      <c r="KS137" s="104"/>
      <c r="KT137" s="104"/>
      <c r="KU137" s="104"/>
      <c r="KV137" s="104"/>
      <c r="KW137" s="104"/>
      <c r="KX137" s="104"/>
      <c r="KY137" s="104"/>
      <c r="KZ137" s="104"/>
      <c r="LA137" s="104"/>
      <c r="LB137" s="104"/>
      <c r="LC137" s="104"/>
      <c r="LD137" s="104"/>
      <c r="LE137" s="104"/>
      <c r="LF137" s="104"/>
      <c r="LG137" s="104"/>
      <c r="LH137" s="104"/>
      <c r="LI137" s="104"/>
      <c r="LJ137" s="104"/>
      <c r="LK137" s="104"/>
      <c r="LL137" s="104"/>
      <c r="LM137" s="104"/>
      <c r="LN137" s="104"/>
      <c r="LO137" s="104"/>
      <c r="LP137" s="104"/>
      <c r="LQ137" s="104"/>
      <c r="LR137" s="104"/>
      <c r="LS137" s="104"/>
      <c r="LT137" s="104"/>
      <c r="LU137" s="104"/>
      <c r="LV137" s="104"/>
      <c r="LW137" s="104"/>
      <c r="LX137" s="104"/>
      <c r="LY137" s="104"/>
      <c r="LZ137" s="104"/>
      <c r="MA137" s="104"/>
      <c r="MB137" s="104"/>
      <c r="MC137" s="104"/>
      <c r="MD137" s="104"/>
      <c r="ME137" s="104"/>
      <c r="MF137" s="104"/>
      <c r="MG137" s="104"/>
      <c r="MH137" s="104"/>
    </row>
    <row r="138" spans="1:346" x14ac:dyDescent="0.25">
      <c r="A138" s="110" t="s">
        <v>489</v>
      </c>
      <c r="B138" s="101" t="s">
        <v>139</v>
      </c>
      <c r="C138" s="102"/>
      <c r="D138" s="102"/>
      <c r="E138" s="102"/>
      <c r="F138" s="102"/>
      <c r="G138" s="102"/>
      <c r="H138" s="102"/>
      <c r="I138" s="102"/>
      <c r="J138" s="103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2"/>
      <c r="AO138" s="112"/>
      <c r="AP138" s="112"/>
      <c r="AQ138" s="112"/>
      <c r="AR138" s="112"/>
      <c r="AS138" s="112"/>
      <c r="AT138" s="112"/>
      <c r="AU138" s="113"/>
      <c r="AV138" s="114" t="str">
        <f>HYPERLINK("http://sab.landtag.sachsen.de/dokumente/landtagskurier/SAB_DeutschLernen_DinA5_WEB141115.pdf","x")</f>
        <v>x</v>
      </c>
      <c r="AW138" s="114" t="str">
        <f>HYPERLINK("http://sab.landtag.sachsen.de/dokumente/landtagskurier/SAB_PL_Lernposter_WEB091115.pdf","x")</f>
        <v>x</v>
      </c>
      <c r="AX138" s="111"/>
      <c r="AY138" s="111"/>
      <c r="AZ13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8" s="112" t="str">
        <f>HYPERLINK("http://wie-kann-ich-helfen.info/WoerterbuchAnalphabet_innen_%28c%29_Dagmar_Schmeelcke.pdf","x")</f>
        <v>x</v>
      </c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2" t="str">
        <f>HYPERLINK("http://www.goethe.de/lrn/prj/wnd/deu/lti/deindex.htm#13322010","x")</f>
        <v>x</v>
      </c>
      <c r="BS138" s="112"/>
      <c r="BT138" s="111"/>
      <c r="BU138" s="112" t="str">
        <f>HYPERLINK("https://s3-eu-west-1.amazonaws.com/lingolia/download/lingolia_daf.pdf","x")</f>
        <v>x</v>
      </c>
      <c r="BV138" s="112"/>
      <c r="BW138" s="112"/>
      <c r="BX138" s="112"/>
      <c r="BY138" s="112"/>
      <c r="BZ138" s="112" t="str">
        <f>HYPERLINK("http://www.hueber.de/shared/uebungen/schritte-plus","x")</f>
        <v>x</v>
      </c>
      <c r="CA138" s="112" t="str">
        <f>HYPERLINK("https://www.hueber.de/shared/uebungen/menschen-hier/ab/a1-1/menu.html","x")</f>
        <v>x</v>
      </c>
      <c r="CB138" s="112" t="str">
        <f>HYPERLINK("http://www.goethe-verlag.com/DE/","x")</f>
        <v>x</v>
      </c>
      <c r="CC138" s="112"/>
      <c r="CD138" s="112"/>
      <c r="CE138" s="111"/>
      <c r="CF138" s="111"/>
      <c r="CG138" s="111"/>
      <c r="CH138" s="111"/>
      <c r="CI138" s="112"/>
      <c r="CJ138" s="112" t="str">
        <f>HYPERLINK("http://www.e-migrantinnen.de/index.php?de_wichtige-links","x")</f>
        <v>x</v>
      </c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5"/>
      <c r="DC138" s="112"/>
      <c r="DD138" s="112"/>
      <c r="DE138" s="112" t="str">
        <f>HYPERLINK("http://fi-lohmar-siegburg.de/data/documents/130-37_Inklusion_im_Anfangsunterricht_-_Poster_mit_Situationsbildern.pdf","x")</f>
        <v>x</v>
      </c>
      <c r="DF138" s="115" t="str">
        <f>HYPERLINK("http://s3-eu-west-1.amazonaws.com/lingolia/calendar/2016/lingolia_2016_de.pdf","x")</f>
        <v>x</v>
      </c>
      <c r="DG138" s="112" t="str">
        <f>HYPERLINK("http://www.bibliomedia.ch/de/angebote/img/Wimmelbild.jpg","x")</f>
        <v>x</v>
      </c>
      <c r="DH138" s="112" t="str">
        <f t="shared" ref="DH138" si="692">HYPERLINK("http://www.bibliomedia.ch/de/angebote/dokumente/Wimmelbild_Fehler.jpg","x")</f>
        <v>x</v>
      </c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2"/>
      <c r="DU138" s="111"/>
      <c r="DV138" s="111"/>
      <c r="DW138" s="111"/>
      <c r="DX138" s="111"/>
      <c r="DY138" s="111"/>
      <c r="DZ138" s="112" t="str">
        <f>HYPERLINK("http://www.bamf.de/SharedDocs/Anlagen/DE/Publikationen/Flyer/AnerkennungBerufsabschluss/anerkennung-berufsabschluss_ausland_in.pdf?__blob=publicationFile","x")</f>
        <v>x</v>
      </c>
      <c r="EA138" s="112"/>
      <c r="EB138" s="112"/>
      <c r="EC138" s="111"/>
      <c r="ED138" s="111"/>
      <c r="EE138" s="111"/>
      <c r="EF138" s="111"/>
      <c r="EG138" s="111"/>
      <c r="EH138" s="111"/>
      <c r="EI138" s="112"/>
      <c r="EJ138" s="112"/>
      <c r="EK138" s="111"/>
      <c r="EL138" s="112"/>
      <c r="EM138" s="112"/>
      <c r="EN138" s="111"/>
      <c r="EO138" s="117"/>
      <c r="EP138" s="118"/>
      <c r="EQ138" s="112"/>
      <c r="ER138" s="111"/>
      <c r="ES138" s="111"/>
      <c r="ET138" s="111"/>
      <c r="EU138" s="111"/>
      <c r="EV138" s="112" t="str">
        <f t="shared" ref="EV138" si="693">HYPERLINK("http://www.lak-rlp.de/fileadmin/redakteure/pdf/download/Piktogramme_Dosieretiketten_AoG.pdf","x")</f>
        <v>x</v>
      </c>
      <c r="EW138" s="111"/>
      <c r="EX138" s="111"/>
      <c r="EY138" s="111"/>
      <c r="EZ138" s="111"/>
      <c r="FA138" s="111"/>
      <c r="FB138" s="111"/>
      <c r="FC138" s="112" t="str">
        <f>HYPERLINK("http://mige.ix-tech.de/index.php?id=241","x")</f>
        <v>x</v>
      </c>
      <c r="FD138" s="112"/>
      <c r="FE138" s="111"/>
      <c r="FF138" s="111"/>
      <c r="FG138" s="111"/>
      <c r="FH138" s="111"/>
      <c r="FI138" s="112"/>
      <c r="FJ138" s="112"/>
      <c r="FK138" s="111"/>
      <c r="FL138" s="111"/>
      <c r="FM138" s="112"/>
      <c r="FN138" s="112"/>
      <c r="FO138" s="112"/>
      <c r="FP138" s="111"/>
      <c r="FQ138" s="112"/>
      <c r="FR138" s="112"/>
      <c r="FS138" s="112"/>
      <c r="FT138" s="112"/>
      <c r="FU138" s="112"/>
      <c r="FV138" s="112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2"/>
      <c r="GH138" s="111"/>
      <c r="GI138" s="111"/>
      <c r="GJ138" s="111"/>
      <c r="GK138" s="111"/>
      <c r="GL138" s="112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2" t="str">
        <f t="shared" ref="HB138" si="694">HYPERLINK("https://www.zahnaerzte-wl.de/images/_PDF-suche/KZV_ZÄK/piktogrammheft.pdf","x")</f>
        <v>x</v>
      </c>
      <c r="HC138" s="111"/>
      <c r="HD138" s="111"/>
      <c r="HE138" s="111"/>
      <c r="HF138" s="111"/>
      <c r="HG138" s="111"/>
      <c r="HH138" s="111"/>
      <c r="HI138" s="111"/>
      <c r="HJ138" s="112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2" t="str">
        <f>HYPERLINK("http://www.selfhelpfortrauma.org/","x")</f>
        <v>x</v>
      </c>
      <c r="HY138" s="112" t="str">
        <f>HYPERLINK("http://peacefulheart.se/wp-content/uploads/2014/12/Resolving-Yesterday-20141201-Self-Tapping.pdf","x")</f>
        <v>x</v>
      </c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2"/>
      <c r="IK138" s="111"/>
      <c r="IL138" s="111"/>
      <c r="IM138" s="111"/>
      <c r="IN138" s="111"/>
      <c r="IO138" s="111"/>
      <c r="IP138" s="112"/>
      <c r="IQ138" s="112"/>
      <c r="IR138" s="111"/>
      <c r="IS138" s="111"/>
      <c r="IT138" s="111"/>
      <c r="IU138" s="112"/>
      <c r="IV138" s="112"/>
      <c r="IW138" s="112"/>
      <c r="IX138" s="112"/>
      <c r="IY138" s="111"/>
      <c r="IZ138" s="111"/>
      <c r="JA138" s="111"/>
      <c r="JB138" s="112"/>
      <c r="JC138" s="111"/>
      <c r="JD138" s="112"/>
      <c r="JE138" s="112"/>
      <c r="JF138" s="112"/>
      <c r="JG138" s="112"/>
      <c r="JH138" s="111"/>
      <c r="JI138" s="112"/>
      <c r="JJ138" s="112"/>
      <c r="JK138" s="112"/>
      <c r="JL138" s="112"/>
      <c r="JM138" s="112"/>
      <c r="JN138" s="112"/>
      <c r="JO138" s="112"/>
      <c r="JP138" s="112"/>
      <c r="JQ138" s="112"/>
      <c r="JR138" s="112"/>
      <c r="JS138" s="112"/>
      <c r="JT138" s="111"/>
      <c r="JU138" s="111"/>
      <c r="JV138" s="112"/>
      <c r="JW138" s="112"/>
      <c r="JX138" s="111"/>
      <c r="JY138" s="111"/>
      <c r="JZ138" s="111"/>
      <c r="KA138" s="111"/>
      <c r="KB138" s="111"/>
      <c r="KC138" s="111"/>
      <c r="KD138" s="111"/>
      <c r="KE138" s="112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1"/>
      <c r="ME138" s="111"/>
      <c r="MF138" s="111"/>
      <c r="MG138" s="111"/>
      <c r="MH138" s="111"/>
    </row>
    <row r="139" spans="1:346" x14ac:dyDescent="0.25">
      <c r="A139" s="101" t="s">
        <v>31</v>
      </c>
      <c r="B139" s="102"/>
      <c r="C139" s="102"/>
      <c r="D139" s="102"/>
      <c r="E139" s="102"/>
      <c r="F139" s="102"/>
      <c r="G139" s="102"/>
      <c r="H139" s="102"/>
      <c r="I139" s="102"/>
      <c r="J139" s="103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6"/>
      <c r="AV139" s="106"/>
      <c r="AW139" s="106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9"/>
      <c r="EP139" s="109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5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4"/>
      <c r="JN139" s="104"/>
      <c r="JO139" s="104"/>
      <c r="JP139" s="104"/>
      <c r="JQ139" s="104"/>
      <c r="JR139" s="104"/>
      <c r="JS139" s="104"/>
      <c r="JT139" s="104"/>
      <c r="JU139" s="104"/>
      <c r="JV139" s="104"/>
      <c r="JW139" s="104"/>
      <c r="JX139" s="104"/>
      <c r="JY139" s="104"/>
      <c r="JZ139" s="104"/>
      <c r="KA139" s="104"/>
      <c r="KB139" s="104"/>
      <c r="KC139" s="104"/>
      <c r="KD139" s="104"/>
      <c r="KE139" s="104"/>
      <c r="KF139" s="104"/>
      <c r="KG139" s="104"/>
      <c r="KH139" s="104"/>
      <c r="KI139" s="104"/>
      <c r="KJ139" s="104"/>
      <c r="KK139" s="104"/>
      <c r="KL139" s="104"/>
      <c r="KM139" s="104"/>
      <c r="KN139" s="104"/>
      <c r="KO139" s="104"/>
      <c r="KP139" s="104"/>
      <c r="KQ139" s="104"/>
      <c r="KR139" s="104"/>
      <c r="KS139" s="104"/>
      <c r="KT139" s="104"/>
      <c r="KU139" s="104"/>
      <c r="KV139" s="104"/>
      <c r="KW139" s="104"/>
      <c r="KX139" s="104"/>
      <c r="KY139" s="104"/>
      <c r="KZ139" s="104"/>
      <c r="LA139" s="104"/>
      <c r="LB139" s="104"/>
      <c r="LC139" s="104"/>
      <c r="LD139" s="104"/>
      <c r="LE139" s="104"/>
      <c r="LF139" s="104"/>
      <c r="LG139" s="104"/>
      <c r="LH139" s="104"/>
      <c r="LI139" s="104"/>
      <c r="LJ139" s="104"/>
      <c r="LK139" s="104"/>
      <c r="LL139" s="104"/>
      <c r="LM139" s="104"/>
      <c r="LN139" s="104"/>
      <c r="LO139" s="104"/>
      <c r="LP139" s="104"/>
      <c r="LQ139" s="104"/>
      <c r="LR139" s="104"/>
      <c r="LS139" s="104"/>
      <c r="LT139" s="104"/>
      <c r="LU139" s="104"/>
      <c r="LV139" s="104"/>
      <c r="LW139" s="104"/>
      <c r="LX139" s="104"/>
      <c r="LY139" s="104"/>
      <c r="LZ139" s="104"/>
      <c r="MA139" s="104"/>
      <c r="MB139" s="104"/>
      <c r="MC139" s="104"/>
      <c r="MD139" s="104"/>
      <c r="ME139" s="104"/>
      <c r="MF139" s="104"/>
      <c r="MG139" s="104"/>
      <c r="MH139" s="104"/>
    </row>
    <row r="140" spans="1:346" x14ac:dyDescent="0.25">
      <c r="A140" s="110" t="s">
        <v>31</v>
      </c>
      <c r="B140" s="101" t="s">
        <v>410</v>
      </c>
      <c r="C140" s="102"/>
      <c r="D140" s="102"/>
      <c r="E140" s="102"/>
      <c r="F140" s="102"/>
      <c r="G140" s="102"/>
      <c r="H140" s="102"/>
      <c r="I140" s="102"/>
      <c r="J140" s="103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2"/>
      <c r="AO140" s="112"/>
      <c r="AP140" s="112"/>
      <c r="AQ140" s="112"/>
      <c r="AR140" s="112"/>
      <c r="AS140" s="112"/>
      <c r="AT140" s="112"/>
      <c r="AU140" s="113"/>
      <c r="AV140" s="114" t="str">
        <f>HYPERLINK("http://sab.landtag.sachsen.de/dokumente/landtagskurier/SAB_DeutschLernen_DinA5_WEB141115.pdf","x")</f>
        <v>x</v>
      </c>
      <c r="AW140" s="114" t="str">
        <f>HYPERLINK("http://sab.landtag.sachsen.de/dokumente/landtagskurier/SAB_PL_Lernposter_WEB091115.pdf","x")</f>
        <v>x</v>
      </c>
      <c r="AX140" s="111"/>
      <c r="AY140" s="111"/>
      <c r="AZ14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0" s="112" t="str">
        <f>HYPERLINK("http://wie-kann-ich-helfen.info/WoerterbuchAnalphabet_innen_%28c%29_Dagmar_Schmeelcke.pdf","x")</f>
        <v>x</v>
      </c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2" t="str">
        <f>HYPERLINK("http://www.goethe.de/lrn/prj/wnd/deu/lti/deindex.htm#13322010","x")</f>
        <v>x</v>
      </c>
      <c r="BS140" s="112"/>
      <c r="BT140" s="111"/>
      <c r="BU140" s="112" t="str">
        <f>HYPERLINK("https://s3-eu-west-1.amazonaws.com/lingolia/download/lingolia_daf.pdf","x")</f>
        <v>x</v>
      </c>
      <c r="BV140" s="112" t="str">
        <f>HYPERLINK("http://www.welcomegrooves.de/wp-content/uploads/2015/10/welcomegrooves_DE-ITALIENISCH.pdf","x")</f>
        <v>x</v>
      </c>
      <c r="BW140" s="112"/>
      <c r="BX140" s="112"/>
      <c r="BY140" s="112"/>
      <c r="BZ140" s="112" t="str">
        <f>HYPERLINK("http://www.hueber.de/shared/uebungen/schritte-plus","x")</f>
        <v>x</v>
      </c>
      <c r="CA140" s="112" t="str">
        <f>HYPERLINK("https://www.hueber.de/shared/uebungen/menschen-hier/ab/a1-1/menu.html","x")</f>
        <v>x</v>
      </c>
      <c r="CB140" s="112" t="str">
        <f>HYPERLINK("http://www.goethe-verlag.com/DE/","x")</f>
        <v>x</v>
      </c>
      <c r="CC140" s="112"/>
      <c r="CD140" s="112"/>
      <c r="CE140" s="111"/>
      <c r="CF140" s="111"/>
      <c r="CG140" s="111"/>
      <c r="CH140" s="111"/>
      <c r="CI140" s="112" t="str">
        <f>HYPERLINK("https://www.hilfetelefon.de/fileadmin/hilfetelefon_de/Materialien/weitere_werbemittel/Klappflyer_Vorder-_und_Rueckseite_opt2.pdf","x")</f>
        <v>x</v>
      </c>
      <c r="CJ140" s="112" t="str">
        <f>HYPERLINK("http://www.e-migrantinnen.de/index.php?de_wichtige-links","x")</f>
        <v>x</v>
      </c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5"/>
      <c r="DC140" s="112"/>
      <c r="DD140" s="112"/>
      <c r="DE140" s="112" t="str">
        <f>HYPERLINK("http://fi-lohmar-siegburg.de/data/documents/130-37_Inklusion_im_Anfangsunterricht_-_Poster_mit_Situationsbildern.pdf","x")</f>
        <v>x</v>
      </c>
      <c r="DF140" s="115" t="str">
        <f>HYPERLINK("http://s3-eu-west-1.amazonaws.com/lingolia/calendar/2016/lingolia_2016_de.pdf","x")</f>
        <v>x</v>
      </c>
      <c r="DG140" s="112" t="str">
        <f>HYPERLINK("http://www.bibliomedia.ch/de/angebote/img/Wimmelbild.jpg","x")</f>
        <v>x</v>
      </c>
      <c r="DH140" s="112" t="str">
        <f>HYPERLINK("http://www.bibliomedia.ch/de/angebote/dokumente/Wimmelbild_Fehler.jpg","x")</f>
        <v>x</v>
      </c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2" t="str">
        <f>HYPERLINK("http://bildung.koeln.de/materialbibliothek/download.php?idx=6e6336cbd5e920e5928ff24d1b4dc652","x")</f>
        <v>x</v>
      </c>
      <c r="DS140" s="112" t="str">
        <f>HYPERLINK("http://bildung.koeln.de/materialbibliothek/download.php?idx=84ab4cde32ae8b264a6f2c238f88b49e","x")</f>
        <v>x</v>
      </c>
      <c r="DT140" s="112"/>
      <c r="DU140" s="112" t="str">
        <f>HYPERLINK("https://www.bmbf.de/pub/Elternbroschuere_Kausa_italienisch.pdf","x")</f>
        <v>x</v>
      </c>
      <c r="DV140" s="111"/>
      <c r="DW140" s="111"/>
      <c r="DX140" s="111"/>
      <c r="DY140" s="111"/>
      <c r="DZ140" s="112" t="str">
        <f>HYPERLINK("http://www.bamf.de/SharedDocs/Anlagen/DE/Publikationen/Flyer/AnerkennungBerufsabschluss/anerkennung-berufsabschluss_ausland_it.pdf?__blob=publicationFile","x")</f>
        <v>x</v>
      </c>
      <c r="EA140" s="112"/>
      <c r="EB140" s="112"/>
      <c r="EC140" s="111"/>
      <c r="ED140" s="111"/>
      <c r="EE140" s="111"/>
      <c r="EF140" s="111"/>
      <c r="EG140" s="111"/>
      <c r="EH140" s="111"/>
      <c r="EI140" s="112"/>
      <c r="EJ140" s="112"/>
      <c r="EK140" s="111"/>
      <c r="EL140" s="112" t="str">
        <f>HYPERLINK("http://www.kvs-sachsen.de/fileadmin/img/Mitglieder/Asylbewerber/Allg-Informationen/Anlage_1_Italienisch_LEK.pdf","x")</f>
        <v>x</v>
      </c>
      <c r="EM140" s="111"/>
      <c r="EN140" s="111"/>
      <c r="EO140" s="117" t="str">
        <f>HYPERLINK("http://www.medi-bild.de/pdf/anamnese/Welche_Sprache.pdf","x")</f>
        <v>x</v>
      </c>
      <c r="EP140" s="117" t="str">
        <f>HYPERLINK("http://www.armut-gesundheit.de/fileadmin/redakteur/dokumente/Anamnesebogen%20-%20italienischnew.pdf","x")</f>
        <v>x</v>
      </c>
      <c r="EQ140" s="112" t="str">
        <f>HYPERLINK("http://www.kvs-sachsen.de/fileadmin/img/Mitglieder/Asylbewerber/Allg-Informationen/Anlagen_2-1_2-2_Italienisch_LEK.pdf","x")</f>
        <v>x</v>
      </c>
      <c r="ER140" s="111"/>
      <c r="ES140" s="111"/>
      <c r="ET140" s="111"/>
      <c r="EU140" s="111"/>
      <c r="EV140" s="112" t="str">
        <f t="shared" ref="EV140:EV141" si="695">HYPERLINK("http://www.lak-rlp.de/fileadmin/redakteure/pdf/download/Piktogramme_Dosieretiketten_AoG.pdf","x")</f>
        <v>x</v>
      </c>
      <c r="EW140" s="111"/>
      <c r="EX140" s="111"/>
      <c r="EY140" s="111"/>
      <c r="EZ140" s="111"/>
      <c r="FA140" s="111"/>
      <c r="FB140" s="111"/>
      <c r="FC140" s="112" t="str">
        <f>HYPERLINK("http://mige.ix-tech.de/index.php?id=241","x")</f>
        <v>x</v>
      </c>
      <c r="FD140" s="112" t="str">
        <f>HYPERLINK("http://sghanstedt.elbnetz.com/ueber-uns/","x")</f>
        <v>x</v>
      </c>
      <c r="FE140" s="111"/>
      <c r="FF140" s="111"/>
      <c r="FG140" s="111"/>
      <c r="FH140" s="111"/>
      <c r="FI140" s="111"/>
      <c r="FJ140" s="111"/>
      <c r="FK140" s="112" t="str">
        <f>HYPERLINK("http://www.ethno-medizinisches-zentrum.de/images/PDF-Files/impfwegweiser_italiensich_2013_online.pdf","x")</f>
        <v>x</v>
      </c>
      <c r="FL140" s="112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2" t="str">
        <f>HYPERLINK("http://www.ethno-medizinisches-zentrum.de/images/PDF-Files/lf_diabete_italienisch.pdf","x")</f>
        <v>x</v>
      </c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2" t="str">
        <f t="shared" si="628"/>
        <v>x</v>
      </c>
      <c r="HC140" s="111"/>
      <c r="HD140" s="111"/>
      <c r="HE140" s="111"/>
      <c r="HF140" s="111"/>
      <c r="HG140" s="111"/>
      <c r="HH140" s="111"/>
      <c r="HI140" s="111"/>
      <c r="HJ140" s="112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2" t="str">
        <f>HYPERLINK("http://www.bkk-psychisch-gesund.de/fileadmin/user_upload/Dokumente/Versicherte/Broschueren/Wegweiser_Psychotherapie_italienisch.pdf","x")</f>
        <v>x</v>
      </c>
      <c r="HX140" s="112" t="str">
        <f>HYPERLINK("http://www.selfhelpfortrauma.org/","x")</f>
        <v>x</v>
      </c>
      <c r="HY140" s="112" t="str">
        <f>HYPERLINK("http://peacefulheart.se/wp-content/uploads/2014/12/Resolving-Yesterday-20141201-Self-Tapping.pdf","x")</f>
        <v>x</v>
      </c>
      <c r="HZ140" s="111"/>
      <c r="IA140" s="111"/>
      <c r="IB140" s="111"/>
      <c r="IC140" s="111"/>
      <c r="ID140" s="111"/>
      <c r="IE140" s="111"/>
      <c r="IF140" s="111"/>
      <c r="IG140" s="111"/>
      <c r="IH140" s="112" t="str">
        <f>HYPERLINK("http://www.caritas.de/hilfeundberatung/onlineberatung/suchtberatung/haeufiggestelltefragensucht/haeufiggestelltefragen-sucht","x")</f>
        <v>x</v>
      </c>
      <c r="II140" s="111"/>
      <c r="IJ140" s="112" t="str">
        <f>HYPERLINK("http://www.bamf.de/SharedDocs/Anlagen/DE/Publikationen/Flyer/Lassen-Sie-Sich-Beraten/lassen-sie-sich-beraten_it.pdf?__blob=publicationFile","x")</f>
        <v>x</v>
      </c>
      <c r="IK140" s="111"/>
      <c r="IL140" s="111"/>
      <c r="IM140" s="112" t="str">
        <f>HYPERLINK("https://www.bamf.de/SharedDocs/Anlagen/DE/Publikationen/Broschueren/willkommen-in-deutschland_it.pdf?__blob=publicationFile","x")</f>
        <v>x</v>
      </c>
      <c r="IN140" s="112"/>
      <c r="IO140" s="111"/>
      <c r="IP140" s="112" t="str">
        <f>HYPERLINK("http://www.bamf.de/SharedDocs/Anlagen/DE/Publikationen/Flyer/Lernen-Sie-Deutsch/lernen-sie-deutsch_it.pdf?__blob=publicationFile","x")</f>
        <v>x</v>
      </c>
      <c r="IQ140" s="112"/>
      <c r="IR140" s="111"/>
      <c r="IS140" s="111"/>
      <c r="IT140" s="111"/>
      <c r="IU140" s="112"/>
      <c r="IV140" s="112"/>
      <c r="IW140" s="112" t="str">
        <f t="shared" ref="IW140:IW141" si="696">HYPERLINK("http://www.berlin.de/labo/willkommen-in-berlin/service/downloads/artikel.273193.php","x")</f>
        <v>x</v>
      </c>
      <c r="IX140" s="112"/>
      <c r="IY140" s="111"/>
      <c r="IZ140" s="111"/>
      <c r="JA140" s="111"/>
      <c r="JB140" s="112"/>
      <c r="JC140" s="111"/>
      <c r="JD140" s="112"/>
      <c r="JE140" s="112"/>
      <c r="JF140" s="112"/>
      <c r="JG140" s="112"/>
      <c r="JH140" s="111"/>
      <c r="JI140" s="112"/>
      <c r="JJ140" s="112"/>
      <c r="JK140" s="112" t="str">
        <f>HYPERLINK("http://www.kub-berlin.org/formularprojekt/de/italienisch-antraege-und-anlagen-uebersetzungshilfen/","x")</f>
        <v>x</v>
      </c>
      <c r="JL140" s="112" t="str">
        <f t="shared" ref="JL140:JL141" si="697">HYPERLINK("https://www.arbeitsagentur.de/web/content/DE/Formulare/Detail/index.htm?dfContentId=L6019022DSTBAI485740","x")</f>
        <v>x</v>
      </c>
      <c r="JM140" s="112"/>
      <c r="JN140" s="112"/>
      <c r="JO140" s="112"/>
      <c r="JP140" s="112"/>
      <c r="JQ140" s="112" t="str">
        <f t="shared" ref="JQ140:JQ141" si="698">HYPERLINK("http://www.ibla-germany.de/merkblaetter.php","x")</f>
        <v>x</v>
      </c>
      <c r="JR140" s="112"/>
      <c r="JS140" s="111"/>
      <c r="JT140" s="111"/>
      <c r="JU140" s="111"/>
      <c r="JV140" s="112"/>
      <c r="JW140" s="112"/>
      <c r="JX140" s="111"/>
      <c r="JY140" s="111"/>
      <c r="JZ140" s="111"/>
      <c r="KA140" s="111"/>
      <c r="KB140" s="111"/>
      <c r="KC140" s="111"/>
      <c r="KD140" s="111"/>
      <c r="KE140" s="111"/>
      <c r="KF140" s="111"/>
      <c r="KG140" s="111"/>
      <c r="KH140" s="111"/>
      <c r="KI140" s="111"/>
      <c r="KJ140" s="111"/>
      <c r="KK140" s="111"/>
      <c r="KL140" s="111"/>
      <c r="KM140" s="111"/>
      <c r="KN140" s="111"/>
      <c r="KO140" s="111"/>
      <c r="KP140" s="111"/>
      <c r="KQ140" s="111"/>
      <c r="KR140" s="111"/>
      <c r="KS140" s="111"/>
      <c r="KT140" s="111"/>
      <c r="KU140" s="111"/>
      <c r="KV140" s="111"/>
      <c r="KW140" s="111"/>
      <c r="KX140" s="111"/>
      <c r="KY140" s="111"/>
      <c r="KZ140" s="111"/>
      <c r="LA140" s="111"/>
      <c r="LB140" s="111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</row>
    <row r="141" spans="1:346" x14ac:dyDescent="0.25">
      <c r="A141" s="110" t="s">
        <v>31</v>
      </c>
      <c r="B141" s="101" t="s">
        <v>57</v>
      </c>
      <c r="C141" s="102"/>
      <c r="D141" s="102"/>
      <c r="E141" s="102"/>
      <c r="F141" s="102"/>
      <c r="G141" s="102"/>
      <c r="H141" s="102"/>
      <c r="I141" s="102"/>
      <c r="J141" s="103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2"/>
      <c r="AO141" s="112"/>
      <c r="AP141" s="112"/>
      <c r="AQ141" s="112"/>
      <c r="AR141" s="112"/>
      <c r="AS141" s="112"/>
      <c r="AT141" s="112"/>
      <c r="AU141" s="113"/>
      <c r="AV141" s="114" t="str">
        <f>HYPERLINK("http://sab.landtag.sachsen.de/dokumente/landtagskurier/SAB_DeutschLernen_DinA5_WEB141115.pdf","x")</f>
        <v>x</v>
      </c>
      <c r="AW141" s="114" t="str">
        <f>HYPERLINK("http://sab.landtag.sachsen.de/dokumente/landtagskurier/SAB_PL_Lernposter_WEB091115.pdf","x")</f>
        <v>x</v>
      </c>
      <c r="AX141" s="111"/>
      <c r="AY141" s="111"/>
      <c r="AZ14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1" s="112" t="str">
        <f>HYPERLINK("http://wie-kann-ich-helfen.info/WoerterbuchAnalphabet_innen_%28c%29_Dagmar_Schmeelcke.pdf","x")</f>
        <v>x</v>
      </c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2" t="str">
        <f>HYPERLINK("http://www.goethe.de/lrn/prj/wnd/deu/lti/deindex.htm#13322010","x")</f>
        <v>x</v>
      </c>
      <c r="BS141" s="112"/>
      <c r="BT141" s="111"/>
      <c r="BU141" s="112" t="str">
        <f>HYPERLINK("https://s3-eu-west-1.amazonaws.com/lingolia/download/lingolia_daf.pdf","x")</f>
        <v>x</v>
      </c>
      <c r="BV141" s="112" t="str">
        <f>HYPERLINK("http://www.welcomegrooves.de/wp-content/uploads/2015/10/welcomegrooves_DE-ITALIENISCH.pdf","x")</f>
        <v>x</v>
      </c>
      <c r="BW141" s="112"/>
      <c r="BX141" s="112"/>
      <c r="BY141" s="112"/>
      <c r="BZ141" s="112" t="str">
        <f>HYPERLINK("http://www.hueber.de/shared/uebungen/schritte-plus","x")</f>
        <v>x</v>
      </c>
      <c r="CA141" s="112" t="str">
        <f>HYPERLINK("https://www.hueber.de/shared/uebungen/menschen-hier/ab/a1-1/menu.html","x")</f>
        <v>x</v>
      </c>
      <c r="CB141" s="112" t="str">
        <f>HYPERLINK("http://www.goethe-verlag.com/DE/","x")</f>
        <v>x</v>
      </c>
      <c r="CC141" s="112"/>
      <c r="CD141" s="112"/>
      <c r="CE141" s="111"/>
      <c r="CF141" s="111"/>
      <c r="CG141" s="111"/>
      <c r="CH141" s="111"/>
      <c r="CI141" s="112" t="str">
        <f>HYPERLINK("https://www.hilfetelefon.de/fileadmin/hilfetelefon_de/Materialien/weitere_werbemittel/Klappflyer_Vorder-_und_Rueckseite_opt2.pdf","x")</f>
        <v>x</v>
      </c>
      <c r="CJ141" s="112" t="str">
        <f>HYPERLINK("http://www.e-migrantinnen.de/index.php?de_wichtige-links","x")</f>
        <v>x</v>
      </c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5"/>
      <c r="DC141" s="112"/>
      <c r="DD141" s="112"/>
      <c r="DE141" s="112" t="str">
        <f>HYPERLINK("http://fi-lohmar-siegburg.de/data/documents/130-37_Inklusion_im_Anfangsunterricht_-_Poster_mit_Situationsbildern.pdf","x")</f>
        <v>x</v>
      </c>
      <c r="DF141" s="115" t="str">
        <f>HYPERLINK("http://s3-eu-west-1.amazonaws.com/lingolia/calendar/2016/lingolia_2016_de.pdf","x")</f>
        <v>x</v>
      </c>
      <c r="DG141" s="112" t="str">
        <f>HYPERLINK("http://www.bibliomedia.ch/de/angebote/img/Wimmelbild.jpg","x")</f>
        <v>x</v>
      </c>
      <c r="DH141" s="112" t="str">
        <f>HYPERLINK("http://www.bibliomedia.ch/de/angebote/dokumente/Wimmelbild_Fehler.jpg","x")</f>
        <v>x</v>
      </c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2" t="str">
        <f>HYPERLINK("http://bildung.koeln.de/materialbibliothek/download.php?idx=6e6336cbd5e920e5928ff24d1b4dc652","x")</f>
        <v>x</v>
      </c>
      <c r="DS141" s="112" t="str">
        <f>HYPERLINK("http://bildung.koeln.de/materialbibliothek/download.php?idx=84ab4cde32ae8b264a6f2c238f88b49e","x")</f>
        <v>x</v>
      </c>
      <c r="DT141" s="112"/>
      <c r="DU141" s="112" t="str">
        <f>HYPERLINK("https://www.bmbf.de/pub/Elternbroschuere_Kausa_italienisch.pdf","x")</f>
        <v>x</v>
      </c>
      <c r="DV141" s="111"/>
      <c r="DW141" s="111"/>
      <c r="DX141" s="111"/>
      <c r="DY141" s="111"/>
      <c r="DZ141" s="112" t="str">
        <f>HYPERLINK("http://www.bamf.de/SharedDocs/Anlagen/DE/Publikationen/Flyer/AnerkennungBerufsabschluss/anerkennung-berufsabschluss_ausland_it.pdf?__blob=publicationFile","x")</f>
        <v>x</v>
      </c>
      <c r="EA141" s="112"/>
      <c r="EB141" s="112"/>
      <c r="EC141" s="111"/>
      <c r="ED141" s="111"/>
      <c r="EE141" s="111"/>
      <c r="EF141" s="111"/>
      <c r="EG141" s="111"/>
      <c r="EH141" s="111"/>
      <c r="EI141" s="112"/>
      <c r="EJ141" s="112"/>
      <c r="EK141" s="111"/>
      <c r="EL141" s="112" t="str">
        <f>HYPERLINK("http://www.kvs-sachsen.de/fileadmin/img/Mitglieder/Asylbewerber/Allg-Informationen/Anlage_1_Italienisch_LEK.pdf","x")</f>
        <v>x</v>
      </c>
      <c r="EM141" s="111"/>
      <c r="EN141" s="111"/>
      <c r="EO141" s="117" t="str">
        <f>HYPERLINK("http://www.medi-bild.de/pdf/anamnese/Welche_Sprache.pdf","x")</f>
        <v>x</v>
      </c>
      <c r="EP141" s="117" t="str">
        <f>HYPERLINK("http://www.armut-gesundheit.de/fileadmin/redakteur/dokumente/Anamnesebogen%20-%20italienischnew.pdf","x")</f>
        <v>x</v>
      </c>
      <c r="EQ141" s="112" t="str">
        <f>HYPERLINK("http://www.kvs-sachsen.de/fileadmin/img/Mitglieder/Asylbewerber/Allg-Informationen/Anlagen_2-1_2-2_Italienisch_LEK.pdf","x")</f>
        <v>x</v>
      </c>
      <c r="ER141" s="111"/>
      <c r="ES141" s="111"/>
      <c r="ET141" s="111"/>
      <c r="EU141" s="111"/>
      <c r="EV141" s="112" t="str">
        <f t="shared" si="695"/>
        <v>x</v>
      </c>
      <c r="EW141" s="111"/>
      <c r="EX141" s="111"/>
      <c r="EY141" s="111"/>
      <c r="EZ141" s="111"/>
      <c r="FA141" s="111"/>
      <c r="FB141" s="111"/>
      <c r="FC141" s="112" t="str">
        <f>HYPERLINK("http://mige.ix-tech.de/index.php?id=241","x")</f>
        <v>x</v>
      </c>
      <c r="FD141" s="112" t="str">
        <f>HYPERLINK("http://sghanstedt.elbnetz.com/ueber-uns/","x")</f>
        <v>x</v>
      </c>
      <c r="FE141" s="111"/>
      <c r="FF141" s="111"/>
      <c r="FG141" s="111"/>
      <c r="FH141" s="111"/>
      <c r="FI141" s="111"/>
      <c r="FJ141" s="111"/>
      <c r="FK141" s="112" t="str">
        <f>HYPERLINK("http://www.ethno-medizinisches-zentrum.de/images/PDF-Files/impfwegweiser_italiensich_2013_online.pdf","x")</f>
        <v>x</v>
      </c>
      <c r="FL141" s="112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2" t="str">
        <f>HYPERLINK("http://www.ethno-medizinisches-zentrum.de/images/PDF-Files/lf_diabete_italienisch.pdf","x")</f>
        <v>x</v>
      </c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2" t="str">
        <f t="shared" si="628"/>
        <v>x</v>
      </c>
      <c r="HC141" s="111"/>
      <c r="HD141" s="111"/>
      <c r="HE141" s="111"/>
      <c r="HF141" s="111"/>
      <c r="HG141" s="111"/>
      <c r="HH141" s="111"/>
      <c r="HI141" s="111"/>
      <c r="HJ141" s="112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2" t="str">
        <f>HYPERLINK("http://www.bkk-psychisch-gesund.de/fileadmin/user_upload/Dokumente/Versicherte/Broschueren/Wegweiser_Psychotherapie_italienisch.pdf","x")</f>
        <v>x</v>
      </c>
      <c r="HX141" s="112" t="str">
        <f>HYPERLINK("http://www.selfhelpfortrauma.org/","x")</f>
        <v>x</v>
      </c>
      <c r="HY141" s="112" t="str">
        <f>HYPERLINK("http://peacefulheart.se/wp-content/uploads/2014/12/Resolving-Yesterday-20141201-Self-Tapping.pdf","x")</f>
        <v>x</v>
      </c>
      <c r="HZ141" s="111"/>
      <c r="IA141" s="111"/>
      <c r="IB141" s="111"/>
      <c r="IC141" s="111"/>
      <c r="ID141" s="111"/>
      <c r="IE141" s="111"/>
      <c r="IF141" s="111"/>
      <c r="IG141" s="111"/>
      <c r="IH141" s="112" t="str">
        <f>HYPERLINK("http://www.caritas.de/hilfeundberatung/onlineberatung/suchtberatung/haeufiggestelltefragensucht/haeufiggestelltefragen-sucht","x")</f>
        <v>x</v>
      </c>
      <c r="II141" s="111"/>
      <c r="IJ141" s="112" t="str">
        <f>HYPERLINK("http://www.bamf.de/SharedDocs/Anlagen/DE/Publikationen/Flyer/Lassen-Sie-Sich-Beraten/lassen-sie-sich-beraten_it.pdf?__blob=publicationFile","x")</f>
        <v>x</v>
      </c>
      <c r="IK141" s="111"/>
      <c r="IL141" s="111"/>
      <c r="IM141" s="112" t="str">
        <f>HYPERLINK("https://www.bamf.de/SharedDocs/Anlagen/DE/Publikationen/Broschueren/willkommen-in-deutschland_it.pdf?__blob=publicationFile","x")</f>
        <v>x</v>
      </c>
      <c r="IN141" s="112"/>
      <c r="IO141" s="111"/>
      <c r="IP141" s="112" t="str">
        <f>HYPERLINK("http://www.bamf.de/SharedDocs/Anlagen/DE/Publikationen/Flyer/Lernen-Sie-Deutsch/lernen-sie-deutsch_it.pdf?__blob=publicationFile","x")</f>
        <v>x</v>
      </c>
      <c r="IQ141" s="112"/>
      <c r="IR141" s="111"/>
      <c r="IS141" s="111"/>
      <c r="IT141" s="111"/>
      <c r="IU141" s="112"/>
      <c r="IV141" s="112"/>
      <c r="IW141" s="112" t="str">
        <f t="shared" si="696"/>
        <v>x</v>
      </c>
      <c r="IX141" s="112"/>
      <c r="IY141" s="111"/>
      <c r="IZ141" s="111"/>
      <c r="JA141" s="111"/>
      <c r="JB141" s="112"/>
      <c r="JC141" s="111"/>
      <c r="JD141" s="112"/>
      <c r="JE141" s="112"/>
      <c r="JF141" s="112"/>
      <c r="JG141" s="112"/>
      <c r="JH141" s="111"/>
      <c r="JI141" s="112"/>
      <c r="JJ141" s="112"/>
      <c r="JK141" s="112" t="str">
        <f>HYPERLINK("http://www.kub-berlin.org/formularprojekt/de/italienisch-antraege-und-anlagen-uebersetzungshilfen/","x")</f>
        <v>x</v>
      </c>
      <c r="JL141" s="112" t="str">
        <f t="shared" si="697"/>
        <v>x</v>
      </c>
      <c r="JM141" s="112"/>
      <c r="JN141" s="112"/>
      <c r="JO141" s="112"/>
      <c r="JP141" s="112"/>
      <c r="JQ141" s="112" t="str">
        <f t="shared" si="698"/>
        <v>x</v>
      </c>
      <c r="JR141" s="112"/>
      <c r="JS141" s="111"/>
      <c r="JT141" s="111"/>
      <c r="JU141" s="111"/>
      <c r="JV141" s="112"/>
      <c r="JW141" s="112"/>
      <c r="JX141" s="111"/>
      <c r="JY141" s="111"/>
      <c r="JZ141" s="111"/>
      <c r="KA141" s="111"/>
      <c r="KB141" s="111"/>
      <c r="KC141" s="111"/>
      <c r="KD141" s="111"/>
      <c r="KE141" s="111"/>
      <c r="KF141" s="111"/>
      <c r="KG141" s="111"/>
      <c r="KH141" s="111"/>
      <c r="KI141" s="111"/>
      <c r="KJ141" s="111"/>
      <c r="KK141" s="111"/>
      <c r="KL141" s="111"/>
      <c r="KM141" s="111"/>
      <c r="KN141" s="111"/>
      <c r="KO141" s="111"/>
      <c r="KP141" s="111"/>
      <c r="KQ141" s="111"/>
      <c r="KR141" s="111"/>
      <c r="KS141" s="111"/>
      <c r="KT141" s="111"/>
      <c r="KU141" s="111"/>
      <c r="KV141" s="111"/>
      <c r="KW141" s="111"/>
      <c r="KX141" s="111"/>
      <c r="KY141" s="111"/>
      <c r="KZ141" s="111"/>
      <c r="LA141" s="111"/>
      <c r="LB141" s="111"/>
      <c r="LC141" s="111"/>
      <c r="LD141" s="111"/>
      <c r="LE141" s="111"/>
      <c r="LF141" s="111"/>
      <c r="LG141" s="111"/>
      <c r="LH141" s="111"/>
      <c r="LI141" s="111"/>
      <c r="LJ141" s="111"/>
      <c r="LK141" s="111"/>
      <c r="LL141" s="111"/>
      <c r="LM141" s="111"/>
      <c r="LN141" s="111"/>
      <c r="LO141" s="111"/>
      <c r="LP141" s="111"/>
      <c r="LQ141" s="111"/>
      <c r="LR141" s="111"/>
      <c r="LS141" s="111"/>
      <c r="LT141" s="111"/>
      <c r="LU141" s="111"/>
      <c r="LV141" s="111"/>
      <c r="LW141" s="111"/>
      <c r="LX141" s="111"/>
      <c r="LY141" s="111"/>
      <c r="LZ141" s="111"/>
      <c r="MA141" s="111"/>
      <c r="MB141" s="111"/>
      <c r="MC141" s="111"/>
      <c r="MD141" s="111"/>
      <c r="ME141" s="111"/>
      <c r="MF141" s="111"/>
      <c r="MG141" s="111"/>
      <c r="MH141" s="111"/>
    </row>
    <row r="142" spans="1:346" x14ac:dyDescent="0.25">
      <c r="A142" s="101" t="s">
        <v>143</v>
      </c>
      <c r="B142" s="102"/>
      <c r="C142" s="102"/>
      <c r="D142" s="102"/>
      <c r="E142" s="102"/>
      <c r="F142" s="102"/>
      <c r="G142" s="102"/>
      <c r="H142" s="102"/>
      <c r="I142" s="102"/>
      <c r="J142" s="103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6"/>
      <c r="AV142" s="106"/>
      <c r="AW142" s="106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9"/>
      <c r="EP142" s="109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5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4"/>
      <c r="JN142" s="104"/>
      <c r="JO142" s="104"/>
      <c r="JP142" s="104"/>
      <c r="JQ142" s="104"/>
      <c r="JR142" s="104"/>
      <c r="JS142" s="104"/>
      <c r="JT142" s="104"/>
      <c r="JU142" s="104"/>
      <c r="JV142" s="104"/>
      <c r="JW142" s="104"/>
      <c r="JX142" s="104"/>
      <c r="JY142" s="104"/>
      <c r="JZ142" s="104"/>
      <c r="KA142" s="104"/>
      <c r="KB142" s="104"/>
      <c r="KC142" s="104"/>
      <c r="KD142" s="104"/>
      <c r="KE142" s="104"/>
      <c r="KF142" s="104"/>
      <c r="KG142" s="104"/>
      <c r="KH142" s="104"/>
      <c r="KI142" s="104"/>
      <c r="KJ142" s="104"/>
      <c r="KK142" s="104"/>
      <c r="KL142" s="104"/>
      <c r="KM142" s="104"/>
      <c r="KN142" s="104"/>
      <c r="KO142" s="104"/>
      <c r="KP142" s="104"/>
      <c r="KQ142" s="104"/>
      <c r="KR142" s="104"/>
      <c r="KS142" s="104"/>
      <c r="KT142" s="104"/>
      <c r="KU142" s="104"/>
      <c r="KV142" s="104"/>
      <c r="KW142" s="104"/>
      <c r="KX142" s="104"/>
      <c r="KY142" s="104"/>
      <c r="KZ142" s="104"/>
      <c r="LA142" s="104"/>
      <c r="LB142" s="104"/>
      <c r="LC142" s="104"/>
      <c r="LD142" s="104"/>
      <c r="LE142" s="104"/>
      <c r="LF142" s="104"/>
      <c r="LG142" s="104"/>
      <c r="LH142" s="104"/>
      <c r="LI142" s="104"/>
      <c r="LJ142" s="104"/>
      <c r="LK142" s="104"/>
      <c r="LL142" s="104"/>
      <c r="LM142" s="104"/>
      <c r="LN142" s="104"/>
      <c r="LO142" s="104"/>
      <c r="LP142" s="104"/>
      <c r="LQ142" s="104"/>
      <c r="LR142" s="104"/>
      <c r="LS142" s="104"/>
      <c r="LT142" s="104"/>
      <c r="LU142" s="104"/>
      <c r="LV142" s="104"/>
      <c r="LW142" s="104"/>
      <c r="LX142" s="104"/>
      <c r="LY142" s="104"/>
      <c r="LZ142" s="104"/>
      <c r="MA142" s="104"/>
      <c r="MB142" s="104"/>
      <c r="MC142" s="104"/>
      <c r="MD142" s="104"/>
      <c r="ME142" s="104"/>
      <c r="MF142" s="104"/>
      <c r="MG142" s="104"/>
      <c r="MH142" s="104"/>
    </row>
    <row r="143" spans="1:346" x14ac:dyDescent="0.25">
      <c r="A143" s="110" t="s">
        <v>143</v>
      </c>
      <c r="B143" s="101" t="s">
        <v>144</v>
      </c>
      <c r="C143" s="102"/>
      <c r="D143" s="102"/>
      <c r="E143" s="102"/>
      <c r="F143" s="102"/>
      <c r="G143" s="102"/>
      <c r="H143" s="102"/>
      <c r="I143" s="102"/>
      <c r="J143" s="103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3"/>
      <c r="AV143" s="114" t="str">
        <f>HYPERLINK("http://sab.landtag.sachsen.de/dokumente/landtagskurier/SAB_DeutschLernen_DinA5_WEB141115.pdf","x")</f>
        <v>x</v>
      </c>
      <c r="AW143" s="114" t="str">
        <f>HYPERLINK("http://sab.landtag.sachsen.de/dokumente/landtagskurier/SAB_PL_Lernposter_WEB091115.pdf","x")</f>
        <v>x</v>
      </c>
      <c r="AX143" s="111"/>
      <c r="AY143" s="111"/>
      <c r="AZ143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3" s="112" t="str">
        <f>HYPERLINK("http://wie-kann-ich-helfen.info/WoerterbuchAnalphabet_innen_%28c%29_Dagmar_Schmeelcke.pdf","x")</f>
        <v>x</v>
      </c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2" t="str">
        <f>HYPERLINK("http://www.goethe.de/lrn/prj/wnd/deu/lti/deindex.htm#13322010","x")</f>
        <v>x</v>
      </c>
      <c r="BS143" s="112"/>
      <c r="BT143" s="111"/>
      <c r="BU143" s="112" t="str">
        <f>HYPERLINK("https://s3-eu-west-1.amazonaws.com/lingolia/download/lingolia_daf.pdf","x")</f>
        <v>x</v>
      </c>
      <c r="BV143" s="112"/>
      <c r="BW143" s="112"/>
      <c r="BX143" s="112"/>
      <c r="BY143" s="112"/>
      <c r="BZ143" s="112" t="str">
        <f>HYPERLINK("http://www.hueber.de/shared/uebungen/schritte-plus","x")</f>
        <v>x</v>
      </c>
      <c r="CA143" s="112" t="str">
        <f>HYPERLINK("https://www.hueber.de/shared/uebungen/menschen-hier/ab/a1-1/menu.html","x")</f>
        <v>x</v>
      </c>
      <c r="CB143" s="112" t="str">
        <f>HYPERLINK("http://www.goethe-verlag.com/DE/","x")</f>
        <v>x</v>
      </c>
      <c r="CC143" s="112"/>
      <c r="CD143" s="112"/>
      <c r="CE143" s="111"/>
      <c r="CF143" s="111"/>
      <c r="CG143" s="111"/>
      <c r="CH143" s="111"/>
      <c r="CI143" s="111"/>
      <c r="CJ143" s="112" t="str">
        <f>HYPERLINK("http://www.e-migrantinnen.de/index.php?de_wichtige-links","x")</f>
        <v>x</v>
      </c>
      <c r="CK143" s="112"/>
      <c r="CL143" s="112"/>
      <c r="CM143" s="112"/>
      <c r="CN143" s="112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2"/>
      <c r="CZ143" s="112"/>
      <c r="DA143" s="112"/>
      <c r="DB143" s="115"/>
      <c r="DC143" s="112"/>
      <c r="DD143" s="112"/>
      <c r="DE143" s="112" t="str">
        <f>HYPERLINK("http://fi-lohmar-siegburg.de/data/documents/130-37_Inklusion_im_Anfangsunterricht_-_Poster_mit_Situationsbildern.pdf","x")</f>
        <v>x</v>
      </c>
      <c r="DF143" s="115" t="str">
        <f>HYPERLINK("http://s3-eu-west-1.amazonaws.com/lingolia/calendar/2016/lingolia_2016_de.pdf","x")</f>
        <v>x</v>
      </c>
      <c r="DG143" s="112" t="str">
        <f>HYPERLINK("http://www.bibliomedia.ch/de/angebote/img/Wimmelbild.jpg","x")</f>
        <v>x</v>
      </c>
      <c r="DH143" s="112" t="str">
        <f>HYPERLINK("http://www.bibliomedia.ch/de/angebote/dokumente/Wimmelbild_Fehler.jpg","x")</f>
        <v>x</v>
      </c>
      <c r="DI143" s="112" t="str">
        <f>HYPERLINK("http://www.bibliomedia.ch/de/angebote/dokumente/Glossar_japanisch.pdf","x")</f>
        <v>x</v>
      </c>
      <c r="DJ143" s="112"/>
      <c r="DK143" s="112"/>
      <c r="DL143" s="112"/>
      <c r="DM143" s="112"/>
      <c r="DN143" s="112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7" t="str">
        <f>HYPERLINK("http://www.medi-bild.de/pdf/anamnese/Welche_Sprache.pdf","x")</f>
        <v>x</v>
      </c>
      <c r="EP143" s="117" t="str">
        <f>HYPERLINK("http://www.medknowledge.de/migration/tipdoc/anamnesebogen/tipdoc_Anamnese_jap.pdf","x")</f>
        <v>x</v>
      </c>
      <c r="EQ143" s="111"/>
      <c r="ER143" s="111"/>
      <c r="ES143" s="111"/>
      <c r="ET143" s="111"/>
      <c r="EU143" s="111"/>
      <c r="EV143" s="112" t="str">
        <f>HYPERLINK("http://www.lak-rlp.de/fileadmin/redakteure/pdf/download/Piktogramme_Dosieretiketten_AoG.pdf","x")</f>
        <v>x</v>
      </c>
      <c r="EW143" s="111"/>
      <c r="EX143" s="111"/>
      <c r="EY143" s="111"/>
      <c r="EZ143" s="111"/>
      <c r="FA143" s="111"/>
      <c r="FB143" s="111"/>
      <c r="FC143" s="112" t="str">
        <f>HYPERLINK("http://mige.ix-tech.de/index.php?id=241","x")</f>
        <v>x</v>
      </c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2" t="str">
        <f t="shared" si="628"/>
        <v>x</v>
      </c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2" t="str">
        <f>HYPERLINK("http://www.selfhelpfortrauma.org/","x")</f>
        <v>x</v>
      </c>
      <c r="HY143" s="112" t="str">
        <f>HYPERLINK("http://peacefulheart.se/wp-content/uploads/2014/12/Resolving-Yesterday-20141201-Self-Tapping.pdf","x")</f>
        <v>x</v>
      </c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2" t="str">
        <f>HYPERLINK("http://www.bamf.de/SharedDocs/Anlagen/DE/Publikationen/Broschueren/broschuere-eat-a4-ja-japanisch.pdf?__blob=publicationFile","x")</f>
        <v>x</v>
      </c>
      <c r="IY143" s="111"/>
      <c r="IZ143" s="111"/>
      <c r="JA143" s="111"/>
      <c r="JB143" s="111"/>
      <c r="JC143" s="111"/>
      <c r="JD143" s="111"/>
      <c r="JE143" s="111"/>
      <c r="JF143" s="111"/>
      <c r="JG143" s="111"/>
      <c r="JH143" s="111"/>
      <c r="JI143" s="111"/>
      <c r="JJ143" s="111"/>
      <c r="JK143" s="111"/>
      <c r="JL143" s="111"/>
      <c r="JM143" s="111"/>
      <c r="JN143" s="111"/>
      <c r="JO143" s="111"/>
      <c r="JP143" s="111"/>
      <c r="JQ143" s="111"/>
      <c r="JR143" s="111"/>
      <c r="JS143" s="111"/>
      <c r="JT143" s="111"/>
      <c r="JU143" s="111"/>
      <c r="JV143" s="111"/>
      <c r="JW143" s="111"/>
      <c r="JX143" s="111"/>
      <c r="JY143" s="111"/>
      <c r="JZ143" s="111"/>
      <c r="KA143" s="111"/>
      <c r="KB143" s="111"/>
      <c r="KC143" s="111"/>
      <c r="KD143" s="111"/>
      <c r="KE143" s="111"/>
      <c r="KF143" s="111"/>
      <c r="KG143" s="111"/>
      <c r="KH143" s="111"/>
      <c r="KI143" s="111"/>
      <c r="KJ143" s="111"/>
      <c r="KK143" s="111"/>
      <c r="KL143" s="111"/>
      <c r="KM143" s="111"/>
      <c r="KN143" s="111"/>
      <c r="KO143" s="111"/>
      <c r="KP143" s="111"/>
      <c r="KQ143" s="111"/>
      <c r="KR143" s="111"/>
      <c r="KS143" s="111"/>
      <c r="KT143" s="111"/>
      <c r="KU143" s="111"/>
      <c r="KV143" s="111"/>
      <c r="KW143" s="111"/>
      <c r="KX143" s="111"/>
      <c r="KY143" s="111"/>
      <c r="KZ143" s="111"/>
      <c r="LA143" s="111"/>
      <c r="LB143" s="111"/>
      <c r="LC143" s="111"/>
      <c r="LD143" s="111"/>
      <c r="LE143" s="111"/>
      <c r="LF143" s="111"/>
      <c r="LG143" s="111"/>
      <c r="LH143" s="111"/>
      <c r="LI143" s="111"/>
      <c r="LJ143" s="111"/>
      <c r="LK143" s="111"/>
      <c r="LL143" s="111"/>
      <c r="LM143" s="111"/>
      <c r="LN143" s="111"/>
      <c r="LO143" s="111"/>
      <c r="LP143" s="111"/>
      <c r="LQ143" s="111"/>
      <c r="LR143" s="111"/>
      <c r="LS143" s="111"/>
      <c r="LT143" s="111"/>
      <c r="LU143" s="111"/>
      <c r="LV143" s="111"/>
      <c r="LW143" s="111"/>
      <c r="LX143" s="111"/>
      <c r="LY143" s="111"/>
      <c r="LZ143" s="111"/>
      <c r="MA143" s="111"/>
      <c r="MB143" s="111"/>
      <c r="MC143" s="111"/>
      <c r="MD143" s="111"/>
      <c r="ME143" s="111"/>
      <c r="MF143" s="111"/>
      <c r="MG143" s="111"/>
      <c r="MH143" s="111"/>
    </row>
    <row r="144" spans="1:346" x14ac:dyDescent="0.25">
      <c r="A144" s="101" t="s">
        <v>490</v>
      </c>
      <c r="B144" s="102"/>
      <c r="C144" s="102"/>
      <c r="D144" s="102"/>
      <c r="E144" s="102"/>
      <c r="F144" s="102"/>
      <c r="G144" s="102"/>
      <c r="H144" s="102"/>
      <c r="I144" s="102"/>
      <c r="J144" s="103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6"/>
      <c r="AV144" s="106"/>
      <c r="AW144" s="106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9"/>
      <c r="EP144" s="109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5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4"/>
      <c r="JN144" s="104"/>
      <c r="JO144" s="104"/>
      <c r="JP144" s="104"/>
      <c r="JQ144" s="104"/>
      <c r="JR144" s="104"/>
      <c r="JS144" s="104"/>
      <c r="JT144" s="104"/>
      <c r="JU144" s="104"/>
      <c r="JV144" s="104"/>
      <c r="JW144" s="104"/>
      <c r="JX144" s="104"/>
      <c r="JY144" s="104"/>
      <c r="JZ144" s="104"/>
      <c r="KA144" s="104"/>
      <c r="KB144" s="104"/>
      <c r="KC144" s="104"/>
      <c r="KD144" s="104"/>
      <c r="KE144" s="104"/>
      <c r="KF144" s="104"/>
      <c r="KG144" s="104"/>
      <c r="KH144" s="104"/>
      <c r="KI144" s="104"/>
      <c r="KJ144" s="104"/>
      <c r="KK144" s="104"/>
      <c r="KL144" s="104"/>
      <c r="KM144" s="104"/>
      <c r="KN144" s="104"/>
      <c r="KO144" s="104"/>
      <c r="KP144" s="104"/>
      <c r="KQ144" s="104"/>
      <c r="KR144" s="104"/>
      <c r="KS144" s="104"/>
      <c r="KT144" s="104"/>
      <c r="KU144" s="104"/>
      <c r="KV144" s="104"/>
      <c r="KW144" s="104"/>
      <c r="KX144" s="104"/>
      <c r="KY144" s="104"/>
      <c r="KZ144" s="104"/>
      <c r="LA144" s="104"/>
      <c r="LB144" s="104"/>
      <c r="LC144" s="104"/>
      <c r="LD144" s="104"/>
      <c r="LE144" s="104"/>
      <c r="LF144" s="104"/>
      <c r="LG144" s="104"/>
      <c r="LH144" s="104"/>
      <c r="LI144" s="104"/>
      <c r="LJ144" s="104"/>
      <c r="LK144" s="104"/>
      <c r="LL144" s="104"/>
      <c r="LM144" s="104"/>
      <c r="LN144" s="104"/>
      <c r="LO144" s="104"/>
      <c r="LP144" s="104"/>
      <c r="LQ144" s="104"/>
      <c r="LR144" s="104"/>
      <c r="LS144" s="104"/>
      <c r="LT144" s="104"/>
      <c r="LU144" s="104"/>
      <c r="LV144" s="104"/>
      <c r="LW144" s="104"/>
      <c r="LX144" s="104"/>
      <c r="LY144" s="104"/>
      <c r="LZ144" s="104"/>
      <c r="MA144" s="104"/>
      <c r="MB144" s="104"/>
      <c r="MC144" s="104"/>
      <c r="MD144" s="104"/>
      <c r="ME144" s="104"/>
      <c r="MF144" s="104"/>
      <c r="MG144" s="104"/>
      <c r="MH144" s="104"/>
    </row>
    <row r="145" spans="1:346" x14ac:dyDescent="0.25">
      <c r="A145" s="110" t="s">
        <v>490</v>
      </c>
      <c r="B145" s="101" t="s">
        <v>391</v>
      </c>
      <c r="C145" s="102"/>
      <c r="D145" s="102"/>
      <c r="E145" s="102"/>
      <c r="F145" s="102"/>
      <c r="G145" s="102"/>
      <c r="H145" s="102"/>
      <c r="I145" s="102"/>
      <c r="J145" s="103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2"/>
      <c r="AO145" s="112"/>
      <c r="AP145" s="112"/>
      <c r="AQ145" s="112"/>
      <c r="AR145" s="112"/>
      <c r="AS145" s="112"/>
      <c r="AT145" s="112"/>
      <c r="AU145" s="113"/>
      <c r="AV145" s="114" t="str">
        <f>HYPERLINK("http://sab.landtag.sachsen.de/dokumente/landtagskurier/SAB_DeutschLernen_DinA5_WEB141115.pdf","x")</f>
        <v>x</v>
      </c>
      <c r="AW145" s="114" t="str">
        <f>HYPERLINK("http://sab.landtag.sachsen.de/dokumente/landtagskurier/SAB_PL_Lernposter_WEB091115.pdf","x")</f>
        <v>x</v>
      </c>
      <c r="AX145" s="111"/>
      <c r="AY145" s="111"/>
      <c r="AZ14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5" s="112" t="str">
        <f>HYPERLINK("http://wie-kann-ich-helfen.info/WoerterbuchAnalphabet_innen_%28c%29_Dagmar_Schmeelcke.pdf","x")</f>
        <v>x</v>
      </c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2" t="str">
        <f>HYPERLINK("http://www.goethe.de/lrn/prj/wnd/deu/lti/deindex.htm#13322010","x")</f>
        <v>x</v>
      </c>
      <c r="BS145" s="112"/>
      <c r="BT145" s="111"/>
      <c r="BU145" s="112" t="str">
        <f>HYPERLINK("https://s3-eu-west-1.amazonaws.com/lingolia/download/lingolia_daf.pdf","x")</f>
        <v>x</v>
      </c>
      <c r="BV145" s="112" t="str">
        <f>HYPERLINK("http://www.welcomegrooves.de/wp-content/uploads/2015/10/welcomegrooves_DE-KISWAHILI.pdf","x")</f>
        <v>x</v>
      </c>
      <c r="BW145" s="112"/>
      <c r="BX145" s="112"/>
      <c r="BY145" s="112"/>
      <c r="BZ145" s="112" t="str">
        <f>HYPERLINK("http://www.hueber.de/shared/uebungen/schritte-plus","x")</f>
        <v>x</v>
      </c>
      <c r="CA145" s="112" t="str">
        <f>HYPERLINK("https://www.hueber.de/shared/uebungen/menschen-hier/ab/a1-1/menu.html","x")</f>
        <v>x</v>
      </c>
      <c r="CB145" s="112" t="str">
        <f>HYPERLINK("http://www.goethe-verlag.com/DE/","x")</f>
        <v>x</v>
      </c>
      <c r="CC145" s="112"/>
      <c r="CD145" s="112"/>
      <c r="CE145" s="111"/>
      <c r="CF145" s="111"/>
      <c r="CG145" s="111"/>
      <c r="CH145" s="111"/>
      <c r="CI145" s="112"/>
      <c r="CJ145" s="112" t="str">
        <f>HYPERLINK("http://www.e-migrantinnen.de/index.php?de_wichtige-links","x")</f>
        <v>x</v>
      </c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5"/>
      <c r="DC145" s="112"/>
      <c r="DD145" s="112"/>
      <c r="DE145" s="112" t="str">
        <f>HYPERLINK("http://fi-lohmar-siegburg.de/data/documents/130-37_Inklusion_im_Anfangsunterricht_-_Poster_mit_Situationsbildern.pdf","x")</f>
        <v>x</v>
      </c>
      <c r="DF145" s="115" t="str">
        <f>HYPERLINK("http://s3-eu-west-1.amazonaws.com/lingolia/calendar/2016/lingolia_2016_de.pdf","x")</f>
        <v>x</v>
      </c>
      <c r="DG145" s="112" t="str">
        <f>HYPERLINK("http://www.bibliomedia.ch/de/angebote/img/Wimmelbild.jpg","x")</f>
        <v>x</v>
      </c>
      <c r="DH145" s="112" t="str">
        <f t="shared" ref="DH145:DH148" si="699">HYPERLINK("http://www.bibliomedia.ch/de/angebote/dokumente/Wimmelbild_Fehler.jpg","x")</f>
        <v>x</v>
      </c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2"/>
      <c r="DU145" s="111"/>
      <c r="DV145" s="111"/>
      <c r="DW145" s="111"/>
      <c r="DX145" s="111"/>
      <c r="DY145" s="111"/>
      <c r="DZ145" s="111"/>
      <c r="EA145" s="112"/>
      <c r="EB145" s="112"/>
      <c r="EC145" s="111"/>
      <c r="ED145" s="111"/>
      <c r="EE145" s="111"/>
      <c r="EF145" s="111"/>
      <c r="EG145" s="111"/>
      <c r="EH145" s="111"/>
      <c r="EI145" s="112"/>
      <c r="EJ145" s="112"/>
      <c r="EK145" s="111"/>
      <c r="EL145" s="112"/>
      <c r="EM145" s="112"/>
      <c r="EN145" s="111"/>
      <c r="EO145" s="117"/>
      <c r="EP145" s="118"/>
      <c r="EQ145" s="112"/>
      <c r="ER145" s="111"/>
      <c r="ES145" s="111"/>
      <c r="ET145" s="111"/>
      <c r="EU145" s="111"/>
      <c r="EV145" s="112" t="str">
        <f t="shared" ref="EV145:EV148" si="700">HYPERLINK("http://www.lak-rlp.de/fileadmin/redakteure/pdf/download/Piktogramme_Dosieretiketten_AoG.pdf","x")</f>
        <v>x</v>
      </c>
      <c r="EW145" s="111"/>
      <c r="EX145" s="111"/>
      <c r="EY145" s="111"/>
      <c r="EZ145" s="111"/>
      <c r="FA145" s="111"/>
      <c r="FB145" s="111"/>
      <c r="FC145" s="112" t="str">
        <f>HYPERLINK("http://mige.ix-tech.de/index.php?id=241","x")</f>
        <v>x</v>
      </c>
      <c r="FD145" s="112"/>
      <c r="FE145" s="111"/>
      <c r="FF145" s="111"/>
      <c r="FG145" s="111"/>
      <c r="FH145" s="111"/>
      <c r="FI145" s="112"/>
      <c r="FJ145" s="112"/>
      <c r="FK145" s="111"/>
      <c r="FL145" s="111"/>
      <c r="FM145" s="112"/>
      <c r="FN145" s="112"/>
      <c r="FO145" s="112"/>
      <c r="FP145" s="111"/>
      <c r="FQ145" s="112"/>
      <c r="FR145" s="112"/>
      <c r="FS145" s="112"/>
      <c r="FT145" s="112"/>
      <c r="FU145" s="112"/>
      <c r="FV145" s="112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2"/>
      <c r="GH145" s="111"/>
      <c r="GI145" s="111"/>
      <c r="GJ145" s="111"/>
      <c r="GK145" s="111"/>
      <c r="GL145" s="112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2" t="str">
        <f t="shared" ref="HB145:HB148" si="701">HYPERLINK("https://www.zahnaerzte-wl.de/images/_PDF-suche/KZV_ZÄK/piktogrammheft.pdf","x")</f>
        <v>x</v>
      </c>
      <c r="HC145" s="111"/>
      <c r="HD145" s="111"/>
      <c r="HE145" s="111"/>
      <c r="HF145" s="111"/>
      <c r="HG145" s="111"/>
      <c r="HH145" s="111"/>
      <c r="HI145" s="111"/>
      <c r="HJ145" s="112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2" t="str">
        <f>HYPERLINK("http://www.selfhelpfortrauma.org/","x")</f>
        <v>x</v>
      </c>
      <c r="HY145" s="112" t="str">
        <f>HYPERLINK("http://peacefulheart.se/wp-content/uploads/2014/12/Resolving-Yesterday-20141201-Self-Tapping.pdf","x")</f>
        <v>x</v>
      </c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2"/>
      <c r="IK145" s="111"/>
      <c r="IL145" s="111"/>
      <c r="IM145" s="111"/>
      <c r="IN145" s="111"/>
      <c r="IO145" s="111"/>
      <c r="IP145" s="112"/>
      <c r="IQ145" s="112"/>
      <c r="IR145" s="111"/>
      <c r="IS145" s="111"/>
      <c r="IT145" s="111"/>
      <c r="IU145" s="112"/>
      <c r="IV145" s="112"/>
      <c r="IW145" s="112"/>
      <c r="IX145" s="112"/>
      <c r="IY145" s="111"/>
      <c r="IZ145" s="111"/>
      <c r="JA145" s="111"/>
      <c r="JB145" s="112"/>
      <c r="JC145" s="111"/>
      <c r="JD145" s="112"/>
      <c r="JE145" s="112"/>
      <c r="JF145" s="112"/>
      <c r="JG145" s="112"/>
      <c r="JH145" s="111"/>
      <c r="JI145" s="112"/>
      <c r="JJ145" s="112"/>
      <c r="JK145" s="112"/>
      <c r="JL145" s="112"/>
      <c r="JM145" s="112"/>
      <c r="JN145" s="112"/>
      <c r="JO145" s="112"/>
      <c r="JP145" s="112"/>
      <c r="JQ145" s="112"/>
      <c r="JR145" s="112"/>
      <c r="JS145" s="112"/>
      <c r="JT145" s="111"/>
      <c r="JU145" s="111"/>
      <c r="JV145" s="112"/>
      <c r="JW145" s="112"/>
      <c r="JX145" s="111"/>
      <c r="JY145" s="111"/>
      <c r="JZ145" s="111"/>
      <c r="KA145" s="111"/>
      <c r="KB145" s="111"/>
      <c r="KC145" s="111"/>
      <c r="KD145" s="112" t="str">
        <f t="shared" ref="KD145:KD148" si="702">HYPERLINK("http://www.frauenrechte.de/online/images/downloads/allgemein/TDF_Flyer_Women_Men.pdf","x")</f>
        <v>x</v>
      </c>
      <c r="KE145" s="112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</row>
    <row r="146" spans="1:346" x14ac:dyDescent="0.25">
      <c r="A146" s="110" t="s">
        <v>490</v>
      </c>
      <c r="B146" s="101" t="s">
        <v>395</v>
      </c>
      <c r="C146" s="102"/>
      <c r="D146" s="102"/>
      <c r="E146" s="102"/>
      <c r="F146" s="102"/>
      <c r="G146" s="102"/>
      <c r="H146" s="102"/>
      <c r="I146" s="102"/>
      <c r="J146" s="103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2"/>
      <c r="AO146" s="112"/>
      <c r="AP146" s="112"/>
      <c r="AQ146" s="112"/>
      <c r="AR146" s="112"/>
      <c r="AS146" s="112"/>
      <c r="AT146" s="112"/>
      <c r="AU146" s="113"/>
      <c r="AV146" s="114" t="str">
        <f t="shared" ref="AV146:AV148" si="703">HYPERLINK("http://sab.landtag.sachsen.de/dokumente/landtagskurier/SAB_DeutschLernen_DinA5_WEB141115.pdf","x")</f>
        <v>x</v>
      </c>
      <c r="AW146" s="114" t="str">
        <f t="shared" ref="AW146:AW148" si="704">HYPERLINK("http://sab.landtag.sachsen.de/dokumente/landtagskurier/SAB_PL_Lernposter_WEB091115.pdf","x")</f>
        <v>x</v>
      </c>
      <c r="AX146" s="111"/>
      <c r="AY146" s="111"/>
      <c r="AZ146" s="112" t="str">
        <f t="shared" ref="AZ146:AZ148" si="70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6" s="112" t="str">
        <f t="shared" ref="BA146:BA148" si="706">HYPERLINK("http://wie-kann-ich-helfen.info/WoerterbuchAnalphabet_innen_%28c%29_Dagmar_Schmeelcke.pdf","x")</f>
        <v>x</v>
      </c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2" t="str">
        <f t="shared" ref="BR146:BR148" si="707">HYPERLINK("http://www.goethe.de/lrn/prj/wnd/deu/lti/deindex.htm#13322010","x")</f>
        <v>x</v>
      </c>
      <c r="BS146" s="112"/>
      <c r="BT146" s="111"/>
      <c r="BU146" s="112" t="str">
        <f t="shared" ref="BU146:BU148" si="708">HYPERLINK("https://s3-eu-west-1.amazonaws.com/lingolia/download/lingolia_daf.pdf","x")</f>
        <v>x</v>
      </c>
      <c r="BV146" s="112" t="str">
        <f t="shared" ref="BV146:BV148" si="709">HYPERLINK("http://www.welcomegrooves.de/wp-content/uploads/2015/10/welcomegrooves_DE-KISWAHILI.pdf","x")</f>
        <v>x</v>
      </c>
      <c r="BW146" s="112"/>
      <c r="BX146" s="112"/>
      <c r="BY146" s="112"/>
      <c r="BZ146" s="112" t="str">
        <f t="shared" ref="BZ146:BZ148" si="710">HYPERLINK("http://www.hueber.de/shared/uebungen/schritte-plus","x")</f>
        <v>x</v>
      </c>
      <c r="CA146" s="112" t="str">
        <f t="shared" ref="CA146:CA148" si="711">HYPERLINK("https://www.hueber.de/shared/uebungen/menschen-hier/ab/a1-1/menu.html","x")</f>
        <v>x</v>
      </c>
      <c r="CB146" s="112" t="str">
        <f t="shared" ref="CB146:CB148" si="712">HYPERLINK("http://www.goethe-verlag.com/DE/","x")</f>
        <v>x</v>
      </c>
      <c r="CC146" s="112"/>
      <c r="CD146" s="112"/>
      <c r="CE146" s="111"/>
      <c r="CF146" s="111"/>
      <c r="CG146" s="111"/>
      <c r="CH146" s="111"/>
      <c r="CI146" s="112"/>
      <c r="CJ146" s="112" t="str">
        <f t="shared" ref="CJ146:CJ148" si="713">HYPERLINK("http://www.e-migrantinnen.de/index.php?de_wichtige-links","x")</f>
        <v>x</v>
      </c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5"/>
      <c r="DC146" s="112"/>
      <c r="DD146" s="112"/>
      <c r="DE146" s="112" t="str">
        <f t="shared" ref="DE146:DE148" si="714">HYPERLINK("http://fi-lohmar-siegburg.de/data/documents/130-37_Inklusion_im_Anfangsunterricht_-_Poster_mit_Situationsbildern.pdf","x")</f>
        <v>x</v>
      </c>
      <c r="DF146" s="115" t="str">
        <f t="shared" ref="DF146:DF148" si="715">HYPERLINK("http://s3-eu-west-1.amazonaws.com/lingolia/calendar/2016/lingolia_2016_de.pdf","x")</f>
        <v>x</v>
      </c>
      <c r="DG146" s="112" t="str">
        <f t="shared" ref="DG146:DG148" si="716">HYPERLINK("http://www.bibliomedia.ch/de/angebote/img/Wimmelbild.jpg","x")</f>
        <v>x</v>
      </c>
      <c r="DH146" s="112" t="str">
        <f t="shared" si="699"/>
        <v>x</v>
      </c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2"/>
      <c r="DU146" s="111"/>
      <c r="DV146" s="111"/>
      <c r="DW146" s="111"/>
      <c r="DX146" s="111"/>
      <c r="DY146" s="111"/>
      <c r="DZ146" s="111"/>
      <c r="EA146" s="112"/>
      <c r="EB146" s="112"/>
      <c r="EC146" s="111"/>
      <c r="ED146" s="111"/>
      <c r="EE146" s="111"/>
      <c r="EF146" s="111"/>
      <c r="EG146" s="111"/>
      <c r="EH146" s="111"/>
      <c r="EI146" s="112"/>
      <c r="EJ146" s="112"/>
      <c r="EK146" s="111"/>
      <c r="EL146" s="112"/>
      <c r="EM146" s="112"/>
      <c r="EN146" s="111"/>
      <c r="EO146" s="117"/>
      <c r="EP146" s="118"/>
      <c r="EQ146" s="112"/>
      <c r="ER146" s="111"/>
      <c r="ES146" s="111"/>
      <c r="ET146" s="111"/>
      <c r="EU146" s="111"/>
      <c r="EV146" s="112" t="str">
        <f t="shared" si="700"/>
        <v>x</v>
      </c>
      <c r="EW146" s="111"/>
      <c r="EX146" s="111"/>
      <c r="EY146" s="111"/>
      <c r="EZ146" s="111"/>
      <c r="FA146" s="111"/>
      <c r="FB146" s="111"/>
      <c r="FC146" s="112" t="str">
        <f t="shared" ref="FC146:FC148" si="717">HYPERLINK("http://mige.ix-tech.de/index.php?id=241","x")</f>
        <v>x</v>
      </c>
      <c r="FD146" s="112"/>
      <c r="FE146" s="111"/>
      <c r="FF146" s="111"/>
      <c r="FG146" s="111"/>
      <c r="FH146" s="111"/>
      <c r="FI146" s="112"/>
      <c r="FJ146" s="112"/>
      <c r="FK146" s="111"/>
      <c r="FL146" s="111"/>
      <c r="FM146" s="112"/>
      <c r="FN146" s="112"/>
      <c r="FO146" s="112"/>
      <c r="FP146" s="111"/>
      <c r="FQ146" s="112"/>
      <c r="FR146" s="112"/>
      <c r="FS146" s="112"/>
      <c r="FT146" s="112"/>
      <c r="FU146" s="112"/>
      <c r="FV146" s="112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2"/>
      <c r="GH146" s="111"/>
      <c r="GI146" s="111"/>
      <c r="GJ146" s="111"/>
      <c r="GK146" s="111"/>
      <c r="GL146" s="112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2" t="str">
        <f t="shared" si="701"/>
        <v>x</v>
      </c>
      <c r="HC146" s="111"/>
      <c r="HD146" s="111"/>
      <c r="HE146" s="111"/>
      <c r="HF146" s="111"/>
      <c r="HG146" s="111"/>
      <c r="HH146" s="111"/>
      <c r="HI146" s="111"/>
      <c r="HJ146" s="112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2" t="str">
        <f t="shared" ref="HX146:HX148" si="718">HYPERLINK("http://www.selfhelpfortrauma.org/","x")</f>
        <v>x</v>
      </c>
      <c r="HY146" s="112" t="str">
        <f t="shared" ref="HY146:HY148" si="719">HYPERLINK("http://peacefulheart.se/wp-content/uploads/2014/12/Resolving-Yesterday-20141201-Self-Tapping.pdf","x")</f>
        <v>x</v>
      </c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2"/>
      <c r="IK146" s="111"/>
      <c r="IL146" s="111"/>
      <c r="IM146" s="111"/>
      <c r="IN146" s="111"/>
      <c r="IO146" s="111"/>
      <c r="IP146" s="112"/>
      <c r="IQ146" s="112"/>
      <c r="IR146" s="111"/>
      <c r="IS146" s="111"/>
      <c r="IT146" s="111"/>
      <c r="IU146" s="112"/>
      <c r="IV146" s="112"/>
      <c r="IW146" s="112"/>
      <c r="IX146" s="112"/>
      <c r="IY146" s="111"/>
      <c r="IZ146" s="111"/>
      <c r="JA146" s="111"/>
      <c r="JB146" s="112"/>
      <c r="JC146" s="111"/>
      <c r="JD146" s="112"/>
      <c r="JE146" s="112"/>
      <c r="JF146" s="112"/>
      <c r="JG146" s="112"/>
      <c r="JH146" s="111"/>
      <c r="JI146" s="112"/>
      <c r="JJ146" s="112"/>
      <c r="JK146" s="112"/>
      <c r="JL146" s="112"/>
      <c r="JM146" s="112"/>
      <c r="JN146" s="112"/>
      <c r="JO146" s="112"/>
      <c r="JP146" s="112"/>
      <c r="JQ146" s="112"/>
      <c r="JR146" s="112"/>
      <c r="JS146" s="112"/>
      <c r="JT146" s="111"/>
      <c r="JU146" s="111"/>
      <c r="JV146" s="112"/>
      <c r="JW146" s="112"/>
      <c r="JX146" s="111"/>
      <c r="JY146" s="111"/>
      <c r="JZ146" s="111"/>
      <c r="KA146" s="111"/>
      <c r="KB146" s="111"/>
      <c r="KC146" s="111"/>
      <c r="KD146" s="112" t="str">
        <f t="shared" si="702"/>
        <v>x</v>
      </c>
      <c r="KE146" s="112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</row>
    <row r="147" spans="1:346" x14ac:dyDescent="0.25">
      <c r="A147" s="110" t="s">
        <v>490</v>
      </c>
      <c r="B147" s="101" t="s">
        <v>396</v>
      </c>
      <c r="C147" s="102"/>
      <c r="D147" s="102"/>
      <c r="E147" s="102"/>
      <c r="F147" s="102"/>
      <c r="G147" s="102"/>
      <c r="H147" s="102"/>
      <c r="I147" s="102"/>
      <c r="J147" s="103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2"/>
      <c r="AO147" s="112"/>
      <c r="AP147" s="112"/>
      <c r="AQ147" s="112"/>
      <c r="AR147" s="112"/>
      <c r="AS147" s="112"/>
      <c r="AT147" s="112"/>
      <c r="AU147" s="113"/>
      <c r="AV147" s="114" t="str">
        <f t="shared" si="703"/>
        <v>x</v>
      </c>
      <c r="AW147" s="114" t="str">
        <f t="shared" si="704"/>
        <v>x</v>
      </c>
      <c r="AX147" s="111"/>
      <c r="AY147" s="111"/>
      <c r="AZ147" s="112" t="str">
        <f t="shared" si="705"/>
        <v>x</v>
      </c>
      <c r="BA147" s="112" t="str">
        <f t="shared" si="706"/>
        <v>x</v>
      </c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2" t="str">
        <f t="shared" si="707"/>
        <v>x</v>
      </c>
      <c r="BS147" s="112"/>
      <c r="BT147" s="111"/>
      <c r="BU147" s="112" t="str">
        <f t="shared" si="708"/>
        <v>x</v>
      </c>
      <c r="BV147" s="112" t="str">
        <f t="shared" si="709"/>
        <v>x</v>
      </c>
      <c r="BW147" s="112"/>
      <c r="BX147" s="112"/>
      <c r="BY147" s="112"/>
      <c r="BZ147" s="112" t="str">
        <f t="shared" si="710"/>
        <v>x</v>
      </c>
      <c r="CA147" s="112" t="str">
        <f t="shared" si="711"/>
        <v>x</v>
      </c>
      <c r="CB147" s="112" t="str">
        <f t="shared" si="712"/>
        <v>x</v>
      </c>
      <c r="CC147" s="112"/>
      <c r="CD147" s="112"/>
      <c r="CE147" s="111"/>
      <c r="CF147" s="111"/>
      <c r="CG147" s="111"/>
      <c r="CH147" s="111"/>
      <c r="CI147" s="112"/>
      <c r="CJ147" s="112" t="str">
        <f t="shared" si="713"/>
        <v>x</v>
      </c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5"/>
      <c r="DC147" s="112"/>
      <c r="DD147" s="112"/>
      <c r="DE147" s="112" t="str">
        <f t="shared" si="714"/>
        <v>x</v>
      </c>
      <c r="DF147" s="115" t="str">
        <f t="shared" si="715"/>
        <v>x</v>
      </c>
      <c r="DG147" s="112" t="str">
        <f t="shared" si="716"/>
        <v>x</v>
      </c>
      <c r="DH147" s="112" t="str">
        <f t="shared" si="699"/>
        <v>x</v>
      </c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2"/>
      <c r="DU147" s="111"/>
      <c r="DV147" s="111"/>
      <c r="DW147" s="111"/>
      <c r="DX147" s="111"/>
      <c r="DY147" s="111"/>
      <c r="DZ147" s="111"/>
      <c r="EA147" s="112"/>
      <c r="EB147" s="112"/>
      <c r="EC147" s="111"/>
      <c r="ED147" s="111"/>
      <c r="EE147" s="111"/>
      <c r="EF147" s="111"/>
      <c r="EG147" s="111"/>
      <c r="EH147" s="111"/>
      <c r="EI147" s="112"/>
      <c r="EJ147" s="112"/>
      <c r="EK147" s="111"/>
      <c r="EL147" s="112"/>
      <c r="EM147" s="112"/>
      <c r="EN147" s="111"/>
      <c r="EO147" s="117"/>
      <c r="EP147" s="118"/>
      <c r="EQ147" s="112"/>
      <c r="ER147" s="111"/>
      <c r="ES147" s="111"/>
      <c r="ET147" s="111"/>
      <c r="EU147" s="111"/>
      <c r="EV147" s="112" t="str">
        <f t="shared" si="700"/>
        <v>x</v>
      </c>
      <c r="EW147" s="111"/>
      <c r="EX147" s="111"/>
      <c r="EY147" s="111"/>
      <c r="EZ147" s="111"/>
      <c r="FA147" s="111"/>
      <c r="FB147" s="111"/>
      <c r="FC147" s="112" t="str">
        <f t="shared" si="717"/>
        <v>x</v>
      </c>
      <c r="FD147" s="112"/>
      <c r="FE147" s="111"/>
      <c r="FF147" s="111"/>
      <c r="FG147" s="111"/>
      <c r="FH147" s="111"/>
      <c r="FI147" s="112"/>
      <c r="FJ147" s="112"/>
      <c r="FK147" s="111"/>
      <c r="FL147" s="111"/>
      <c r="FM147" s="112"/>
      <c r="FN147" s="112"/>
      <c r="FO147" s="112"/>
      <c r="FP147" s="111"/>
      <c r="FQ147" s="112"/>
      <c r="FR147" s="112"/>
      <c r="FS147" s="112"/>
      <c r="FT147" s="112"/>
      <c r="FU147" s="112"/>
      <c r="FV147" s="112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2"/>
      <c r="GH147" s="111"/>
      <c r="GI147" s="111"/>
      <c r="GJ147" s="111"/>
      <c r="GK147" s="111"/>
      <c r="GL147" s="112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2" t="str">
        <f t="shared" si="701"/>
        <v>x</v>
      </c>
      <c r="HC147" s="111"/>
      <c r="HD147" s="111"/>
      <c r="HE147" s="111"/>
      <c r="HF147" s="111"/>
      <c r="HG147" s="111"/>
      <c r="HH147" s="111"/>
      <c r="HI147" s="111"/>
      <c r="HJ147" s="112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2" t="str">
        <f t="shared" si="718"/>
        <v>x</v>
      </c>
      <c r="HY147" s="112" t="str">
        <f t="shared" si="719"/>
        <v>x</v>
      </c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2"/>
      <c r="IK147" s="111"/>
      <c r="IL147" s="111"/>
      <c r="IM147" s="111"/>
      <c r="IN147" s="111"/>
      <c r="IO147" s="111"/>
      <c r="IP147" s="112"/>
      <c r="IQ147" s="112"/>
      <c r="IR147" s="111"/>
      <c r="IS147" s="111"/>
      <c r="IT147" s="111"/>
      <c r="IU147" s="112"/>
      <c r="IV147" s="112"/>
      <c r="IW147" s="112"/>
      <c r="IX147" s="112"/>
      <c r="IY147" s="111"/>
      <c r="IZ147" s="111"/>
      <c r="JA147" s="111"/>
      <c r="JB147" s="112"/>
      <c r="JC147" s="111"/>
      <c r="JD147" s="112"/>
      <c r="JE147" s="112"/>
      <c r="JF147" s="112"/>
      <c r="JG147" s="112"/>
      <c r="JH147" s="111"/>
      <c r="JI147" s="112"/>
      <c r="JJ147" s="112"/>
      <c r="JK147" s="112"/>
      <c r="JL147" s="112"/>
      <c r="JM147" s="112"/>
      <c r="JN147" s="112"/>
      <c r="JO147" s="112"/>
      <c r="JP147" s="112"/>
      <c r="JQ147" s="112"/>
      <c r="JR147" s="112"/>
      <c r="JS147" s="112"/>
      <c r="JT147" s="111"/>
      <c r="JU147" s="111"/>
      <c r="JV147" s="112"/>
      <c r="JW147" s="112"/>
      <c r="JX147" s="111"/>
      <c r="JY147" s="111"/>
      <c r="JZ147" s="111"/>
      <c r="KA147" s="111"/>
      <c r="KB147" s="111"/>
      <c r="KC147" s="111"/>
      <c r="KD147" s="112" t="str">
        <f t="shared" si="702"/>
        <v>x</v>
      </c>
      <c r="KE147" s="112"/>
      <c r="KF147" s="111"/>
      <c r="KG147" s="111"/>
      <c r="KH147" s="111"/>
      <c r="KI147" s="111"/>
      <c r="KJ147" s="111"/>
      <c r="KK147" s="111"/>
      <c r="KL147" s="111"/>
      <c r="KM147" s="111"/>
      <c r="KN147" s="111"/>
      <c r="KO147" s="111"/>
      <c r="KP147" s="111"/>
      <c r="KQ147" s="111"/>
      <c r="KR147" s="111"/>
      <c r="KS147" s="111"/>
      <c r="KT147" s="111"/>
      <c r="KU147" s="111"/>
      <c r="KV147" s="111"/>
      <c r="KW147" s="111"/>
      <c r="KX147" s="111"/>
      <c r="KY147" s="111"/>
      <c r="KZ147" s="111"/>
      <c r="LA147" s="111"/>
      <c r="LB147" s="111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1"/>
      <c r="ME147" s="111"/>
      <c r="MF147" s="111"/>
      <c r="MG147" s="111"/>
      <c r="MH147" s="111"/>
    </row>
    <row r="148" spans="1:346" x14ac:dyDescent="0.25">
      <c r="A148" s="110" t="s">
        <v>490</v>
      </c>
      <c r="B148" s="101" t="s">
        <v>88</v>
      </c>
      <c r="C148" s="102"/>
      <c r="D148" s="102"/>
      <c r="E148" s="102"/>
      <c r="F148" s="102"/>
      <c r="G148" s="102"/>
      <c r="H148" s="102"/>
      <c r="I148" s="102"/>
      <c r="J148" s="103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2"/>
      <c r="AO148" s="112"/>
      <c r="AP148" s="112"/>
      <c r="AQ148" s="112"/>
      <c r="AR148" s="112"/>
      <c r="AS148" s="112"/>
      <c r="AT148" s="112"/>
      <c r="AU148" s="113"/>
      <c r="AV148" s="114" t="str">
        <f t="shared" si="703"/>
        <v>x</v>
      </c>
      <c r="AW148" s="114" t="str">
        <f t="shared" si="704"/>
        <v>x</v>
      </c>
      <c r="AX148" s="111"/>
      <c r="AY148" s="111"/>
      <c r="AZ148" s="112" t="str">
        <f t="shared" si="705"/>
        <v>x</v>
      </c>
      <c r="BA148" s="112" t="str">
        <f t="shared" si="706"/>
        <v>x</v>
      </c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2" t="str">
        <f t="shared" si="707"/>
        <v>x</v>
      </c>
      <c r="BS148" s="112"/>
      <c r="BT148" s="111"/>
      <c r="BU148" s="112" t="str">
        <f t="shared" si="708"/>
        <v>x</v>
      </c>
      <c r="BV148" s="112" t="str">
        <f t="shared" si="709"/>
        <v>x</v>
      </c>
      <c r="BW148" s="112"/>
      <c r="BX148" s="112"/>
      <c r="BY148" s="112"/>
      <c r="BZ148" s="112" t="str">
        <f t="shared" si="710"/>
        <v>x</v>
      </c>
      <c r="CA148" s="112" t="str">
        <f t="shared" si="711"/>
        <v>x</v>
      </c>
      <c r="CB148" s="112" t="str">
        <f t="shared" si="712"/>
        <v>x</v>
      </c>
      <c r="CC148" s="112"/>
      <c r="CD148" s="112"/>
      <c r="CE148" s="111"/>
      <c r="CF148" s="111"/>
      <c r="CG148" s="111"/>
      <c r="CH148" s="111"/>
      <c r="CI148" s="112"/>
      <c r="CJ148" s="112" t="str">
        <f t="shared" si="713"/>
        <v>x</v>
      </c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5"/>
      <c r="DC148" s="112"/>
      <c r="DD148" s="112"/>
      <c r="DE148" s="112" t="str">
        <f t="shared" si="714"/>
        <v>x</v>
      </c>
      <c r="DF148" s="115" t="str">
        <f t="shared" si="715"/>
        <v>x</v>
      </c>
      <c r="DG148" s="112" t="str">
        <f t="shared" si="716"/>
        <v>x</v>
      </c>
      <c r="DH148" s="112" t="str">
        <f t="shared" si="699"/>
        <v>x</v>
      </c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2"/>
      <c r="DU148" s="111"/>
      <c r="DV148" s="111"/>
      <c r="DW148" s="111"/>
      <c r="DX148" s="111"/>
      <c r="DY148" s="111"/>
      <c r="DZ148" s="111"/>
      <c r="EA148" s="112"/>
      <c r="EB148" s="112"/>
      <c r="EC148" s="111"/>
      <c r="ED148" s="111"/>
      <c r="EE148" s="111"/>
      <c r="EF148" s="111"/>
      <c r="EG148" s="111"/>
      <c r="EH148" s="111"/>
      <c r="EI148" s="112"/>
      <c r="EJ148" s="112"/>
      <c r="EK148" s="111"/>
      <c r="EL148" s="112"/>
      <c r="EM148" s="112"/>
      <c r="EN148" s="111"/>
      <c r="EO148" s="117"/>
      <c r="EP148" s="118"/>
      <c r="EQ148" s="112"/>
      <c r="ER148" s="111"/>
      <c r="ES148" s="111"/>
      <c r="ET148" s="111"/>
      <c r="EU148" s="111"/>
      <c r="EV148" s="112" t="str">
        <f t="shared" si="700"/>
        <v>x</v>
      </c>
      <c r="EW148" s="111"/>
      <c r="EX148" s="111"/>
      <c r="EY148" s="111"/>
      <c r="EZ148" s="111"/>
      <c r="FA148" s="111"/>
      <c r="FB148" s="111"/>
      <c r="FC148" s="112" t="str">
        <f t="shared" si="717"/>
        <v>x</v>
      </c>
      <c r="FD148" s="112"/>
      <c r="FE148" s="111"/>
      <c r="FF148" s="111"/>
      <c r="FG148" s="111"/>
      <c r="FH148" s="111"/>
      <c r="FI148" s="112"/>
      <c r="FJ148" s="112"/>
      <c r="FK148" s="111"/>
      <c r="FL148" s="111"/>
      <c r="FM148" s="112"/>
      <c r="FN148" s="112"/>
      <c r="FO148" s="112"/>
      <c r="FP148" s="111"/>
      <c r="FQ148" s="112"/>
      <c r="FR148" s="112"/>
      <c r="FS148" s="112"/>
      <c r="FT148" s="112"/>
      <c r="FU148" s="112"/>
      <c r="FV148" s="112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2"/>
      <c r="GH148" s="111"/>
      <c r="GI148" s="111"/>
      <c r="GJ148" s="111"/>
      <c r="GK148" s="111"/>
      <c r="GL148" s="112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2" t="str">
        <f t="shared" si="701"/>
        <v>x</v>
      </c>
      <c r="HC148" s="111"/>
      <c r="HD148" s="111"/>
      <c r="HE148" s="111"/>
      <c r="HF148" s="111"/>
      <c r="HG148" s="111"/>
      <c r="HH148" s="111"/>
      <c r="HI148" s="111"/>
      <c r="HJ148" s="112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2" t="str">
        <f t="shared" si="718"/>
        <v>x</v>
      </c>
      <c r="HY148" s="112" t="str">
        <f t="shared" si="719"/>
        <v>x</v>
      </c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2"/>
      <c r="IK148" s="111"/>
      <c r="IL148" s="111"/>
      <c r="IM148" s="111"/>
      <c r="IN148" s="111"/>
      <c r="IO148" s="111"/>
      <c r="IP148" s="112"/>
      <c r="IQ148" s="112"/>
      <c r="IR148" s="111"/>
      <c r="IS148" s="111"/>
      <c r="IT148" s="111"/>
      <c r="IU148" s="112"/>
      <c r="IV148" s="112"/>
      <c r="IW148" s="112"/>
      <c r="IX148" s="112"/>
      <c r="IY148" s="111"/>
      <c r="IZ148" s="111"/>
      <c r="JA148" s="111"/>
      <c r="JB148" s="112"/>
      <c r="JC148" s="111"/>
      <c r="JD148" s="112"/>
      <c r="JE148" s="112"/>
      <c r="JF148" s="112"/>
      <c r="JG148" s="112"/>
      <c r="JH148" s="111"/>
      <c r="JI148" s="112"/>
      <c r="JJ148" s="112"/>
      <c r="JK148" s="112"/>
      <c r="JL148" s="112"/>
      <c r="JM148" s="112"/>
      <c r="JN148" s="112"/>
      <c r="JO148" s="112"/>
      <c r="JP148" s="112"/>
      <c r="JQ148" s="112"/>
      <c r="JR148" s="112"/>
      <c r="JS148" s="112"/>
      <c r="JT148" s="111"/>
      <c r="JU148" s="111"/>
      <c r="JV148" s="112"/>
      <c r="JW148" s="112"/>
      <c r="JX148" s="111"/>
      <c r="JY148" s="111"/>
      <c r="JZ148" s="111"/>
      <c r="KA148" s="111"/>
      <c r="KB148" s="111"/>
      <c r="KC148" s="111"/>
      <c r="KD148" s="112" t="str">
        <f t="shared" si="702"/>
        <v>x</v>
      </c>
      <c r="KE148" s="112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</row>
    <row r="149" spans="1:346" x14ac:dyDescent="0.25">
      <c r="A149" s="101" t="s">
        <v>146</v>
      </c>
      <c r="B149" s="102"/>
      <c r="C149" s="102"/>
      <c r="D149" s="102"/>
      <c r="E149" s="102"/>
      <c r="F149" s="102"/>
      <c r="G149" s="102"/>
      <c r="H149" s="102"/>
      <c r="I149" s="102"/>
      <c r="J149" s="103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6"/>
      <c r="AV149" s="106"/>
      <c r="AW149" s="106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9"/>
      <c r="EP149" s="109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5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4"/>
      <c r="JN149" s="104"/>
      <c r="JO149" s="104"/>
      <c r="JP149" s="104"/>
      <c r="JQ149" s="104"/>
      <c r="JR149" s="104"/>
      <c r="JS149" s="104"/>
      <c r="JT149" s="104"/>
      <c r="JU149" s="104"/>
      <c r="JV149" s="104"/>
      <c r="JW149" s="104"/>
      <c r="JX149" s="104"/>
      <c r="JY149" s="104"/>
      <c r="JZ149" s="104"/>
      <c r="KA149" s="104"/>
      <c r="KB149" s="104"/>
      <c r="KC149" s="104"/>
      <c r="KD149" s="104"/>
      <c r="KE149" s="104"/>
      <c r="KF149" s="104"/>
      <c r="KG149" s="104"/>
      <c r="KH149" s="104"/>
      <c r="KI149" s="104"/>
      <c r="KJ149" s="104"/>
      <c r="KK149" s="104"/>
      <c r="KL149" s="104"/>
      <c r="KM149" s="104"/>
      <c r="KN149" s="104"/>
      <c r="KO149" s="104"/>
      <c r="KP149" s="104"/>
      <c r="KQ149" s="104"/>
      <c r="KR149" s="104"/>
      <c r="KS149" s="104"/>
      <c r="KT149" s="104"/>
      <c r="KU149" s="104"/>
      <c r="KV149" s="104"/>
      <c r="KW149" s="104"/>
      <c r="KX149" s="104"/>
      <c r="KY149" s="104"/>
      <c r="KZ149" s="104"/>
      <c r="LA149" s="104"/>
      <c r="LB149" s="104"/>
      <c r="LC149" s="104"/>
      <c r="LD149" s="104"/>
      <c r="LE149" s="104"/>
      <c r="LF149" s="104"/>
      <c r="LG149" s="104"/>
      <c r="LH149" s="104"/>
      <c r="LI149" s="104"/>
      <c r="LJ149" s="104"/>
      <c r="LK149" s="104"/>
      <c r="LL149" s="104"/>
      <c r="LM149" s="104"/>
      <c r="LN149" s="104"/>
      <c r="LO149" s="104"/>
      <c r="LP149" s="104"/>
      <c r="LQ149" s="104"/>
      <c r="LR149" s="104"/>
      <c r="LS149" s="104"/>
      <c r="LT149" s="104"/>
      <c r="LU149" s="104"/>
      <c r="LV149" s="104"/>
      <c r="LW149" s="104"/>
      <c r="LX149" s="104"/>
      <c r="LY149" s="104"/>
      <c r="LZ149" s="104"/>
      <c r="MA149" s="104"/>
      <c r="MB149" s="104"/>
      <c r="MC149" s="104"/>
      <c r="MD149" s="104"/>
      <c r="ME149" s="104"/>
      <c r="MF149" s="104"/>
      <c r="MG149" s="104"/>
      <c r="MH149" s="104"/>
    </row>
    <row r="150" spans="1:346" x14ac:dyDescent="0.25">
      <c r="A150" s="110" t="s">
        <v>146</v>
      </c>
      <c r="B150" s="101" t="s">
        <v>145</v>
      </c>
      <c r="C150" s="102"/>
      <c r="D150" s="102"/>
      <c r="E150" s="102"/>
      <c r="F150" s="102"/>
      <c r="G150" s="102"/>
      <c r="H150" s="102"/>
      <c r="I150" s="102"/>
      <c r="J150" s="103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3"/>
      <c r="AV150" s="114" t="str">
        <f>HYPERLINK("http://sab.landtag.sachsen.de/dokumente/landtagskurier/SAB_DeutschLernen_DinA5_WEB141115.pdf","x")</f>
        <v>x</v>
      </c>
      <c r="AW150" s="114" t="str">
        <f>HYPERLINK("http://sab.landtag.sachsen.de/dokumente/landtagskurier/SAB_PL_Lernposter_WEB091115.pdf","x")</f>
        <v>x</v>
      </c>
      <c r="AX150" s="111"/>
      <c r="AY150" s="111"/>
      <c r="AZ15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0" s="112" t="str">
        <f>HYPERLINK("http://wie-kann-ich-helfen.info/WoerterbuchAnalphabet_innen_%28c%29_Dagmar_Schmeelcke.pdf","x")</f>
        <v>x</v>
      </c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2" t="str">
        <f>HYPERLINK("http://www.goethe.de/lrn/prj/wnd/deu/lti/deindex.htm#13322010","x")</f>
        <v>x</v>
      </c>
      <c r="BS150" s="112"/>
      <c r="BT150" s="111"/>
      <c r="BU150" s="112" t="str">
        <f>HYPERLINK("https://s3-eu-west-1.amazonaws.com/lingolia/download/lingolia_daf.pdf","x")</f>
        <v>x</v>
      </c>
      <c r="BV150" s="112"/>
      <c r="BW150" s="112"/>
      <c r="BX150" s="112"/>
      <c r="BY150" s="112"/>
      <c r="BZ150" s="112" t="str">
        <f>HYPERLINK("http://www.hueber.de/shared/uebungen/schritte-plus","x")</f>
        <v>x</v>
      </c>
      <c r="CA150" s="112" t="str">
        <f>HYPERLINK("https://www.hueber.de/shared/uebungen/menschen-hier/ab/a1-1/menu.html","x")</f>
        <v>x</v>
      </c>
      <c r="CB150" s="112" t="str">
        <f>HYPERLINK("http://www.goethe-verlag.com/DE/","x")</f>
        <v>x</v>
      </c>
      <c r="CC150" s="112"/>
      <c r="CD150" s="112"/>
      <c r="CE150" s="111"/>
      <c r="CF150" s="111"/>
      <c r="CG150" s="111"/>
      <c r="CH150" s="111"/>
      <c r="CI150" s="111"/>
      <c r="CJ150" s="112" t="str">
        <f>HYPERLINK("http://www.e-migrantinnen.de/index.php?de_wichtige-links","x")</f>
        <v>x</v>
      </c>
      <c r="CK150" s="112"/>
      <c r="CL150" s="112"/>
      <c r="CM150" s="112"/>
      <c r="CN150" s="112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2"/>
      <c r="CZ150" s="112"/>
      <c r="DA150" s="112"/>
      <c r="DB150" s="115"/>
      <c r="DC150" s="112"/>
      <c r="DD150" s="112"/>
      <c r="DE150" s="112" t="str">
        <f>HYPERLINK("http://fi-lohmar-siegburg.de/data/documents/130-37_Inklusion_im_Anfangsunterricht_-_Poster_mit_Situationsbildern.pdf","x")</f>
        <v>x</v>
      </c>
      <c r="DF150" s="115" t="str">
        <f>HYPERLINK("http://s3-eu-west-1.amazonaws.com/lingolia/calendar/2016/lingolia_2016_de.pdf","x")</f>
        <v>x</v>
      </c>
      <c r="DG150" s="112" t="str">
        <f>HYPERLINK("http://www.bibliomedia.ch/de/angebote/img/Wimmelbild.jpg","x")</f>
        <v>x</v>
      </c>
      <c r="DH150" s="112" t="str">
        <f>HYPERLINK("http://www.bibliomedia.ch/de/angebote/dokumente/Wimmelbild_Fehler.jpg","x")</f>
        <v>x</v>
      </c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7" t="str">
        <f>HYPERLINK("http://www.medi-bild.de/pdf/anamnese/Welche_Sprache.pdf","x")</f>
        <v>x</v>
      </c>
      <c r="EP150" s="117" t="str">
        <f>HYPERLINK("http://www.medknowledge.de/migration/tipdoc/anamnesebogen/tipdoc_Anamnese_korean.pdf","x")</f>
        <v>x</v>
      </c>
      <c r="EQ150" s="111"/>
      <c r="ER150" s="111"/>
      <c r="ES150" s="111"/>
      <c r="ET150" s="111"/>
      <c r="EU150" s="111"/>
      <c r="EV150" s="112" t="str">
        <f>HYPERLINK("http://www.lak-rlp.de/fileadmin/redakteure/pdf/download/Piktogramme_Dosieretiketten_AoG.pdf","x")</f>
        <v>x</v>
      </c>
      <c r="EW150" s="111"/>
      <c r="EX150" s="111"/>
      <c r="EY150" s="111"/>
      <c r="EZ150" s="111"/>
      <c r="FA150" s="111"/>
      <c r="FB150" s="111"/>
      <c r="FC150" s="112" t="str">
        <f>HYPERLINK("http://mige.ix-tech.de/index.php?id=241","x")</f>
        <v>x</v>
      </c>
      <c r="FD150" s="112" t="str">
        <f>HYPERLINK("http://sghanstedt.elbnetz.com/ueber-uns/","x")</f>
        <v>x</v>
      </c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2" t="str">
        <f t="shared" si="628"/>
        <v>x</v>
      </c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2" t="str">
        <f>HYPERLINK("http://www.selfhelpfortrauma.org/","x")</f>
        <v>x</v>
      </c>
      <c r="HY150" s="112" t="str">
        <f>HYPERLINK("http://peacefulheart.se/wp-content/uploads/2014/12/Resolving-Yesterday-20141201-Self-Tapping.pdf","x")</f>
        <v>x</v>
      </c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2" t="str">
        <f>HYPERLINK("http://www.bamf.de/SharedDocs/Anlagen/DE/Publikationen/Broschueren/broschuere-eat-a4-ko-koreanisch.pdf?__blob=publicationFile","x")</f>
        <v>x</v>
      </c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</row>
    <row r="151" spans="1:346" x14ac:dyDescent="0.25">
      <c r="A151" s="101" t="s">
        <v>32</v>
      </c>
      <c r="B151" s="102"/>
      <c r="C151" s="102"/>
      <c r="D151" s="102"/>
      <c r="E151" s="102"/>
      <c r="F151" s="102"/>
      <c r="G151" s="102"/>
      <c r="H151" s="102"/>
      <c r="I151" s="102"/>
      <c r="J151" s="103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6"/>
      <c r="AV151" s="106"/>
      <c r="AW151" s="106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5"/>
      <c r="CP151" s="105"/>
      <c r="CQ151" s="105"/>
      <c r="CR151" s="105"/>
      <c r="CS151" s="105"/>
      <c r="CT151" s="105"/>
      <c r="CU151" s="105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9"/>
      <c r="EP151" s="109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5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4"/>
      <c r="JN151" s="104"/>
      <c r="JO151" s="104"/>
      <c r="JP151" s="104"/>
      <c r="JQ151" s="104"/>
      <c r="JR151" s="104"/>
      <c r="JS151" s="104"/>
      <c r="JT151" s="104"/>
      <c r="JU151" s="104"/>
      <c r="JV151" s="104"/>
      <c r="JW151" s="104"/>
      <c r="JX151" s="104"/>
      <c r="JY151" s="104"/>
      <c r="JZ151" s="104"/>
      <c r="KA151" s="104"/>
      <c r="KB151" s="104"/>
      <c r="KC151" s="104"/>
      <c r="KD151" s="104"/>
      <c r="KE151" s="104"/>
      <c r="KF151" s="104"/>
      <c r="KG151" s="104"/>
      <c r="KH151" s="104"/>
      <c r="KI151" s="104"/>
      <c r="KJ151" s="104"/>
      <c r="KK151" s="104"/>
      <c r="KL151" s="104"/>
      <c r="KM151" s="104"/>
      <c r="KN151" s="104"/>
      <c r="KO151" s="104"/>
      <c r="KP151" s="104"/>
      <c r="KQ151" s="104"/>
      <c r="KR151" s="104"/>
      <c r="KS151" s="104"/>
      <c r="KT151" s="104"/>
      <c r="KU151" s="104"/>
      <c r="KV151" s="104"/>
      <c r="KW151" s="104"/>
      <c r="KX151" s="104"/>
      <c r="KY151" s="104"/>
      <c r="KZ151" s="104"/>
      <c r="LA151" s="104"/>
      <c r="LB151" s="104"/>
      <c r="LC151" s="104"/>
      <c r="LD151" s="104"/>
      <c r="LE151" s="104"/>
      <c r="LF151" s="104"/>
      <c r="LG151" s="104"/>
      <c r="LH151" s="104"/>
      <c r="LI151" s="104"/>
      <c r="LJ151" s="104"/>
      <c r="LK151" s="104"/>
      <c r="LL151" s="104"/>
      <c r="LM151" s="104"/>
      <c r="LN151" s="104"/>
      <c r="LO151" s="104"/>
      <c r="LP151" s="104"/>
      <c r="LQ151" s="104"/>
      <c r="LR151" s="104"/>
      <c r="LS151" s="104"/>
      <c r="LT151" s="104"/>
      <c r="LU151" s="104"/>
      <c r="LV151" s="104"/>
      <c r="LW151" s="104"/>
      <c r="LX151" s="104"/>
      <c r="LY151" s="104"/>
      <c r="LZ151" s="104"/>
      <c r="MA151" s="104"/>
      <c r="MB151" s="104"/>
      <c r="MC151" s="104"/>
      <c r="MD151" s="104"/>
      <c r="ME151" s="104"/>
      <c r="MF151" s="104"/>
      <c r="MG151" s="104"/>
      <c r="MH151" s="104"/>
    </row>
    <row r="152" spans="1:346" x14ac:dyDescent="0.25">
      <c r="A152" s="110" t="s">
        <v>32</v>
      </c>
      <c r="B152" s="101" t="s">
        <v>57</v>
      </c>
      <c r="C152" s="102"/>
      <c r="D152" s="102"/>
      <c r="E152" s="102"/>
      <c r="F152" s="102"/>
      <c r="G152" s="102"/>
      <c r="H152" s="102"/>
      <c r="I152" s="102"/>
      <c r="J152" s="103"/>
      <c r="K152" s="111"/>
      <c r="L152" s="111"/>
      <c r="M152" s="112" t="str">
        <f t="shared" ref="M152:M155" si="720">HYPERLINK("http://www.ag-fluechtlingshilfe-wetterau.de/uploads/infos/170.pdf","x")</f>
        <v>x</v>
      </c>
      <c r="N152" s="112"/>
      <c r="O152" s="112"/>
      <c r="P152" s="112"/>
      <c r="Q152" s="112"/>
      <c r="R152" s="112"/>
      <c r="S152" s="112"/>
      <c r="T152" s="112"/>
      <c r="U152" s="112"/>
      <c r="V152" s="111"/>
      <c r="W152" s="112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2"/>
      <c r="AO152" s="112"/>
      <c r="AP152" s="112"/>
      <c r="AQ152" s="112"/>
      <c r="AR152" s="112"/>
      <c r="AS152" s="112"/>
      <c r="AT152" s="112"/>
      <c r="AU152" s="113"/>
      <c r="AV152" s="114" t="str">
        <f t="shared" ref="AV152:AV155" si="721">HYPERLINK("http://sab.landtag.sachsen.de/dokumente/landtagskurier/SAB_DeutschLernen_DinA5_WEB141115.pdf","x")</f>
        <v>x</v>
      </c>
      <c r="AW152" s="114" t="str">
        <f t="shared" ref="AW152:AW155" si="722">HYPERLINK("http://sab.landtag.sachsen.de/dokumente/landtagskurier/SAB_PL_Lernposter_WEB091115.pdf","x")</f>
        <v>x</v>
      </c>
      <c r="AX152" s="111"/>
      <c r="AY152" s="111"/>
      <c r="AZ152" s="112" t="str">
        <f t="shared" ref="AZ152:AZ155" si="723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2" s="112" t="str">
        <f t="shared" ref="BA152:BA155" si="724">HYPERLINK("http://wie-kann-ich-helfen.info/WoerterbuchAnalphabet_innen_%28c%29_Dagmar_Schmeelcke.pdf","x")</f>
        <v>x</v>
      </c>
      <c r="BB152" s="111"/>
      <c r="BC152" s="111"/>
      <c r="BD152" s="111"/>
      <c r="BE152" s="111"/>
      <c r="BF152" s="111"/>
      <c r="BG152" s="112" t="str">
        <f t="shared" ref="BG152:BG155" si="725">HYPERLINK("http://www.refugeephrasebook.de/pdf/germany150920.pdf","x")</f>
        <v>x</v>
      </c>
      <c r="BH152" s="112" t="str">
        <f t="shared" ref="BH152:BH155" si="726">HYPERLINK("https://www.advanced-online.eu/downloads/RefugeePhrasebookCards_German-Bosnian-Croatian-Serbian.pdf","x")</f>
        <v>x</v>
      </c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2" t="str">
        <f t="shared" ref="BR152:BR155" si="727">HYPERLINK("http://www.goethe.de/lrn/prj/wnd/deu/lti/deindex.htm#13322010","x")</f>
        <v>x</v>
      </c>
      <c r="BS152" s="112"/>
      <c r="BT152" s="111"/>
      <c r="BU152" s="112" t="str">
        <f t="shared" ref="BU152:BU155" si="728">HYPERLINK("https://s3-eu-west-1.amazonaws.com/lingolia/download/lingolia_daf.pdf","x")</f>
        <v>x</v>
      </c>
      <c r="BV152" s="112"/>
      <c r="BW152" s="112"/>
      <c r="BX152" s="112"/>
      <c r="BY152" s="112"/>
      <c r="BZ152" s="112" t="str">
        <f t="shared" ref="BZ152:BZ155" si="729">HYPERLINK("http://www.hueber.de/shared/uebungen/schritte-plus","x")</f>
        <v>x</v>
      </c>
      <c r="CA152" s="112" t="str">
        <f t="shared" ref="CA152:CA155" si="730">HYPERLINK("https://www.hueber.de/shared/uebungen/menschen-hier/ab/a1-1/menu.html","x")</f>
        <v>x</v>
      </c>
      <c r="CB152" s="112" t="str">
        <f t="shared" ref="CB152:CB155" si="731">HYPERLINK("http://www.goethe-verlag.com/DE/","x")</f>
        <v>x</v>
      </c>
      <c r="CC152" s="112"/>
      <c r="CD152" s="112"/>
      <c r="CE152" s="111"/>
      <c r="CF152" s="111"/>
      <c r="CG152" s="111"/>
      <c r="CH152" s="111"/>
      <c r="CI152" s="111"/>
      <c r="CJ152" s="112" t="str">
        <f t="shared" ref="CJ152:CJ155" si="732">HYPERLINK("http://www.e-migrantinnen.de/index.php?de_wichtige-links","x")</f>
        <v>x</v>
      </c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 t="str">
        <f>HYPERLINK("http://www.profamilia.de/fileadmin/publikationen/Erwachsene/mehrsprachig/verhuetung_kroatisch.pdf","x")</f>
        <v>x</v>
      </c>
      <c r="CU152" s="112"/>
      <c r="CV152" s="112"/>
      <c r="CW152" s="112" t="str">
        <f>HYPERLINK("http://www.profamilia.de/fileadmin/publikationen/Reihe_Koerper_und_Sexualtitaet/Bro_Schwangerschaftsabbruch_HR_ANSICHT.pdf","x")</f>
        <v>x</v>
      </c>
      <c r="CX152" s="111"/>
      <c r="CY152" s="112"/>
      <c r="CZ152" s="112"/>
      <c r="DA152" s="112"/>
      <c r="DB152" s="115"/>
      <c r="DC152" s="112"/>
      <c r="DD152" s="112"/>
      <c r="DE152" s="112" t="str">
        <f t="shared" ref="DE152:DE155" si="733">HYPERLINK("http://fi-lohmar-siegburg.de/data/documents/130-37_Inklusion_im_Anfangsunterricht_-_Poster_mit_Situationsbildern.pdf","x")</f>
        <v>x</v>
      </c>
      <c r="DF152" s="115" t="str">
        <f t="shared" ref="DF152:DF155" si="734">HYPERLINK("http://s3-eu-west-1.amazonaws.com/lingolia/calendar/2016/lingolia_2016_de.pdf","x")</f>
        <v>x</v>
      </c>
      <c r="DG152" s="112" t="str">
        <f t="shared" ref="DG152:DG155" si="735">HYPERLINK("http://www.bibliomedia.ch/de/angebote/img/Wimmelbild.jpg","x")</f>
        <v>x</v>
      </c>
      <c r="DH152" s="112" t="str">
        <f t="shared" ref="DH152:DH155" si="736">HYPERLINK("http://www.bibliomedia.ch/de/angebote/dokumente/Wimmelbild_Fehler.jpg","x")</f>
        <v>x</v>
      </c>
      <c r="DI152" s="112" t="str">
        <f>HYPERLINK("http://www.bibliomedia.ch/de/angebote/dokumente/Glossar_kroatisch.pdf","x")</f>
        <v>x</v>
      </c>
      <c r="DJ152" s="112"/>
      <c r="DK152" s="112"/>
      <c r="DL152" s="112"/>
      <c r="DM152" s="112"/>
      <c r="DN152" s="112"/>
      <c r="DO152" s="111"/>
      <c r="DP152" s="111"/>
      <c r="DQ152" s="111"/>
      <c r="DR152" s="112" t="str">
        <f>HYPERLINK("http://bildung.koeln.de/materialbibliothek/download.php?idx=0fa72c9e161f25c40f1bb81295fb4f1f","x")</f>
        <v>x</v>
      </c>
      <c r="DS152" s="112" t="str">
        <f>HYPERLINK("http://bildung.koeln.de/materialbibliothek/download.php?idx=3a958a19af2d93b8f387abceab9f62b3","x")</f>
        <v>x</v>
      </c>
      <c r="DT152" s="112"/>
      <c r="DU152" s="112" t="str">
        <f t="shared" ref="DU152:DU155" si="737">HYPERLINK("https://www.bmbf.de/pub/Kausa_Elternbroschuere_bosn_kroat_serb.pdf","x")</f>
        <v>x</v>
      </c>
      <c r="DV152" s="111"/>
      <c r="DW152" s="111"/>
      <c r="DX152" s="111"/>
      <c r="DY152" s="112" t="str">
        <f>HYPERLINK("http://www.bamf.de/SharedDocs/Anlagen/DE/Publikationen/Flyer/AnerkennungBerufsabschluss/anerkennung-berufsabschluss_hr.pdf?__blob=publicationFile","x")</f>
        <v>x</v>
      </c>
      <c r="DZ152" s="112" t="str">
        <f>HYPERLINK("http://www.bamf.de/SharedDocs/Anlagen/DE/Publikationen/Flyer/AnerkennungBerufsabschluss/anerkennung-berufsabschluss_ausland_hr.pdf?__blob=publicationFile","x")</f>
        <v>x</v>
      </c>
      <c r="EA152" s="112"/>
      <c r="EB152" s="112"/>
      <c r="EC152" s="111"/>
      <c r="ED152" s="111"/>
      <c r="EE152" s="111"/>
      <c r="EF152" s="111"/>
      <c r="EG152" s="111"/>
      <c r="EH152" s="111"/>
      <c r="EI152" s="112"/>
      <c r="EJ152" s="112"/>
      <c r="EK152" s="111"/>
      <c r="EL152" s="112" t="str">
        <f>HYPERLINK("http://www.kvs-sachsen.de/fileadmin/img/Mitglieder/Asylbewerber/Allg-Informationen/Anlage_1_Kroatisch_LEK.pdf","x")</f>
        <v>x</v>
      </c>
      <c r="EM152" s="111"/>
      <c r="EN152" s="111"/>
      <c r="EO152" s="117"/>
      <c r="EP152" s="117" t="str">
        <f t="shared" ref="EP152:EP155" si="738">HYPERLINK("http://www.armut-gesundheit.de/fileadmin/redakteur/dokumente/Anamnesebogen%20-%20kroatischnew.pdf","x")</f>
        <v>x</v>
      </c>
      <c r="EQ152" s="112" t="str">
        <f>HYPERLINK("http://www.kvs-sachsen.de/fileadmin/img/Mitglieder/Asylbewerber/Allg-Informationen/Anlagen_2-1_2-2_Kroatisch_LEK.pdf","x")</f>
        <v>x</v>
      </c>
      <c r="ER152" s="111"/>
      <c r="ES152" s="111"/>
      <c r="ET152" s="111"/>
      <c r="EU152" s="111"/>
      <c r="EV152" s="112" t="str">
        <f t="shared" ref="EV152:EV155" si="739">HYPERLINK("http://www.lak-rlp.de/fileadmin/redakteure/pdf/download/Piktogramme_Dosieretiketten_AoG.pdf","x")</f>
        <v>x</v>
      </c>
      <c r="EW152" s="111"/>
      <c r="EX152" s="111"/>
      <c r="EY152" s="111"/>
      <c r="EZ152" s="111"/>
      <c r="FA152" s="111"/>
      <c r="FB152" s="111"/>
      <c r="FC152" s="112" t="str">
        <f t="shared" ref="FC152:FC155" si="740">HYPERLINK("http://mige.ix-tech.de/index.php?id=241","x")</f>
        <v>x</v>
      </c>
      <c r="FD152" s="112" t="str">
        <f t="shared" ref="FD152:FD155" si="741">HYPERLINK("http://sghanstedt.elbnetz.com/ueber-uns/","x")</f>
        <v>x</v>
      </c>
      <c r="FE152" s="111"/>
      <c r="FF152" s="111"/>
      <c r="FG152" s="111"/>
      <c r="FH152" s="111"/>
      <c r="FI152" s="112"/>
      <c r="FJ152" s="112" t="str">
        <f>HYPERLINK("http://www.rki.de/DE/Content/Infekt/Impfen/Materialien/Downloads-Impfkalender/Impfkalender_Kroatisch.pdf;jsessionid=B56E144E4E5DED843A215A7A8F137849.2_cid290?__blob=publicationFile","x")</f>
        <v>x</v>
      </c>
      <c r="FK152" s="111"/>
      <c r="FL152" s="111"/>
      <c r="FM152" s="112" t="str">
        <f>HYPERLINK("http://www.rki.de/DE/Content/Infekt/Impfen/Materialien/Glossar-Downloads/glossar-de-kroatisch.pdf?__blob=publicationFile","x")</f>
        <v>x</v>
      </c>
      <c r="FN152" s="112"/>
      <c r="FO152" s="112" t="str">
        <f>HYPERLINK("http://www.rki.de/DE/Content/Infekt/Impfen/Materialien/Downloads-MMR/MMR-Impfinfo-kroatisch.pdf?__blob=publicationFile","x")</f>
        <v>x</v>
      </c>
      <c r="FP152" s="111"/>
      <c r="FQ152" s="112" t="str">
        <f>HYPERLINK("http://www.rki.de/DE/Content/Infekt/Impfen/Materialien/Downloads_HepA/Aufklaerung_HAV-Impfung_Kroatisch.pdf?__blob=publicationFile","x")</f>
        <v>x</v>
      </c>
      <c r="FR152" s="112" t="str">
        <f>HYPERLINK("http://www.rki.de/DE/Content/Infekt/Impfen/Materialien/Downloads_Pneumokokken/Aufklaerung_Pneumo-Impfung_Kroatisch.pdf?__blob=publicationFile","x")</f>
        <v>x</v>
      </c>
      <c r="FS152" s="112" t="str">
        <f>HYPERLINK("http://www.rki.de/DE/Content/Infekt/Impfen/Materialien/Downloads-DTaPIPVHibHepB/DTaPIPVHibHepB-kroatisch.pdf?__blob=publicationFile","x")</f>
        <v>x</v>
      </c>
      <c r="FT152" s="112" t="str">
        <f>HYPERLINK("http://www.rki.de/DE/Content/Infekt/Impfen/Materialien/Downloads-Varizellen/Varizellen-Impfinfo-kroatisch.pdf;jsessionid=65B697F4EE7EDA8A1ED9E2C4CD6C74EC.2_cid363?__blob=publicationFile","x")</f>
        <v>x</v>
      </c>
      <c r="FU152" s="112" t="str">
        <f>HYPERLINK("http://www.rki.de/DE/Content/Infekt/Impfen/Materialien/Downloads-Tdap-IPV/Tdap-IPV-kroatisch.pdf?__blob=publicationFile","x")</f>
        <v>x</v>
      </c>
      <c r="FV152" s="112" t="str">
        <f>HYPERLINK("http://www.rki.de/DE/Content/Infekt/Impfen/Materialien/Downloads-Influenza_nasal/Influenza_nasal-kroatisch.pdf?__blob=publicationFile","x")</f>
        <v>x</v>
      </c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2" t="str">
        <f>HYPERLINK("http://www.rki.de/DE/Content/Infekt/Impfen/Materialien/Downloads-Influenza/Influenza-kroatisch.pdf?__blob=publicationFile","x")</f>
        <v>x</v>
      </c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2" t="str">
        <f t="shared" si="628"/>
        <v>x</v>
      </c>
      <c r="HC152" s="112" t="str">
        <f>HYPERLINK("https://www.zahnaerzte-wl.de/images/_PDF-suche/KZV_ZÄK/ENDSTAND_Ankreuzbogen_Ich_verstehe.pdf","x")</f>
        <v>x</v>
      </c>
      <c r="HD152" s="112" t="str">
        <f>HYPERLINK("https://www.zahnaerzte-wl.de/images/_PDF-suche/KZV_ZÄK/Anschreiben_Patienten_kroatisch.pdf","x")</f>
        <v>x</v>
      </c>
      <c r="HE152" s="112" t="str">
        <f>HYPERLINK("https://www.zahnaerzte-wl.de/images/_PDF-suche/KZV_ZÄK/Fragebogen_kroatisch.pdf","x")</f>
        <v>x</v>
      </c>
      <c r="HF152" s="112" t="str">
        <f>HYPERLINK("https://www.zahnaerzte-wl.de/images/_PDF-suche/KZV_ZÄK/Patientenerhebungsbogen_kroatisch.pdf","x")</f>
        <v>x</v>
      </c>
      <c r="HG152" s="112"/>
      <c r="HH152" s="112"/>
      <c r="HI152" s="112"/>
      <c r="HJ152" s="112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2" t="str">
        <f t="shared" ref="HX152:HX155" si="742">HYPERLINK("http://www.selfhelpfortrauma.org/","x")</f>
        <v>x</v>
      </c>
      <c r="HY152" s="112" t="str">
        <f t="shared" ref="HY152:HY155" si="743">HYPERLINK("http://peacefulheart.se/wp-content/uploads/2014/12/Resolving-Yesterday-20141201-Self-Tapping.pdf","x")</f>
        <v>x</v>
      </c>
      <c r="HZ152" s="111"/>
      <c r="IA152" s="111"/>
      <c r="IB152" s="111"/>
      <c r="IC152" s="111"/>
      <c r="ID152" s="111"/>
      <c r="IE152" s="111"/>
      <c r="IF152" s="111"/>
      <c r="IG152" s="111"/>
      <c r="IH152" s="112" t="str">
        <f>HYPERLINK("http://www.caritas.de/hilfeundberatung/onlineberatung/suchtberatung/haeufiggestelltefragensucht/haeufiggestelltefragen-sucht","x")</f>
        <v>x</v>
      </c>
      <c r="II152" s="111"/>
      <c r="IJ152" s="112"/>
      <c r="IK152" s="111"/>
      <c r="IL152" s="111"/>
      <c r="IM152" s="111"/>
      <c r="IN152" s="111"/>
      <c r="IO152" s="111"/>
      <c r="IP152" s="112"/>
      <c r="IQ152" s="112"/>
      <c r="IR152" s="111"/>
      <c r="IS152" s="111"/>
      <c r="IT152" s="111"/>
      <c r="IU152" s="112"/>
      <c r="IV152" s="112"/>
      <c r="IW152" s="112"/>
      <c r="IX152" s="112"/>
      <c r="IY152" s="111"/>
      <c r="IZ152" s="111"/>
      <c r="JA152" s="111"/>
      <c r="JB152" s="112"/>
      <c r="JC152" s="111"/>
      <c r="JD152" s="112"/>
      <c r="JE152" s="112"/>
      <c r="JF152" s="112"/>
      <c r="JG152" s="112"/>
      <c r="JH152" s="111"/>
      <c r="JI152" s="112"/>
      <c r="JJ152" s="112"/>
      <c r="JK152" s="112"/>
      <c r="JL152" s="112" t="str">
        <f t="shared" ref="JL152:JL155" si="744">HYPERLINK("https://www.arbeitsagentur.de/web/content/DE/Formulare/Detail/index.htm?dfContentId=L6019022DSTBAI485740","x")</f>
        <v>x</v>
      </c>
      <c r="JM152" s="112"/>
      <c r="JN152" s="112"/>
      <c r="JO152" s="112"/>
      <c r="JP152" s="112"/>
      <c r="JQ152" s="112" t="str">
        <f t="shared" ref="JQ152:JQ155" si="745">HYPERLINK("http://www.ibla-germany.de/merkblaetter.php","x")</f>
        <v>x</v>
      </c>
      <c r="JR152" s="112"/>
      <c r="JS152" s="111"/>
      <c r="JT152" s="111"/>
      <c r="JU152" s="111"/>
      <c r="JV152" s="112"/>
      <c r="JW152" s="112"/>
      <c r="JX152" s="111"/>
      <c r="JY152" s="111"/>
      <c r="JZ152" s="111"/>
      <c r="KA152" s="111"/>
      <c r="KB152" s="111"/>
      <c r="KC152" s="111"/>
      <c r="KD152" s="111"/>
      <c r="KE152" s="111"/>
      <c r="KF152" s="111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2" t="str">
        <f>HYPERLINK("http://www.kindersicherheit.de/pdf/2012_poster_achtunggiftig_8sprachig.pdf","x")</f>
        <v>x</v>
      </c>
    </row>
    <row r="153" spans="1:346" x14ac:dyDescent="0.25">
      <c r="A153" s="110" t="s">
        <v>32</v>
      </c>
      <c r="B153" s="101" t="s">
        <v>71</v>
      </c>
      <c r="C153" s="102"/>
      <c r="D153" s="102"/>
      <c r="E153" s="102"/>
      <c r="F153" s="102"/>
      <c r="G153" s="102"/>
      <c r="H153" s="102"/>
      <c r="I153" s="102"/>
      <c r="J153" s="103"/>
      <c r="K153" s="111"/>
      <c r="L153" s="111"/>
      <c r="M153" s="112" t="str">
        <f t="shared" si="720"/>
        <v>x</v>
      </c>
      <c r="N153" s="112"/>
      <c r="O153" s="112"/>
      <c r="P153" s="112"/>
      <c r="Q153" s="112"/>
      <c r="R153" s="112"/>
      <c r="S153" s="112"/>
      <c r="T153" s="112"/>
      <c r="U153" s="112"/>
      <c r="V153" s="111"/>
      <c r="W153" s="112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2"/>
      <c r="AO153" s="112"/>
      <c r="AP153" s="112"/>
      <c r="AQ153" s="112"/>
      <c r="AR153" s="112"/>
      <c r="AS153" s="112"/>
      <c r="AT153" s="112"/>
      <c r="AU153" s="113"/>
      <c r="AV153" s="114" t="str">
        <f t="shared" si="721"/>
        <v>x</v>
      </c>
      <c r="AW153" s="114" t="str">
        <f t="shared" si="722"/>
        <v>x</v>
      </c>
      <c r="AX153" s="111"/>
      <c r="AY153" s="111"/>
      <c r="AZ153" s="112" t="str">
        <f t="shared" si="723"/>
        <v>x</v>
      </c>
      <c r="BA153" s="112" t="str">
        <f t="shared" si="724"/>
        <v>x</v>
      </c>
      <c r="BB153" s="111"/>
      <c r="BC153" s="111"/>
      <c r="BD153" s="111"/>
      <c r="BE153" s="111"/>
      <c r="BF153" s="111"/>
      <c r="BG153" s="112" t="str">
        <f t="shared" si="725"/>
        <v>x</v>
      </c>
      <c r="BH153" s="112" t="str">
        <f t="shared" si="726"/>
        <v>x</v>
      </c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2" t="str">
        <f t="shared" si="727"/>
        <v>x</v>
      </c>
      <c r="BS153" s="112"/>
      <c r="BT153" s="111"/>
      <c r="BU153" s="112" t="str">
        <f t="shared" si="728"/>
        <v>x</v>
      </c>
      <c r="BV153" s="112"/>
      <c r="BW153" s="112"/>
      <c r="BX153" s="112"/>
      <c r="BY153" s="112"/>
      <c r="BZ153" s="112" t="str">
        <f t="shared" si="729"/>
        <v>x</v>
      </c>
      <c r="CA153" s="112" t="str">
        <f t="shared" si="730"/>
        <v>x</v>
      </c>
      <c r="CB153" s="112" t="str">
        <f t="shared" si="731"/>
        <v>x</v>
      </c>
      <c r="CC153" s="112"/>
      <c r="CD153" s="112"/>
      <c r="CE153" s="111"/>
      <c r="CF153" s="111"/>
      <c r="CG153" s="111"/>
      <c r="CH153" s="111"/>
      <c r="CI153" s="111"/>
      <c r="CJ153" s="112" t="str">
        <f t="shared" si="732"/>
        <v>x</v>
      </c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 t="str">
        <f t="shared" ref="CT153:CT155" si="746">HYPERLINK("http://www.profamilia.de/fileadmin/publikationen/Erwachsene/mehrsprachig/verhuetung_kroatisch.pdf","x")</f>
        <v>x</v>
      </c>
      <c r="CU153" s="112"/>
      <c r="CV153" s="112"/>
      <c r="CW153" s="112" t="str">
        <f t="shared" ref="CW153:CW155" si="747">HYPERLINK("http://www.profamilia.de/fileadmin/publikationen/Reihe_Koerper_und_Sexualtitaet/Bro_Schwangerschaftsabbruch_HR_ANSICHT.pdf","x")</f>
        <v>x</v>
      </c>
      <c r="CX153" s="111"/>
      <c r="CY153" s="112"/>
      <c r="CZ153" s="112"/>
      <c r="DA153" s="112"/>
      <c r="DB153" s="115"/>
      <c r="DC153" s="112"/>
      <c r="DD153" s="112"/>
      <c r="DE153" s="112" t="str">
        <f t="shared" si="733"/>
        <v>x</v>
      </c>
      <c r="DF153" s="115" t="str">
        <f t="shared" si="734"/>
        <v>x</v>
      </c>
      <c r="DG153" s="112" t="str">
        <f t="shared" si="735"/>
        <v>x</v>
      </c>
      <c r="DH153" s="112" t="str">
        <f t="shared" si="736"/>
        <v>x</v>
      </c>
      <c r="DI153" s="112" t="str">
        <f t="shared" ref="DI153:DI155" si="748">HYPERLINK("http://www.bibliomedia.ch/de/angebote/dokumente/Glossar_kroatisch.pdf","x")</f>
        <v>x</v>
      </c>
      <c r="DJ153" s="112"/>
      <c r="DK153" s="112"/>
      <c r="DL153" s="112"/>
      <c r="DM153" s="112"/>
      <c r="DN153" s="112"/>
      <c r="DO153" s="111"/>
      <c r="DP153" s="111"/>
      <c r="DQ153" s="111"/>
      <c r="DR153" s="112" t="str">
        <f t="shared" ref="DR153:DR155" si="749">HYPERLINK("http://bildung.koeln.de/materialbibliothek/download.php?idx=0fa72c9e161f25c40f1bb81295fb4f1f","x")</f>
        <v>x</v>
      </c>
      <c r="DS153" s="112" t="str">
        <f t="shared" ref="DS153:DS155" si="750">HYPERLINK("http://bildung.koeln.de/materialbibliothek/download.php?idx=3a958a19af2d93b8f387abceab9f62b3","x")</f>
        <v>x</v>
      </c>
      <c r="DT153" s="112"/>
      <c r="DU153" s="112" t="str">
        <f t="shared" si="737"/>
        <v>x</v>
      </c>
      <c r="DV153" s="111"/>
      <c r="DW153" s="111"/>
      <c r="DX153" s="111"/>
      <c r="DY153" s="112" t="str">
        <f t="shared" ref="DY153:DY155" si="751">HYPERLINK("http://www.bamf.de/SharedDocs/Anlagen/DE/Publikationen/Flyer/AnerkennungBerufsabschluss/anerkennung-berufsabschluss_hr.pdf?__blob=publicationFile","x")</f>
        <v>x</v>
      </c>
      <c r="DZ153" s="112" t="str">
        <f t="shared" ref="DZ153:DZ155" si="752">HYPERLINK("http://www.bamf.de/SharedDocs/Anlagen/DE/Publikationen/Flyer/AnerkennungBerufsabschluss/anerkennung-berufsabschluss_ausland_hr.pdf?__blob=publicationFile","x")</f>
        <v>x</v>
      </c>
      <c r="EA153" s="112"/>
      <c r="EB153" s="112"/>
      <c r="EC153" s="111"/>
      <c r="ED153" s="111"/>
      <c r="EE153" s="111"/>
      <c r="EF153" s="111"/>
      <c r="EG153" s="111"/>
      <c r="EH153" s="111"/>
      <c r="EI153" s="112"/>
      <c r="EJ153" s="112"/>
      <c r="EK153" s="111"/>
      <c r="EL153" s="112" t="str">
        <f t="shared" ref="EL153:EL155" si="753">HYPERLINK("http://www.kvs-sachsen.de/fileadmin/img/Mitglieder/Asylbewerber/Allg-Informationen/Anlage_1_Kroatisch_LEK.pdf","x")</f>
        <v>x</v>
      </c>
      <c r="EM153" s="111"/>
      <c r="EN153" s="111"/>
      <c r="EO153" s="117"/>
      <c r="EP153" s="117" t="str">
        <f>HYPERLINK("http://www.armut-gesundheit.de/fileadmin/redakteur/dokumente/Anamnesebogen%20-%20kroatischnew.pdf","x")</f>
        <v>x</v>
      </c>
      <c r="EQ153" s="112" t="str">
        <f t="shared" ref="EQ153:EQ155" si="754">HYPERLINK("http://www.kvs-sachsen.de/fileadmin/img/Mitglieder/Asylbewerber/Allg-Informationen/Anlagen_2-1_2-2_Kroatisch_LEK.pdf","x")</f>
        <v>x</v>
      </c>
      <c r="ER153" s="111"/>
      <c r="ES153" s="111"/>
      <c r="ET153" s="111"/>
      <c r="EU153" s="111"/>
      <c r="EV153" s="112" t="str">
        <f t="shared" si="739"/>
        <v>x</v>
      </c>
      <c r="EW153" s="111"/>
      <c r="EX153" s="111"/>
      <c r="EY153" s="111"/>
      <c r="EZ153" s="111"/>
      <c r="FA153" s="111"/>
      <c r="FB153" s="111"/>
      <c r="FC153" s="112" t="str">
        <f t="shared" si="740"/>
        <v>x</v>
      </c>
      <c r="FD153" s="112" t="str">
        <f t="shared" si="741"/>
        <v>x</v>
      </c>
      <c r="FE153" s="111"/>
      <c r="FF153" s="111"/>
      <c r="FG153" s="111"/>
      <c r="FH153" s="111"/>
      <c r="FI153" s="112"/>
      <c r="FJ153" s="112" t="str">
        <f t="shared" ref="FJ153:FJ155" si="755">HYPERLINK("http://www.rki.de/DE/Content/Infekt/Impfen/Materialien/Downloads-Impfkalender/Impfkalender_Kroatisch.pdf;jsessionid=B56E144E4E5DED843A215A7A8F137849.2_cid290?__blob=publicationFile","x")</f>
        <v>x</v>
      </c>
      <c r="FK153" s="111"/>
      <c r="FL153" s="111"/>
      <c r="FM153" s="112" t="str">
        <f t="shared" ref="FM153:FM155" si="756">HYPERLINK("http://www.rki.de/DE/Content/Infekt/Impfen/Materialien/Glossar-Downloads/glossar-de-kroatisch.pdf?__blob=publicationFile","x")</f>
        <v>x</v>
      </c>
      <c r="FN153" s="112"/>
      <c r="FO153" s="112" t="str">
        <f t="shared" ref="FO153:FO155" si="757">HYPERLINK("http://www.rki.de/DE/Content/Infekt/Impfen/Materialien/Downloads-MMR/MMR-Impfinfo-kroatisch.pdf?__blob=publicationFile","x")</f>
        <v>x</v>
      </c>
      <c r="FP153" s="111"/>
      <c r="FQ153" s="112" t="str">
        <f t="shared" ref="FQ153:FQ155" si="758">HYPERLINK("http://www.rki.de/DE/Content/Infekt/Impfen/Materialien/Downloads_HepA/Aufklaerung_HAV-Impfung_Kroatisch.pdf?__blob=publicationFile","x")</f>
        <v>x</v>
      </c>
      <c r="FR153" s="112" t="str">
        <f t="shared" ref="FR153:FR155" si="759">HYPERLINK("http://www.rki.de/DE/Content/Infekt/Impfen/Materialien/Downloads_Pneumokokken/Aufklaerung_Pneumo-Impfung_Kroatisch.pdf?__blob=publicationFile","x")</f>
        <v>x</v>
      </c>
      <c r="FS153" s="112" t="str">
        <f t="shared" ref="FS153:FS155" si="760">HYPERLINK("http://www.rki.de/DE/Content/Infekt/Impfen/Materialien/Downloads-DTaPIPVHibHepB/DTaPIPVHibHepB-kroatisch.pdf?__blob=publicationFile","x")</f>
        <v>x</v>
      </c>
      <c r="FT153" s="112" t="str">
        <f t="shared" ref="FT153:FT155" si="761">HYPERLINK("http://www.rki.de/DE/Content/Infekt/Impfen/Materialien/Downloads-Varizellen/Varizellen-Impfinfo-kroatisch.pdf;jsessionid=65B697F4EE7EDA8A1ED9E2C4CD6C74EC.2_cid363?__blob=publicationFile","x")</f>
        <v>x</v>
      </c>
      <c r="FU153" s="112" t="str">
        <f t="shared" ref="FU153:FU155" si="762">HYPERLINK("http://www.rki.de/DE/Content/Infekt/Impfen/Materialien/Downloads-Tdap-IPV/Tdap-IPV-kroatisch.pdf?__blob=publicationFile","x")</f>
        <v>x</v>
      </c>
      <c r="FV153" s="112" t="str">
        <f t="shared" ref="FV153:FV155" si="763">HYPERLINK("http://www.rki.de/DE/Content/Infekt/Impfen/Materialien/Downloads-Influenza_nasal/Influenza_nasal-kroatisch.pdf?__blob=publicationFile","x")</f>
        <v>x</v>
      </c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2" t="str">
        <f t="shared" ref="GL153:GL155" si="764">HYPERLINK("http://www.rki.de/DE/Content/Infekt/Impfen/Materialien/Downloads-Influenza/Influenza-kroatisch.pdf?__blob=publicationFile","x")</f>
        <v>x</v>
      </c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2" t="str">
        <f t="shared" si="628"/>
        <v>x</v>
      </c>
      <c r="HC153" s="112" t="str">
        <f t="shared" ref="HC153:HC155" si="765">HYPERLINK("https://www.zahnaerzte-wl.de/images/_PDF-suche/KZV_ZÄK/ENDSTAND_Ankreuzbogen_Ich_verstehe.pdf","x")</f>
        <v>x</v>
      </c>
      <c r="HD153" s="112" t="str">
        <f t="shared" ref="HD153:HD155" si="766">HYPERLINK("https://www.zahnaerzte-wl.de/images/_PDF-suche/KZV_ZÄK/Anschreiben_Patienten_kroatisch.pdf","x")</f>
        <v>x</v>
      </c>
      <c r="HE153" s="112" t="str">
        <f t="shared" ref="HE153:HE155" si="767">HYPERLINK("https://www.zahnaerzte-wl.de/images/_PDF-suche/KZV_ZÄK/Fragebogen_kroatisch.pdf","x")</f>
        <v>x</v>
      </c>
      <c r="HF153" s="112" t="str">
        <f t="shared" ref="HF153:HF155" si="768">HYPERLINK("https://www.zahnaerzte-wl.de/images/_PDF-suche/KZV_ZÄK/Patientenerhebungsbogen_kroatisch.pdf","x")</f>
        <v>x</v>
      </c>
      <c r="HG153" s="112"/>
      <c r="HH153" s="112"/>
      <c r="HI153" s="112"/>
      <c r="HJ153" s="112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2" t="str">
        <f t="shared" si="742"/>
        <v>x</v>
      </c>
      <c r="HY153" s="112" t="str">
        <f t="shared" si="743"/>
        <v>x</v>
      </c>
      <c r="HZ153" s="111"/>
      <c r="IA153" s="111"/>
      <c r="IB153" s="111"/>
      <c r="IC153" s="111"/>
      <c r="ID153" s="111"/>
      <c r="IE153" s="111"/>
      <c r="IF153" s="111"/>
      <c r="IG153" s="111"/>
      <c r="IH153" s="112" t="str">
        <f t="shared" ref="IH153:IH155" si="769">HYPERLINK("http://www.caritas.de/hilfeundberatung/onlineberatung/suchtberatung/haeufiggestelltefragensucht/haeufiggestelltefragen-sucht","x")</f>
        <v>x</v>
      </c>
      <c r="II153" s="111"/>
      <c r="IJ153" s="112"/>
      <c r="IK153" s="111"/>
      <c r="IL153" s="111"/>
      <c r="IM153" s="111"/>
      <c r="IN153" s="111"/>
      <c r="IO153" s="111"/>
      <c r="IP153" s="112"/>
      <c r="IQ153" s="112"/>
      <c r="IR153" s="111"/>
      <c r="IS153" s="111"/>
      <c r="IT153" s="111"/>
      <c r="IU153" s="112"/>
      <c r="IV153" s="112"/>
      <c r="IW153" s="112"/>
      <c r="IX153" s="112"/>
      <c r="IY153" s="111"/>
      <c r="IZ153" s="111"/>
      <c r="JA153" s="111"/>
      <c r="JB153" s="112"/>
      <c r="JC153" s="111"/>
      <c r="JD153" s="112"/>
      <c r="JE153" s="112"/>
      <c r="JF153" s="112"/>
      <c r="JG153" s="112"/>
      <c r="JH153" s="111"/>
      <c r="JI153" s="112"/>
      <c r="JJ153" s="112"/>
      <c r="JK153" s="112"/>
      <c r="JL153" s="112" t="str">
        <f t="shared" si="744"/>
        <v>x</v>
      </c>
      <c r="JM153" s="112"/>
      <c r="JN153" s="112"/>
      <c r="JO153" s="112"/>
      <c r="JP153" s="112"/>
      <c r="JQ153" s="112" t="str">
        <f t="shared" si="745"/>
        <v>x</v>
      </c>
      <c r="JR153" s="112"/>
      <c r="JS153" s="111"/>
      <c r="JT153" s="111"/>
      <c r="JU153" s="111"/>
      <c r="JV153" s="112"/>
      <c r="JW153" s="112"/>
      <c r="JX153" s="111"/>
      <c r="JY153" s="111"/>
      <c r="JZ153" s="111"/>
      <c r="KA153" s="111"/>
      <c r="KB153" s="111"/>
      <c r="KC153" s="111"/>
      <c r="KD153" s="111"/>
      <c r="KE153" s="111"/>
      <c r="KF153" s="111"/>
      <c r="KG153" s="111"/>
      <c r="KH153" s="111"/>
      <c r="KI153" s="111"/>
      <c r="KJ153" s="111"/>
      <c r="KK153" s="111"/>
      <c r="KL153" s="111"/>
      <c r="KM153" s="111"/>
      <c r="KN153" s="111"/>
      <c r="KO153" s="111"/>
      <c r="KP153" s="111"/>
      <c r="KQ153" s="111"/>
      <c r="KR153" s="111"/>
      <c r="KS153" s="111"/>
      <c r="KT153" s="111"/>
      <c r="KU153" s="111"/>
      <c r="KV153" s="111"/>
      <c r="KW153" s="111"/>
      <c r="KX153" s="111"/>
      <c r="KY153" s="111"/>
      <c r="KZ153" s="111"/>
      <c r="LA153" s="111"/>
      <c r="LB153" s="111"/>
      <c r="LC153" s="111"/>
      <c r="LD153" s="111"/>
      <c r="LE153" s="111"/>
      <c r="LF153" s="111"/>
      <c r="LG153" s="111"/>
      <c r="LH153" s="111"/>
      <c r="LI153" s="111"/>
      <c r="LJ153" s="111"/>
      <c r="LK153" s="111"/>
      <c r="LL153" s="111"/>
      <c r="LM153" s="111"/>
      <c r="LN153" s="111"/>
      <c r="LO153" s="111"/>
      <c r="LP153" s="111"/>
      <c r="LQ153" s="111"/>
      <c r="LR153" s="111"/>
      <c r="LS153" s="111"/>
      <c r="LT153" s="111"/>
      <c r="LU153" s="111"/>
      <c r="LV153" s="111"/>
      <c r="LW153" s="111"/>
      <c r="LX153" s="111"/>
      <c r="LY153" s="111"/>
      <c r="LZ153" s="111"/>
      <c r="MA153" s="111"/>
      <c r="MB153" s="111"/>
      <c r="MC153" s="111"/>
      <c r="MD153" s="111"/>
      <c r="ME153" s="111"/>
      <c r="MF153" s="111"/>
      <c r="MG153" s="111"/>
      <c r="MH153" s="112" t="str">
        <f t="shared" ref="MH153:MH155" si="770">HYPERLINK("http://www.kindersicherheit.de/pdf/2012_poster_achtunggiftig_8sprachig.pdf","x")</f>
        <v>x</v>
      </c>
    </row>
    <row r="154" spans="1:346" x14ac:dyDescent="0.25">
      <c r="A154" s="110" t="s">
        <v>32</v>
      </c>
      <c r="B154" s="101" t="s">
        <v>75</v>
      </c>
      <c r="C154" s="102"/>
      <c r="D154" s="102"/>
      <c r="E154" s="102"/>
      <c r="F154" s="102"/>
      <c r="G154" s="102"/>
      <c r="H154" s="102"/>
      <c r="I154" s="102"/>
      <c r="J154" s="103"/>
      <c r="K154" s="111"/>
      <c r="L154" s="111"/>
      <c r="M154" s="112" t="str">
        <f t="shared" si="720"/>
        <v>x</v>
      </c>
      <c r="N154" s="112"/>
      <c r="O154" s="112"/>
      <c r="P154" s="112"/>
      <c r="Q154" s="112"/>
      <c r="R154" s="112"/>
      <c r="S154" s="112"/>
      <c r="T154" s="112"/>
      <c r="U154" s="112"/>
      <c r="V154" s="111"/>
      <c r="W154" s="112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2"/>
      <c r="AO154" s="112"/>
      <c r="AP154" s="112"/>
      <c r="AQ154" s="112"/>
      <c r="AR154" s="112"/>
      <c r="AS154" s="112"/>
      <c r="AT154" s="112"/>
      <c r="AU154" s="113"/>
      <c r="AV154" s="114" t="str">
        <f t="shared" si="721"/>
        <v>x</v>
      </c>
      <c r="AW154" s="114" t="str">
        <f t="shared" si="722"/>
        <v>x</v>
      </c>
      <c r="AX154" s="111"/>
      <c r="AY154" s="111"/>
      <c r="AZ154" s="112" t="str">
        <f t="shared" si="723"/>
        <v>x</v>
      </c>
      <c r="BA154" s="112" t="str">
        <f t="shared" si="724"/>
        <v>x</v>
      </c>
      <c r="BB154" s="111"/>
      <c r="BC154" s="111"/>
      <c r="BD154" s="111"/>
      <c r="BE154" s="111"/>
      <c r="BF154" s="111"/>
      <c r="BG154" s="112" t="str">
        <f t="shared" si="725"/>
        <v>x</v>
      </c>
      <c r="BH154" s="112" t="str">
        <f t="shared" si="726"/>
        <v>x</v>
      </c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2" t="str">
        <f t="shared" si="727"/>
        <v>x</v>
      </c>
      <c r="BS154" s="112"/>
      <c r="BT154" s="111"/>
      <c r="BU154" s="112" t="str">
        <f t="shared" si="728"/>
        <v>x</v>
      </c>
      <c r="BV154" s="112"/>
      <c r="BW154" s="112"/>
      <c r="BX154" s="112"/>
      <c r="BY154" s="112"/>
      <c r="BZ154" s="112" t="str">
        <f t="shared" si="729"/>
        <v>x</v>
      </c>
      <c r="CA154" s="112" t="str">
        <f t="shared" si="730"/>
        <v>x</v>
      </c>
      <c r="CB154" s="112" t="str">
        <f t="shared" si="731"/>
        <v>x</v>
      </c>
      <c r="CC154" s="112"/>
      <c r="CD154" s="112"/>
      <c r="CE154" s="111"/>
      <c r="CF154" s="111"/>
      <c r="CG154" s="111"/>
      <c r="CH154" s="111"/>
      <c r="CI154" s="111"/>
      <c r="CJ154" s="112" t="str">
        <f t="shared" si="732"/>
        <v>x</v>
      </c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 t="str">
        <f t="shared" si="746"/>
        <v>x</v>
      </c>
      <c r="CU154" s="112"/>
      <c r="CV154" s="112"/>
      <c r="CW154" s="112" t="str">
        <f t="shared" si="747"/>
        <v>x</v>
      </c>
      <c r="CX154" s="111"/>
      <c r="CY154" s="112"/>
      <c r="CZ154" s="112"/>
      <c r="DA154" s="112"/>
      <c r="DB154" s="115"/>
      <c r="DC154" s="112"/>
      <c r="DD154" s="112"/>
      <c r="DE154" s="112" t="str">
        <f t="shared" si="733"/>
        <v>x</v>
      </c>
      <c r="DF154" s="115" t="str">
        <f t="shared" si="734"/>
        <v>x</v>
      </c>
      <c r="DG154" s="112" t="str">
        <f t="shared" si="735"/>
        <v>x</v>
      </c>
      <c r="DH154" s="112" t="str">
        <f t="shared" si="736"/>
        <v>x</v>
      </c>
      <c r="DI154" s="112" t="str">
        <f t="shared" si="748"/>
        <v>x</v>
      </c>
      <c r="DJ154" s="112"/>
      <c r="DK154" s="112"/>
      <c r="DL154" s="112"/>
      <c r="DM154" s="112"/>
      <c r="DN154" s="112"/>
      <c r="DO154" s="111"/>
      <c r="DP154" s="111"/>
      <c r="DQ154" s="111"/>
      <c r="DR154" s="112" t="str">
        <f t="shared" si="749"/>
        <v>x</v>
      </c>
      <c r="DS154" s="112" t="str">
        <f t="shared" si="750"/>
        <v>x</v>
      </c>
      <c r="DT154" s="112"/>
      <c r="DU154" s="112" t="str">
        <f t="shared" si="737"/>
        <v>x</v>
      </c>
      <c r="DV154" s="111"/>
      <c r="DW154" s="111"/>
      <c r="DX154" s="111"/>
      <c r="DY154" s="112" t="str">
        <f t="shared" si="751"/>
        <v>x</v>
      </c>
      <c r="DZ154" s="112" t="str">
        <f t="shared" si="752"/>
        <v>x</v>
      </c>
      <c r="EA154" s="112"/>
      <c r="EB154" s="112"/>
      <c r="EC154" s="111"/>
      <c r="ED154" s="111"/>
      <c r="EE154" s="111"/>
      <c r="EF154" s="111"/>
      <c r="EG154" s="111"/>
      <c r="EH154" s="111"/>
      <c r="EI154" s="112"/>
      <c r="EJ154" s="112"/>
      <c r="EK154" s="111"/>
      <c r="EL154" s="112" t="str">
        <f t="shared" si="753"/>
        <v>x</v>
      </c>
      <c r="EM154" s="111"/>
      <c r="EN154" s="111"/>
      <c r="EO154" s="117"/>
      <c r="EP154" s="117" t="str">
        <f t="shared" si="738"/>
        <v>x</v>
      </c>
      <c r="EQ154" s="112" t="str">
        <f t="shared" si="754"/>
        <v>x</v>
      </c>
      <c r="ER154" s="111"/>
      <c r="ES154" s="111"/>
      <c r="ET154" s="111"/>
      <c r="EU154" s="111"/>
      <c r="EV154" s="112" t="str">
        <f t="shared" si="739"/>
        <v>x</v>
      </c>
      <c r="EW154" s="111"/>
      <c r="EX154" s="111"/>
      <c r="EY154" s="111"/>
      <c r="EZ154" s="111"/>
      <c r="FA154" s="111"/>
      <c r="FB154" s="111"/>
      <c r="FC154" s="112" t="str">
        <f t="shared" si="740"/>
        <v>x</v>
      </c>
      <c r="FD154" s="112" t="str">
        <f t="shared" si="741"/>
        <v>x</v>
      </c>
      <c r="FE154" s="111"/>
      <c r="FF154" s="111"/>
      <c r="FG154" s="111"/>
      <c r="FH154" s="111"/>
      <c r="FI154" s="112"/>
      <c r="FJ154" s="112" t="str">
        <f t="shared" si="755"/>
        <v>x</v>
      </c>
      <c r="FK154" s="111"/>
      <c r="FL154" s="111"/>
      <c r="FM154" s="112" t="str">
        <f t="shared" si="756"/>
        <v>x</v>
      </c>
      <c r="FN154" s="112"/>
      <c r="FO154" s="112" t="str">
        <f t="shared" si="757"/>
        <v>x</v>
      </c>
      <c r="FP154" s="111"/>
      <c r="FQ154" s="112" t="str">
        <f t="shared" si="758"/>
        <v>x</v>
      </c>
      <c r="FR154" s="112" t="str">
        <f t="shared" si="759"/>
        <v>x</v>
      </c>
      <c r="FS154" s="112" t="str">
        <f t="shared" si="760"/>
        <v>x</v>
      </c>
      <c r="FT154" s="112" t="str">
        <f t="shared" si="761"/>
        <v>x</v>
      </c>
      <c r="FU154" s="112" t="str">
        <f t="shared" si="762"/>
        <v>x</v>
      </c>
      <c r="FV154" s="112" t="str">
        <f t="shared" si="763"/>
        <v>x</v>
      </c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2" t="str">
        <f t="shared" si="764"/>
        <v>x</v>
      </c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2" t="str">
        <f t="shared" si="628"/>
        <v>x</v>
      </c>
      <c r="HC154" s="112" t="str">
        <f t="shared" si="765"/>
        <v>x</v>
      </c>
      <c r="HD154" s="112" t="str">
        <f t="shared" si="766"/>
        <v>x</v>
      </c>
      <c r="HE154" s="112" t="str">
        <f t="shared" si="767"/>
        <v>x</v>
      </c>
      <c r="HF154" s="112" t="str">
        <f t="shared" si="768"/>
        <v>x</v>
      </c>
      <c r="HG154" s="112"/>
      <c r="HH154" s="112"/>
      <c r="HI154" s="112"/>
      <c r="HJ154" s="112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2" t="str">
        <f t="shared" si="742"/>
        <v>x</v>
      </c>
      <c r="HY154" s="112" t="str">
        <f t="shared" si="743"/>
        <v>x</v>
      </c>
      <c r="HZ154" s="111"/>
      <c r="IA154" s="111"/>
      <c r="IB154" s="111"/>
      <c r="IC154" s="111"/>
      <c r="ID154" s="111"/>
      <c r="IE154" s="111"/>
      <c r="IF154" s="111"/>
      <c r="IG154" s="111"/>
      <c r="IH154" s="112" t="str">
        <f t="shared" si="769"/>
        <v>x</v>
      </c>
      <c r="II154" s="111"/>
      <c r="IJ154" s="112"/>
      <c r="IK154" s="111"/>
      <c r="IL154" s="111"/>
      <c r="IM154" s="111"/>
      <c r="IN154" s="111"/>
      <c r="IO154" s="111"/>
      <c r="IP154" s="112"/>
      <c r="IQ154" s="112"/>
      <c r="IR154" s="111"/>
      <c r="IS154" s="111"/>
      <c r="IT154" s="111"/>
      <c r="IU154" s="112"/>
      <c r="IV154" s="112"/>
      <c r="IW154" s="112"/>
      <c r="IX154" s="112"/>
      <c r="IY154" s="111"/>
      <c r="IZ154" s="111"/>
      <c r="JA154" s="111"/>
      <c r="JB154" s="112"/>
      <c r="JC154" s="111"/>
      <c r="JD154" s="112"/>
      <c r="JE154" s="112"/>
      <c r="JF154" s="112"/>
      <c r="JG154" s="112"/>
      <c r="JH154" s="111"/>
      <c r="JI154" s="112"/>
      <c r="JJ154" s="112"/>
      <c r="JK154" s="112"/>
      <c r="JL154" s="112" t="str">
        <f t="shared" si="744"/>
        <v>x</v>
      </c>
      <c r="JM154" s="112"/>
      <c r="JN154" s="112"/>
      <c r="JO154" s="112"/>
      <c r="JP154" s="112"/>
      <c r="JQ154" s="112" t="str">
        <f t="shared" si="745"/>
        <v>x</v>
      </c>
      <c r="JR154" s="112"/>
      <c r="JS154" s="111"/>
      <c r="JT154" s="111"/>
      <c r="JU154" s="111"/>
      <c r="JV154" s="112"/>
      <c r="JW154" s="112"/>
      <c r="JX154" s="111"/>
      <c r="JY154" s="111"/>
      <c r="JZ154" s="111"/>
      <c r="KA154" s="111"/>
      <c r="KB154" s="111"/>
      <c r="KC154" s="111"/>
      <c r="KD154" s="111"/>
      <c r="KE154" s="111"/>
      <c r="KF154" s="111"/>
      <c r="KG154" s="111"/>
      <c r="KH154" s="111"/>
      <c r="KI154" s="111"/>
      <c r="KJ154" s="111"/>
      <c r="KK154" s="111"/>
      <c r="KL154" s="111"/>
      <c r="KM154" s="111"/>
      <c r="KN154" s="111"/>
      <c r="KO154" s="111"/>
      <c r="KP154" s="111"/>
      <c r="KQ154" s="111"/>
      <c r="KR154" s="111"/>
      <c r="KS154" s="111"/>
      <c r="KT154" s="111"/>
      <c r="KU154" s="111"/>
      <c r="KV154" s="111"/>
      <c r="KW154" s="111"/>
      <c r="KX154" s="111"/>
      <c r="KY154" s="111"/>
      <c r="KZ154" s="111"/>
      <c r="LA154" s="111"/>
      <c r="LB154" s="111"/>
      <c r="LC154" s="111"/>
      <c r="LD154" s="111"/>
      <c r="LE154" s="111"/>
      <c r="LF154" s="111"/>
      <c r="LG154" s="111"/>
      <c r="LH154" s="111"/>
      <c r="LI154" s="111"/>
      <c r="LJ154" s="111"/>
      <c r="LK154" s="111"/>
      <c r="LL154" s="111"/>
      <c r="LM154" s="111"/>
      <c r="LN154" s="111"/>
      <c r="LO154" s="111"/>
      <c r="LP154" s="111"/>
      <c r="LQ154" s="111"/>
      <c r="LR154" s="111"/>
      <c r="LS154" s="111"/>
      <c r="LT154" s="111"/>
      <c r="LU154" s="111"/>
      <c r="LV154" s="111"/>
      <c r="LW154" s="111"/>
      <c r="LX154" s="111"/>
      <c r="LY154" s="111"/>
      <c r="LZ154" s="111"/>
      <c r="MA154" s="111"/>
      <c r="MB154" s="111"/>
      <c r="MC154" s="111"/>
      <c r="MD154" s="111"/>
      <c r="ME154" s="111"/>
      <c r="MF154" s="111"/>
      <c r="MG154" s="111"/>
      <c r="MH154" s="112" t="str">
        <f t="shared" si="770"/>
        <v>x</v>
      </c>
    </row>
    <row r="155" spans="1:346" x14ac:dyDescent="0.25">
      <c r="A155" s="110" t="s">
        <v>32</v>
      </c>
      <c r="B155" s="101" t="s">
        <v>76</v>
      </c>
      <c r="C155" s="102"/>
      <c r="D155" s="102"/>
      <c r="E155" s="102"/>
      <c r="F155" s="102"/>
      <c r="G155" s="102"/>
      <c r="H155" s="102"/>
      <c r="I155" s="102"/>
      <c r="J155" s="103"/>
      <c r="K155" s="111"/>
      <c r="L155" s="111"/>
      <c r="M155" s="112" t="str">
        <f t="shared" si="720"/>
        <v>x</v>
      </c>
      <c r="N155" s="112"/>
      <c r="O155" s="112"/>
      <c r="P155" s="112"/>
      <c r="Q155" s="112"/>
      <c r="R155" s="112"/>
      <c r="S155" s="112"/>
      <c r="T155" s="112"/>
      <c r="U155" s="112"/>
      <c r="V155" s="111"/>
      <c r="W155" s="112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2"/>
      <c r="AO155" s="112"/>
      <c r="AP155" s="112"/>
      <c r="AQ155" s="112"/>
      <c r="AR155" s="112"/>
      <c r="AS155" s="112"/>
      <c r="AT155" s="112"/>
      <c r="AU155" s="113"/>
      <c r="AV155" s="114" t="str">
        <f t="shared" si="721"/>
        <v>x</v>
      </c>
      <c r="AW155" s="114" t="str">
        <f t="shared" si="722"/>
        <v>x</v>
      </c>
      <c r="AX155" s="111"/>
      <c r="AY155" s="111"/>
      <c r="AZ155" s="112" t="str">
        <f t="shared" si="723"/>
        <v>x</v>
      </c>
      <c r="BA155" s="112" t="str">
        <f t="shared" si="724"/>
        <v>x</v>
      </c>
      <c r="BB155" s="111"/>
      <c r="BC155" s="111"/>
      <c r="BD155" s="111"/>
      <c r="BE155" s="111"/>
      <c r="BF155" s="111"/>
      <c r="BG155" s="112" t="str">
        <f t="shared" si="725"/>
        <v>x</v>
      </c>
      <c r="BH155" s="112" t="str">
        <f t="shared" si="726"/>
        <v>x</v>
      </c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2" t="str">
        <f t="shared" si="727"/>
        <v>x</v>
      </c>
      <c r="BS155" s="112"/>
      <c r="BT155" s="111"/>
      <c r="BU155" s="112" t="str">
        <f t="shared" si="728"/>
        <v>x</v>
      </c>
      <c r="BV155" s="112"/>
      <c r="BW155" s="112"/>
      <c r="BX155" s="112"/>
      <c r="BY155" s="112"/>
      <c r="BZ155" s="112" t="str">
        <f t="shared" si="729"/>
        <v>x</v>
      </c>
      <c r="CA155" s="112" t="str">
        <f t="shared" si="730"/>
        <v>x</v>
      </c>
      <c r="CB155" s="112" t="str">
        <f t="shared" si="731"/>
        <v>x</v>
      </c>
      <c r="CC155" s="112"/>
      <c r="CD155" s="112"/>
      <c r="CE155" s="111"/>
      <c r="CF155" s="111"/>
      <c r="CG155" s="111"/>
      <c r="CH155" s="111"/>
      <c r="CI155" s="111"/>
      <c r="CJ155" s="112" t="str">
        <f t="shared" si="732"/>
        <v>x</v>
      </c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 t="str">
        <f t="shared" si="746"/>
        <v>x</v>
      </c>
      <c r="CU155" s="112"/>
      <c r="CV155" s="112"/>
      <c r="CW155" s="112" t="str">
        <f t="shared" si="747"/>
        <v>x</v>
      </c>
      <c r="CX155" s="111"/>
      <c r="CY155" s="112"/>
      <c r="CZ155" s="112"/>
      <c r="DA155" s="112"/>
      <c r="DB155" s="115"/>
      <c r="DC155" s="112"/>
      <c r="DD155" s="112"/>
      <c r="DE155" s="112" t="str">
        <f t="shared" si="733"/>
        <v>x</v>
      </c>
      <c r="DF155" s="115" t="str">
        <f t="shared" si="734"/>
        <v>x</v>
      </c>
      <c r="DG155" s="112" t="str">
        <f t="shared" si="735"/>
        <v>x</v>
      </c>
      <c r="DH155" s="112" t="str">
        <f t="shared" si="736"/>
        <v>x</v>
      </c>
      <c r="DI155" s="112" t="str">
        <f t="shared" si="748"/>
        <v>x</v>
      </c>
      <c r="DJ155" s="112"/>
      <c r="DK155" s="112"/>
      <c r="DL155" s="112"/>
      <c r="DM155" s="112"/>
      <c r="DN155" s="112"/>
      <c r="DO155" s="111"/>
      <c r="DP155" s="111"/>
      <c r="DQ155" s="111"/>
      <c r="DR155" s="112" t="str">
        <f t="shared" si="749"/>
        <v>x</v>
      </c>
      <c r="DS155" s="112" t="str">
        <f t="shared" si="750"/>
        <v>x</v>
      </c>
      <c r="DT155" s="112"/>
      <c r="DU155" s="112" t="str">
        <f t="shared" si="737"/>
        <v>x</v>
      </c>
      <c r="DV155" s="111"/>
      <c r="DW155" s="111"/>
      <c r="DX155" s="111"/>
      <c r="DY155" s="112" t="str">
        <f t="shared" si="751"/>
        <v>x</v>
      </c>
      <c r="DZ155" s="112" t="str">
        <f t="shared" si="752"/>
        <v>x</v>
      </c>
      <c r="EA155" s="112"/>
      <c r="EB155" s="112"/>
      <c r="EC155" s="111"/>
      <c r="ED155" s="111"/>
      <c r="EE155" s="111"/>
      <c r="EF155" s="111"/>
      <c r="EG155" s="111"/>
      <c r="EH155" s="111"/>
      <c r="EI155" s="112"/>
      <c r="EJ155" s="112"/>
      <c r="EK155" s="111"/>
      <c r="EL155" s="112" t="str">
        <f t="shared" si="753"/>
        <v>x</v>
      </c>
      <c r="EM155" s="111"/>
      <c r="EN155" s="111"/>
      <c r="EO155" s="117"/>
      <c r="EP155" s="117" t="str">
        <f t="shared" si="738"/>
        <v>x</v>
      </c>
      <c r="EQ155" s="112" t="str">
        <f t="shared" si="754"/>
        <v>x</v>
      </c>
      <c r="ER155" s="111"/>
      <c r="ES155" s="111"/>
      <c r="ET155" s="111"/>
      <c r="EU155" s="111"/>
      <c r="EV155" s="112" t="str">
        <f t="shared" si="739"/>
        <v>x</v>
      </c>
      <c r="EW155" s="111"/>
      <c r="EX155" s="111"/>
      <c r="EY155" s="111"/>
      <c r="EZ155" s="111"/>
      <c r="FA155" s="111"/>
      <c r="FB155" s="111"/>
      <c r="FC155" s="112" t="str">
        <f t="shared" si="740"/>
        <v>x</v>
      </c>
      <c r="FD155" s="112" t="str">
        <f t="shared" si="741"/>
        <v>x</v>
      </c>
      <c r="FE155" s="111"/>
      <c r="FF155" s="111"/>
      <c r="FG155" s="111"/>
      <c r="FH155" s="111"/>
      <c r="FI155" s="112"/>
      <c r="FJ155" s="112" t="str">
        <f t="shared" si="755"/>
        <v>x</v>
      </c>
      <c r="FK155" s="111"/>
      <c r="FL155" s="111"/>
      <c r="FM155" s="112" t="str">
        <f t="shared" si="756"/>
        <v>x</v>
      </c>
      <c r="FN155" s="112"/>
      <c r="FO155" s="112" t="str">
        <f t="shared" si="757"/>
        <v>x</v>
      </c>
      <c r="FP155" s="111"/>
      <c r="FQ155" s="112" t="str">
        <f t="shared" si="758"/>
        <v>x</v>
      </c>
      <c r="FR155" s="112" t="str">
        <f t="shared" si="759"/>
        <v>x</v>
      </c>
      <c r="FS155" s="112" t="str">
        <f t="shared" si="760"/>
        <v>x</v>
      </c>
      <c r="FT155" s="112" t="str">
        <f t="shared" si="761"/>
        <v>x</v>
      </c>
      <c r="FU155" s="112" t="str">
        <f t="shared" si="762"/>
        <v>x</v>
      </c>
      <c r="FV155" s="112" t="str">
        <f t="shared" si="763"/>
        <v>x</v>
      </c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2" t="str">
        <f t="shared" si="764"/>
        <v>x</v>
      </c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2" t="str">
        <f t="shared" si="628"/>
        <v>x</v>
      </c>
      <c r="HC155" s="112" t="str">
        <f t="shared" si="765"/>
        <v>x</v>
      </c>
      <c r="HD155" s="112" t="str">
        <f t="shared" si="766"/>
        <v>x</v>
      </c>
      <c r="HE155" s="112" t="str">
        <f t="shared" si="767"/>
        <v>x</v>
      </c>
      <c r="HF155" s="112" t="str">
        <f t="shared" si="768"/>
        <v>x</v>
      </c>
      <c r="HG155" s="112"/>
      <c r="HH155" s="112"/>
      <c r="HI155" s="112"/>
      <c r="HJ155" s="112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2" t="str">
        <f t="shared" si="742"/>
        <v>x</v>
      </c>
      <c r="HY155" s="112" t="str">
        <f t="shared" si="743"/>
        <v>x</v>
      </c>
      <c r="HZ155" s="111"/>
      <c r="IA155" s="111"/>
      <c r="IB155" s="111"/>
      <c r="IC155" s="111"/>
      <c r="ID155" s="111"/>
      <c r="IE155" s="111"/>
      <c r="IF155" s="111"/>
      <c r="IG155" s="111"/>
      <c r="IH155" s="112" t="str">
        <f t="shared" si="769"/>
        <v>x</v>
      </c>
      <c r="II155" s="111"/>
      <c r="IJ155" s="112"/>
      <c r="IK155" s="111"/>
      <c r="IL155" s="111"/>
      <c r="IM155" s="111"/>
      <c r="IN155" s="111"/>
      <c r="IO155" s="111"/>
      <c r="IP155" s="112"/>
      <c r="IQ155" s="112"/>
      <c r="IR155" s="111"/>
      <c r="IS155" s="111"/>
      <c r="IT155" s="111"/>
      <c r="IU155" s="112"/>
      <c r="IV155" s="112"/>
      <c r="IW155" s="112"/>
      <c r="IX155" s="112"/>
      <c r="IY155" s="111"/>
      <c r="IZ155" s="111"/>
      <c r="JA155" s="111"/>
      <c r="JB155" s="112"/>
      <c r="JC155" s="111"/>
      <c r="JD155" s="112"/>
      <c r="JE155" s="112"/>
      <c r="JF155" s="112"/>
      <c r="JG155" s="112"/>
      <c r="JH155" s="111"/>
      <c r="JI155" s="112"/>
      <c r="JJ155" s="112"/>
      <c r="JK155" s="112"/>
      <c r="JL155" s="112" t="str">
        <f t="shared" si="744"/>
        <v>x</v>
      </c>
      <c r="JM155" s="112"/>
      <c r="JN155" s="112"/>
      <c r="JO155" s="112"/>
      <c r="JP155" s="112"/>
      <c r="JQ155" s="112" t="str">
        <f t="shared" si="745"/>
        <v>x</v>
      </c>
      <c r="JR155" s="112"/>
      <c r="JS155" s="111"/>
      <c r="JT155" s="111"/>
      <c r="JU155" s="111"/>
      <c r="JV155" s="112"/>
      <c r="JW155" s="112"/>
      <c r="JX155" s="111"/>
      <c r="JY155" s="111"/>
      <c r="JZ155" s="111"/>
      <c r="KA155" s="111"/>
      <c r="KB155" s="111"/>
      <c r="KC155" s="111"/>
      <c r="KD155" s="111"/>
      <c r="KE155" s="111"/>
      <c r="KF155" s="111"/>
      <c r="KG155" s="111"/>
      <c r="KH155" s="111"/>
      <c r="KI155" s="111"/>
      <c r="KJ155" s="111"/>
      <c r="KK155" s="111"/>
      <c r="KL155" s="111"/>
      <c r="KM155" s="111"/>
      <c r="KN155" s="111"/>
      <c r="KO155" s="111"/>
      <c r="KP155" s="111"/>
      <c r="KQ155" s="111"/>
      <c r="KR155" s="111"/>
      <c r="KS155" s="111"/>
      <c r="KT155" s="111"/>
      <c r="KU155" s="111"/>
      <c r="KV155" s="111"/>
      <c r="KW155" s="111"/>
      <c r="KX155" s="111"/>
      <c r="KY155" s="111"/>
      <c r="KZ155" s="111"/>
      <c r="LA155" s="111"/>
      <c r="LB155" s="111"/>
      <c r="LC155" s="111"/>
      <c r="LD155" s="111"/>
      <c r="LE155" s="111"/>
      <c r="LF155" s="111"/>
      <c r="LG155" s="111"/>
      <c r="LH155" s="111"/>
      <c r="LI155" s="111"/>
      <c r="LJ155" s="111"/>
      <c r="LK155" s="111"/>
      <c r="LL155" s="111"/>
      <c r="LM155" s="111"/>
      <c r="LN155" s="111"/>
      <c r="LO155" s="111"/>
      <c r="LP155" s="111"/>
      <c r="LQ155" s="111"/>
      <c r="LR155" s="111"/>
      <c r="LS155" s="111"/>
      <c r="LT155" s="111"/>
      <c r="LU155" s="111"/>
      <c r="LV155" s="111"/>
      <c r="LW155" s="111"/>
      <c r="LX155" s="111"/>
      <c r="LY155" s="111"/>
      <c r="LZ155" s="111"/>
      <c r="MA155" s="111"/>
      <c r="MB155" s="111"/>
      <c r="MC155" s="111"/>
      <c r="MD155" s="111"/>
      <c r="ME155" s="111"/>
      <c r="MF155" s="111"/>
      <c r="MG155" s="111"/>
      <c r="MH155" s="112" t="str">
        <f t="shared" si="770"/>
        <v>x</v>
      </c>
    </row>
    <row r="156" spans="1:346" x14ac:dyDescent="0.25">
      <c r="A156" s="101" t="s">
        <v>480</v>
      </c>
      <c r="B156" s="102"/>
      <c r="C156" s="102"/>
      <c r="D156" s="102"/>
      <c r="E156" s="102"/>
      <c r="F156" s="102"/>
      <c r="G156" s="102"/>
      <c r="H156" s="102"/>
      <c r="I156" s="102"/>
      <c r="J156" s="103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6"/>
      <c r="AV156" s="106"/>
      <c r="AW156" s="106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9"/>
      <c r="EP156" s="109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5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4"/>
      <c r="JN156" s="104"/>
      <c r="JO156" s="104"/>
      <c r="JP156" s="104"/>
      <c r="JQ156" s="104"/>
      <c r="JR156" s="104"/>
      <c r="JS156" s="104"/>
      <c r="JT156" s="104"/>
      <c r="JU156" s="104"/>
      <c r="JV156" s="104"/>
      <c r="JW156" s="104"/>
      <c r="JX156" s="104"/>
      <c r="JY156" s="104"/>
      <c r="JZ156" s="104"/>
      <c r="KA156" s="104"/>
      <c r="KB156" s="104"/>
      <c r="KC156" s="104"/>
      <c r="KD156" s="104"/>
      <c r="KE156" s="104"/>
      <c r="KF156" s="104"/>
      <c r="KG156" s="104"/>
      <c r="KH156" s="104"/>
      <c r="KI156" s="104"/>
      <c r="KJ156" s="104"/>
      <c r="KK156" s="104"/>
      <c r="KL156" s="104"/>
      <c r="KM156" s="104"/>
      <c r="KN156" s="104"/>
      <c r="KO156" s="104"/>
      <c r="KP156" s="104"/>
      <c r="KQ156" s="104"/>
      <c r="KR156" s="104"/>
      <c r="KS156" s="104"/>
      <c r="KT156" s="104"/>
      <c r="KU156" s="104"/>
      <c r="KV156" s="104"/>
      <c r="KW156" s="104"/>
      <c r="KX156" s="104"/>
      <c r="KY156" s="104"/>
      <c r="KZ156" s="104"/>
      <c r="LA156" s="104"/>
      <c r="LB156" s="104"/>
      <c r="LC156" s="104"/>
      <c r="LD156" s="104"/>
      <c r="LE156" s="104"/>
      <c r="LF156" s="104"/>
      <c r="LG156" s="104"/>
      <c r="LH156" s="104"/>
      <c r="LI156" s="104"/>
      <c r="LJ156" s="104"/>
      <c r="LK156" s="104"/>
      <c r="LL156" s="104"/>
      <c r="LM156" s="104"/>
      <c r="LN156" s="104"/>
      <c r="LO156" s="104"/>
      <c r="LP156" s="104"/>
      <c r="LQ156" s="104"/>
      <c r="LR156" s="104"/>
      <c r="LS156" s="104"/>
      <c r="LT156" s="104"/>
      <c r="LU156" s="104"/>
      <c r="LV156" s="104"/>
      <c r="LW156" s="104"/>
      <c r="LX156" s="104"/>
      <c r="LY156" s="104"/>
      <c r="LZ156" s="104"/>
      <c r="MA156" s="104"/>
      <c r="MB156" s="104"/>
      <c r="MC156" s="104"/>
      <c r="MD156" s="104"/>
      <c r="ME156" s="104"/>
      <c r="MF156" s="104"/>
      <c r="MG156" s="104"/>
      <c r="MH156" s="104"/>
    </row>
    <row r="157" spans="1:346" x14ac:dyDescent="0.25">
      <c r="A157" s="110" t="s">
        <v>480</v>
      </c>
      <c r="B157" s="101" t="s">
        <v>53</v>
      </c>
      <c r="C157" s="102"/>
      <c r="D157" s="102"/>
      <c r="E157" s="102"/>
      <c r="F157" s="102"/>
      <c r="G157" s="102"/>
      <c r="H157" s="102"/>
      <c r="I157" s="102"/>
      <c r="J157" s="103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2" t="str">
        <f t="shared" ref="AJ157:AJ162" si="771">HYPERLINK("https://www.vrsinfo.de/fileadmin/Dateien/downloadcenter/Folder_MobilPassTicket_Refugees01012016.pdf","x")</f>
        <v>x</v>
      </c>
      <c r="AK157" s="112" t="str">
        <f>HYPERLINK("https://www.vrsinfo.de/fileadmin/Dateien/downloadcenter/Willkommen_im_VRS2016_Druck.pdf","x")</f>
        <v>x</v>
      </c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3"/>
      <c r="AV157" s="114" t="str">
        <f t="shared" ref="AV157:AV162" si="772">HYPERLINK("http://sab.landtag.sachsen.de/dokumente/landtagskurier/SAB_DeutschLernen_DinA5_WEB141115.pdf","x")</f>
        <v>x</v>
      </c>
      <c r="AW157" s="114" t="str">
        <f t="shared" ref="AW157:AW162" si="773">HYPERLINK("http://sab.landtag.sachsen.de/dokumente/landtagskurier/SAB_PL_Lernposter_WEB091115.pdf","x")</f>
        <v>x</v>
      </c>
      <c r="AX157" s="112" t="str">
        <f>HYPERLINK("http://fi-lohmar-siegburg.de/data/documents/Findefix_kurdisch-Bildwoerterbuch.pdf","x")</f>
        <v>x</v>
      </c>
      <c r="AY157" s="111"/>
      <c r="AZ157" s="112" t="str">
        <f t="shared" ref="AZ157:AZ162" si="77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7" s="112" t="str">
        <f t="shared" ref="BA157:BA162" si="775">HYPERLINK("http://wie-kann-ich-helfen.info/WoerterbuchAnalphabet_innen_%28c%29_Dagmar_Schmeelcke.pdf","x")</f>
        <v>x</v>
      </c>
      <c r="BB157" s="111"/>
      <c r="BC157" s="111"/>
      <c r="BD157" s="111"/>
      <c r="BE157" s="111"/>
      <c r="BF157" s="111"/>
      <c r="BG157" s="112" t="str">
        <f t="shared" ref="BG157:BG162" si="776">HYPERLINK("http://www.refugeephrasebook.de/pdf/germany150920.pdf","x")</f>
        <v>x</v>
      </c>
      <c r="BH157" s="112" t="str">
        <f>HYPERLINK("https://www.advanced-online.eu/downloads/RefugeePhrasebookCards_German-Kurdish-Kurmanji.pdf","x")</f>
        <v>x</v>
      </c>
      <c r="BI157" s="111"/>
      <c r="BJ157" s="111"/>
      <c r="BK157" s="111"/>
      <c r="BL157" s="112" t="str">
        <f t="shared" ref="BL157:BL162" si="777">HYPERLINK("http://www.frnrw.de/images/Aus_den_Initiativen/Ehrenamtler/2015/Dictionary_x10_print-2.pdf","x")</f>
        <v>x</v>
      </c>
      <c r="BM157" s="111"/>
      <c r="BN157" s="111"/>
      <c r="BO157" s="111"/>
      <c r="BP157" s="111"/>
      <c r="BQ157" s="111"/>
      <c r="BR157" s="112" t="str">
        <f t="shared" ref="BR157:BR162" si="778">HYPERLINK("http://www.goethe.de/lrn/prj/wnd/deu/lti/deindex.htm#13322010","x")</f>
        <v>x</v>
      </c>
      <c r="BS157" s="112"/>
      <c r="BT157" s="111"/>
      <c r="BU157" s="112" t="str">
        <f t="shared" ref="BU157:BU162" si="779">HYPERLINK("https://s3-eu-west-1.amazonaws.com/lingolia/download/lingolia_daf.pdf","x")</f>
        <v>x</v>
      </c>
      <c r="BV157" s="112"/>
      <c r="BW157" s="112"/>
      <c r="BX157" s="112"/>
      <c r="BY157" s="112"/>
      <c r="BZ157" s="112" t="str">
        <f t="shared" ref="BZ157:BZ162" si="780">HYPERLINK("http://www.hueber.de/shared/uebungen/schritte-plus","x")</f>
        <v>x</v>
      </c>
      <c r="CA157" s="112" t="str">
        <f t="shared" ref="CA157:CA162" si="781">HYPERLINK("https://www.hueber.de/shared/uebungen/menschen-hier/ab/a1-1/menu.html","x")</f>
        <v>x</v>
      </c>
      <c r="CB157" s="112" t="str">
        <f t="shared" ref="CB157:CB162" si="782">HYPERLINK("http://www.goethe-verlag.com/DE/","x")</f>
        <v>x</v>
      </c>
      <c r="CC157" s="112"/>
      <c r="CD157" s="112"/>
      <c r="CE157" s="111"/>
      <c r="CF157" s="112" t="str">
        <f t="shared" ref="CF157:CF162" si="783">HYPERLINK("http://www.braunschweig.de/leben/frauen/hilfe/Ohne-Gewalt-leben.pdf","x")</f>
        <v>x</v>
      </c>
      <c r="CG157" s="112"/>
      <c r="CH157" s="112"/>
      <c r="CI157" s="112"/>
      <c r="CJ157" s="112" t="str">
        <f t="shared" ref="CJ157:CJ162" si="784">HYPERLINK("http://www.e-migrantinnen.de/index.php?de_wichtige-links","x")</f>
        <v>x</v>
      </c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 t="str">
        <f t="shared" ref="CZ157:CZ162" si="785">HYPERLINK("http://sichere-orte-schaffen.de/wp-content/uploads/Minibrosch_Fluechtlinge_multilang.pdf","x")</f>
        <v>x</v>
      </c>
      <c r="DA157" s="112"/>
      <c r="DB157" s="115"/>
      <c r="DC157" s="112"/>
      <c r="DD157" s="112"/>
      <c r="DE157" s="112" t="str">
        <f t="shared" ref="DE157:DE162" si="786">HYPERLINK("http://fi-lohmar-siegburg.de/data/documents/130-37_Inklusion_im_Anfangsunterricht_-_Poster_mit_Situationsbildern.pdf","x")</f>
        <v>x</v>
      </c>
      <c r="DF157" s="115" t="str">
        <f t="shared" ref="DF157:DF162" si="787">HYPERLINK("http://s3-eu-west-1.amazonaws.com/lingolia/calendar/2016/lingolia_2016_de.pdf","x")</f>
        <v>x</v>
      </c>
      <c r="DG157" s="112" t="str">
        <f t="shared" ref="DG157:DG162" si="788">HYPERLINK("http://www.bibliomedia.ch/de/angebote/img/Wimmelbild.jpg","x")</f>
        <v>x</v>
      </c>
      <c r="DH157" s="112" t="str">
        <f t="shared" ref="DH157:DH162" si="789">HYPERLINK("http://www.bibliomedia.ch/de/angebote/dokumente/Wimmelbild_Fehler.jpg","x")</f>
        <v>x</v>
      </c>
      <c r="DI157" s="111"/>
      <c r="DJ157" s="111"/>
      <c r="DK157" s="112" t="str">
        <f>HYPERLINK("http://www.carlsen.de/sites/default/files/Walter-ebook_kurdisch_klein.pdf","x")</f>
        <v>x</v>
      </c>
      <c r="DL157" s="112"/>
      <c r="DM157" s="111"/>
      <c r="DN157" s="112" t="str">
        <f t="shared" ref="DN157:DN162" si="790">HYPERLINK("http://www.wdrmaus.de/sachgeschichten/maus-international/","x")</f>
        <v>x</v>
      </c>
      <c r="DO157" s="111"/>
      <c r="DP157" s="111"/>
      <c r="DQ157" s="111"/>
      <c r="DR157" s="112" t="str">
        <f>HYPERLINK("http://bildung.koeln.de/materialbibliothek/download.php?idx=fc4887ef7fe884e5adf460bb238faf37","x")</f>
        <v>x</v>
      </c>
      <c r="DS157" s="112" t="str">
        <f>HYPERLINK("http://bildung.koeln.de/materialbibliothek/download.php?idx=99fc6dbeceefa7442b292c74ac93ba58","x")</f>
        <v>x</v>
      </c>
      <c r="DT157" s="112"/>
      <c r="DU157" s="111"/>
      <c r="DV157" s="111"/>
      <c r="DW157" s="111"/>
      <c r="DX157" s="111"/>
      <c r="DY157" s="111"/>
      <c r="DZ157" s="111"/>
      <c r="EA157" s="112"/>
      <c r="EB157" s="111"/>
      <c r="EC157" s="111"/>
      <c r="ED157" s="111"/>
      <c r="EE157" s="111"/>
      <c r="EF157" s="111"/>
      <c r="EG157" s="111"/>
      <c r="EH157" s="111"/>
      <c r="EI157" s="112"/>
      <c r="EJ157" s="112"/>
      <c r="EK157" s="111"/>
      <c r="EL157" s="112" t="str">
        <f>HYPERLINK("http://www.kvs-sachsen.de/fileadmin/img/Mitglieder/Asylbewerber/Allg-Informationen/Anlage_1_Kurmandschi_LEK.pdf","x")</f>
        <v>x</v>
      </c>
      <c r="EM157" s="111"/>
      <c r="EN157" s="111"/>
      <c r="EO157" s="117" t="str">
        <f>HYPERLINK("http://www.medi-bild.de/pdf/anamnese/Welche_Sprache.pdf","x")</f>
        <v>x</v>
      </c>
      <c r="EP157" s="117" t="str">
        <f>HYPERLINK("http://www.medknowledge.de/migration/tipdoc/anamnesebogen/tipdoc_Anamnese_kurdi.pdf","x")</f>
        <v>x</v>
      </c>
      <c r="EQ157" s="112" t="str">
        <f>HYPERLINK("http://www.kvs-sachsen.de/fileadmin/img/Mitglieder/Asylbewerber/Allg-Informationen/Anlagen_2-1_2-2_Kurmandschi_LEK.pdf","x")</f>
        <v>x</v>
      </c>
      <c r="ER157" s="111"/>
      <c r="ES157" s="111"/>
      <c r="ET157" s="111"/>
      <c r="EU157" s="111"/>
      <c r="EV157" s="112" t="str">
        <f t="shared" ref="EV157:EV162" si="791">HYPERLINK("http://www.lak-rlp.de/fileadmin/redakteure/pdf/download/Piktogramme_Dosieretiketten_AoG.pdf","x")</f>
        <v>x</v>
      </c>
      <c r="EW157" s="111"/>
      <c r="EX157" s="111"/>
      <c r="EY157" s="112" t="str">
        <f>HYPERLINK("https://www.mh-hannover.de/fileadmin/mhh/bilder/aktuelles_presse/presseinformationen_news/-Pilzvergif_kurdisch_2.pdf","x")</f>
        <v>x</v>
      </c>
      <c r="EZ157" s="112"/>
      <c r="FA157" s="111"/>
      <c r="FB157" s="111"/>
      <c r="FC157" s="112" t="str">
        <f t="shared" ref="FC157:FC162" si="792">HYPERLINK("http://mige.ix-tech.de/index.php?id=241","x")</f>
        <v>x</v>
      </c>
      <c r="FD157" s="112" t="str">
        <f t="shared" ref="FD157:FD162" si="793">HYPERLINK("http://sghanstedt.elbnetz.com/ueber-uns/","x")</f>
        <v>x</v>
      </c>
      <c r="FE157" s="111"/>
      <c r="FF157" s="111"/>
      <c r="FG157" s="111"/>
      <c r="FH157" s="111"/>
      <c r="FI157" s="112" t="str">
        <f>HYPERLINK("http://www.bundesgesundheitsministerium.de/fileadmin/dateien/Publikationen/Gesundheit/Broschueren/Ratgeber_Asylsuchende/Ratgeber_Asylsuchende_kurd.pdf","x")</f>
        <v>x</v>
      </c>
      <c r="FJ157" s="112" t="str">
        <f>HYPERLINK("http://www.rki.de/DE/Content/Infekt/Impfen/Materialien/Downloads-Impfkalender/Impfkalender_Kurdisch.pdf?__blob=publicationFile","x")</f>
        <v>x</v>
      </c>
      <c r="FK157" s="112" t="str">
        <f>HYPERLINK("http://www.ethno-medizinisches-zentrum.de/images/PDF-Files/impfwegweiser_kurdisch_2014_online.pdf","x")</f>
        <v>x</v>
      </c>
      <c r="FL157" s="112"/>
      <c r="FM157" s="112" t="str">
        <f>HYPERLINK("http://www.rki.de/DE/Content/Infekt/Impfen/Materialien/Glossar-Downloads/glossar-de-kurdisch.pdf?__blob=publicationFile","x")</f>
        <v>x</v>
      </c>
      <c r="FN157" s="112"/>
      <c r="FO157" s="112" t="str">
        <f>HYPERLINK("http://www.rki.de/DE/Content/Infekt/Impfen/Materialien/Downloads-MMR/MMR-Impfinfo-kurdisch.pdf?__blob=publicationFile","x")</f>
        <v>x</v>
      </c>
      <c r="FP157" s="112"/>
      <c r="FQ157" s="112" t="str">
        <f>HYPERLINK("http://www.rki.de/DE/Content/Infekt/Impfen/Materialien/Downloads_HepA/Aufklaerung_HAV-Impfung_Kurdisch.pdf?__blob=publicationFile","x")</f>
        <v>x</v>
      </c>
      <c r="FR157" s="112" t="str">
        <f>HYPERLINK("http://www.rki.de/DE/Content/Infekt/Impfen/Materialien/Downloads_Pneumokokken/Aufklaerung_Pneumo-Impfung_Kurdisch.pdf?__blob=publicationFile","x")</f>
        <v>x</v>
      </c>
      <c r="FS157" s="112" t="str">
        <f>HYPERLINK("http://www.rki.de/DE/Content/Infekt/Impfen/Materialien/Downloads-DTaPIPVHibHepB/DTaPIPVHibHepB-kurdisch.pdf?__blob=publicationFile","x")</f>
        <v>x</v>
      </c>
      <c r="FT157" s="112" t="str">
        <f>HYPERLINK("http://www.rki.de/DE/Content/Infekt/Impfen/Materialien/Downloads-Varizellen/Varizellen-Impfinfo-kurdisch.pdf;jsessionid=65B697F4EE7EDA8A1ED9E2C4CD6C74EC.2_cid363?__blob=publicationFile","x")</f>
        <v>x</v>
      </c>
      <c r="FU157" s="112" t="str">
        <f>HYPERLINK("http://www.rki.de/DE/Content/Infekt/Impfen/Materialien/Downloads-Tdap-IPV/Tdap-IPV-kurdisch.pdf?__blob=publicationFile","x")</f>
        <v>x</v>
      </c>
      <c r="FV157" s="112" t="str">
        <f>HYPERLINK("http://www.rki.de/DE/Content/Infekt/Impfen/Materialien/Downloads-Influenza_nasal/Influenza_nasal-kurdisch.pdf?__blob=publicationFile","x")</f>
        <v>x</v>
      </c>
      <c r="FW157" s="111"/>
      <c r="FX157" s="112"/>
      <c r="FY157" s="112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2" t="str">
        <f>HYPERLINK("http://www.rki.de/DE/Content/Infekt/Impfen/Materialien/Downloads-Influenza/Influenza-kurdisch.pdf?__blob=publicationFile","x")</f>
        <v>x</v>
      </c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2" t="str">
        <f t="shared" si="628"/>
        <v>x</v>
      </c>
      <c r="HC157" s="112" t="str">
        <f>HYPERLINK("https://www.zahnaerzte-wl.de/images/_PDF-suche/KZV_ZÄK/ENDSTAND_Ankreuzbogen_Ich_verstehe.pdf","x")</f>
        <v>x</v>
      </c>
      <c r="HD157" s="112" t="str">
        <f>HYPERLINK("https://www.zahnaerzte-wl.de/images/_PDF-suche/KZV_ZÄK/Anschreiben_Patienten_kurdisch_kurmandschi.pdf","x")</f>
        <v>x</v>
      </c>
      <c r="HE157" s="112" t="str">
        <f>HYPERLINK("https://www.zahnaerzte-wl.de/images/_PDF-suche/KZV_ZÄK/Fragebogen_kurdisch-kurmandschi.pdf","x")</f>
        <v>x</v>
      </c>
      <c r="HF157" s="112" t="str">
        <f>HYPERLINK("https://www.zahnaerzte-wl.de/images/_PDF-suche/KZV_ZÄK/Patientenerhebungsbogen_kurdisch-kurmandschi.pdf","x")</f>
        <v>x</v>
      </c>
      <c r="HG157" s="112"/>
      <c r="HH157" s="112"/>
      <c r="HI157" s="112"/>
      <c r="HJ157" s="112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2" t="str">
        <f t="shared" ref="HX157:HX162" si="794">HYPERLINK("http://www.selfhelpfortrauma.org/","x")</f>
        <v>x</v>
      </c>
      <c r="HY157" s="112" t="str">
        <f t="shared" ref="HY157:HY162" si="795">HYPERLINK("http://peacefulheart.se/wp-content/uploads/2014/12/Resolving-Yesterday-20141201-Self-Tapping.pdf","x")</f>
        <v>x</v>
      </c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2"/>
      <c r="IK157" s="112" t="str">
        <f>HYPERLINK("http://www.bamf.de/SharedDocs/Anlagen/DE/Publikationen/Flyer/flyer-erstorientierung-asylsuchende_kurdisch.pdf?__blob=publicationFile","x")</f>
        <v>x</v>
      </c>
      <c r="IL157" s="111"/>
      <c r="IM157" s="111"/>
      <c r="IN157" s="111"/>
      <c r="IO157" s="111"/>
      <c r="IP157" s="112" t="str">
        <f>HYPERLINK("http://www.bamf.de/SharedDocs/Anlagen/DE/Publikationen/Flyer/Lernen-Sie-Deutsch/lernen-sie-deutsch_ku.pdf?__blob=publicationFile","x")</f>
        <v>x</v>
      </c>
      <c r="IQ157" s="112"/>
      <c r="IR157" s="111"/>
      <c r="IS157" s="111"/>
      <c r="IT157" s="111"/>
      <c r="IU157" s="112" t="str">
        <f>HYPERLINK("http://www.asyl.net/fileadmin/user_upload/infoblatt_anhoerung/Kurd_final.pdf","x")</f>
        <v>x</v>
      </c>
      <c r="IV157" s="112"/>
      <c r="IW157" s="112"/>
      <c r="IX157" s="112"/>
      <c r="IY157" s="111"/>
      <c r="IZ157" s="111"/>
      <c r="JA157" s="111"/>
      <c r="JB157" s="112"/>
      <c r="JC157" s="111"/>
      <c r="JD157" s="112"/>
      <c r="JE157" s="112"/>
      <c r="JF157" s="111"/>
      <c r="JG157" s="111"/>
      <c r="JH157" s="111"/>
      <c r="JI157" s="112"/>
      <c r="JJ157" s="112"/>
      <c r="JK157" s="112"/>
      <c r="JL157" s="112"/>
      <c r="JM157" s="112"/>
      <c r="JN157" s="112"/>
      <c r="JO157" s="112"/>
      <c r="JP157" s="112"/>
      <c r="JQ157" s="112"/>
      <c r="JR157" s="112"/>
      <c r="JS157" s="111"/>
      <c r="JT157" s="111"/>
      <c r="JU157" s="111"/>
      <c r="JV157" s="112"/>
      <c r="JW157" s="112"/>
      <c r="JX157" s="112"/>
      <c r="JY157" s="112"/>
      <c r="JZ157" s="112"/>
      <c r="KA157" s="112" t="str">
        <f>HYPERLINK("http://www.refugeeguide.de/dl/RefugeeGuide_ku_1214.pdf","x")</f>
        <v>x</v>
      </c>
      <c r="KB157" s="111"/>
      <c r="KC157" s="112" t="str">
        <f t="shared" ref="KC157:KC162" si="796">HYPERLINK("http://www.wedel.de/fileadmin/user_upload/media/pdf/Rathaus_und_Politik/20160118_PM_Broschuere.pdf","x")</f>
        <v>x</v>
      </c>
      <c r="KD157" s="112"/>
      <c r="KE157" s="111"/>
      <c r="KF157" s="112"/>
      <c r="KG157" s="112"/>
      <c r="KH157" s="112"/>
      <c r="KI157" s="112"/>
      <c r="KJ157" s="112"/>
      <c r="KK157" s="112"/>
      <c r="KL157" s="112"/>
      <c r="KM157" s="112"/>
      <c r="KN157" s="112"/>
      <c r="KO157" s="112"/>
      <c r="KP157" s="112"/>
      <c r="KQ157" s="112"/>
      <c r="KR157" s="112"/>
      <c r="KS157" s="112"/>
      <c r="KT157" s="112"/>
      <c r="KU157" s="112"/>
      <c r="KV157" s="112"/>
      <c r="KW157" s="112"/>
      <c r="KX157" s="112"/>
      <c r="KY157" s="112"/>
      <c r="KZ157" s="112"/>
      <c r="LA157" s="112"/>
      <c r="LB157" s="111"/>
      <c r="LC157" s="111"/>
      <c r="LD157" s="111"/>
      <c r="LE157" s="111"/>
      <c r="LF157" s="111"/>
      <c r="LG157" s="111"/>
      <c r="LH157" s="111"/>
      <c r="LI157" s="111"/>
      <c r="LJ157" s="111"/>
      <c r="LK157" s="111"/>
      <c r="LL157" s="111"/>
      <c r="LM157" s="111"/>
      <c r="LN157" s="111"/>
      <c r="LO157" s="111"/>
      <c r="LP157" s="111"/>
      <c r="LQ157" s="111"/>
      <c r="LR157" s="111"/>
      <c r="LS157" s="111"/>
      <c r="LT157" s="111"/>
      <c r="LU157" s="111"/>
      <c r="LV157" s="111"/>
      <c r="LW157" s="111"/>
      <c r="LX157" s="111"/>
      <c r="LY157" s="111"/>
      <c r="LZ157" s="111"/>
      <c r="MA157" s="111"/>
      <c r="MB157" s="111"/>
      <c r="MC157" s="111"/>
      <c r="MD157" s="111"/>
      <c r="ME157" s="111"/>
      <c r="MF157" s="111"/>
      <c r="MG157" s="111"/>
      <c r="MH157" s="111"/>
    </row>
    <row r="158" spans="1:346" x14ac:dyDescent="0.25">
      <c r="A158" s="110" t="s">
        <v>480</v>
      </c>
      <c r="B158" s="101" t="s">
        <v>412</v>
      </c>
      <c r="C158" s="102"/>
      <c r="D158" s="102"/>
      <c r="E158" s="102"/>
      <c r="F158" s="102"/>
      <c r="G158" s="102"/>
      <c r="H158" s="102"/>
      <c r="I158" s="102"/>
      <c r="J158" s="103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2" t="str">
        <f t="shared" si="771"/>
        <v>x</v>
      </c>
      <c r="AK158" s="112" t="str">
        <f t="shared" ref="AK158:AK162" si="797">HYPERLINK("https://www.vrsinfo.de/fileadmin/Dateien/downloadcenter/Willkommen_im_VRS2016_Druck.pdf","x")</f>
        <v>x</v>
      </c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3"/>
      <c r="AV158" s="114" t="str">
        <f t="shared" si="772"/>
        <v>x</v>
      </c>
      <c r="AW158" s="114" t="str">
        <f t="shared" si="773"/>
        <v>x</v>
      </c>
      <c r="AX158" s="112" t="str">
        <f t="shared" ref="AX158:AX162" si="798">HYPERLINK("http://fi-lohmar-siegburg.de/data/documents/Findefix_kurdisch-Bildwoerterbuch.pdf","x")</f>
        <v>x</v>
      </c>
      <c r="AY158" s="111"/>
      <c r="AZ158" s="112" t="str">
        <f t="shared" si="774"/>
        <v>x</v>
      </c>
      <c r="BA158" s="112" t="str">
        <f t="shared" si="775"/>
        <v>x</v>
      </c>
      <c r="BB158" s="111"/>
      <c r="BC158" s="111"/>
      <c r="BD158" s="111"/>
      <c r="BE158" s="111"/>
      <c r="BF158" s="111"/>
      <c r="BG158" s="112" t="str">
        <f t="shared" si="776"/>
        <v>x</v>
      </c>
      <c r="BH158" s="112" t="str">
        <f t="shared" ref="BH158:BH162" si="799">HYPERLINK("https://www.advanced-online.eu/downloads/RefugeePhrasebookCards_German-Kurdish-Kurmanji.pdf","x")</f>
        <v>x</v>
      </c>
      <c r="BI158" s="111"/>
      <c r="BJ158" s="111"/>
      <c r="BK158" s="111"/>
      <c r="BL158" s="112" t="str">
        <f t="shared" si="777"/>
        <v>x</v>
      </c>
      <c r="BM158" s="111"/>
      <c r="BN158" s="111"/>
      <c r="BO158" s="111"/>
      <c r="BP158" s="111"/>
      <c r="BQ158" s="111"/>
      <c r="BR158" s="112" t="str">
        <f t="shared" si="778"/>
        <v>x</v>
      </c>
      <c r="BS158" s="112"/>
      <c r="BT158" s="111"/>
      <c r="BU158" s="112" t="str">
        <f t="shared" si="779"/>
        <v>x</v>
      </c>
      <c r="BV158" s="112"/>
      <c r="BW158" s="112"/>
      <c r="BX158" s="112"/>
      <c r="BY158" s="112"/>
      <c r="BZ158" s="112" t="str">
        <f t="shared" si="780"/>
        <v>x</v>
      </c>
      <c r="CA158" s="112" t="str">
        <f t="shared" si="781"/>
        <v>x</v>
      </c>
      <c r="CB158" s="112" t="str">
        <f t="shared" si="782"/>
        <v>x</v>
      </c>
      <c r="CC158" s="112"/>
      <c r="CD158" s="112"/>
      <c r="CE158" s="111"/>
      <c r="CF158" s="112" t="str">
        <f t="shared" si="783"/>
        <v>x</v>
      </c>
      <c r="CG158" s="112"/>
      <c r="CH158" s="112"/>
      <c r="CI158" s="112"/>
      <c r="CJ158" s="112" t="str">
        <f t="shared" si="784"/>
        <v>x</v>
      </c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 t="str">
        <f t="shared" si="785"/>
        <v>x</v>
      </c>
      <c r="DA158" s="112"/>
      <c r="DB158" s="115"/>
      <c r="DC158" s="112"/>
      <c r="DD158" s="112"/>
      <c r="DE158" s="112" t="str">
        <f t="shared" si="786"/>
        <v>x</v>
      </c>
      <c r="DF158" s="115" t="str">
        <f t="shared" si="787"/>
        <v>x</v>
      </c>
      <c r="DG158" s="112" t="str">
        <f t="shared" si="788"/>
        <v>x</v>
      </c>
      <c r="DH158" s="112" t="str">
        <f t="shared" si="789"/>
        <v>x</v>
      </c>
      <c r="DI158" s="111"/>
      <c r="DJ158" s="111"/>
      <c r="DK158" s="112" t="str">
        <f t="shared" ref="DK158:DK162" si="800">HYPERLINK("http://www.carlsen.de/sites/default/files/Walter-ebook_kurdisch_klein.pdf","x")</f>
        <v>x</v>
      </c>
      <c r="DL158" s="112"/>
      <c r="DM158" s="111"/>
      <c r="DN158" s="112" t="str">
        <f t="shared" si="790"/>
        <v>x</v>
      </c>
      <c r="DO158" s="111"/>
      <c r="DP158" s="111"/>
      <c r="DQ158" s="111"/>
      <c r="DR158" s="112" t="str">
        <f t="shared" ref="DR158:DR162" si="801">HYPERLINK("http://bildung.koeln.de/materialbibliothek/download.php?idx=fc4887ef7fe884e5adf460bb238faf37","x")</f>
        <v>x</v>
      </c>
      <c r="DS158" s="112" t="str">
        <f t="shared" ref="DS158:DS162" si="802">HYPERLINK("http://bildung.koeln.de/materialbibliothek/download.php?idx=99fc6dbeceefa7442b292c74ac93ba58","x")</f>
        <v>x</v>
      </c>
      <c r="DT158" s="112"/>
      <c r="DU158" s="111"/>
      <c r="DV158" s="111"/>
      <c r="DW158" s="111"/>
      <c r="DX158" s="111"/>
      <c r="DY158" s="111"/>
      <c r="DZ158" s="111"/>
      <c r="EA158" s="112"/>
      <c r="EB158" s="111"/>
      <c r="EC158" s="111"/>
      <c r="ED158" s="111"/>
      <c r="EE158" s="111"/>
      <c r="EF158" s="111"/>
      <c r="EG158" s="111"/>
      <c r="EH158" s="111"/>
      <c r="EI158" s="112"/>
      <c r="EJ158" s="112"/>
      <c r="EK158" s="111"/>
      <c r="EL158" s="112" t="str">
        <f t="shared" ref="EL158:EL162" si="803">HYPERLINK("http://www.kvs-sachsen.de/fileadmin/img/Mitglieder/Asylbewerber/Allg-Informationen/Anlage_1_Kurmandschi_LEK.pdf","x")</f>
        <v>x</v>
      </c>
      <c r="EM158" s="111"/>
      <c r="EN158" s="111"/>
      <c r="EO158" s="117" t="str">
        <f t="shared" ref="EO158:EO162" si="804">HYPERLINK("http://www.medi-bild.de/pdf/anamnese/Welche_Sprache.pdf","x")</f>
        <v>x</v>
      </c>
      <c r="EP158" s="117" t="str">
        <f t="shared" ref="EP158:EP162" si="805">HYPERLINK("http://www.medknowledge.de/migration/tipdoc/anamnesebogen/tipdoc_Anamnese_kurdi.pdf","x")</f>
        <v>x</v>
      </c>
      <c r="EQ158" s="112" t="str">
        <f t="shared" ref="EQ158:EQ162" si="806">HYPERLINK("http://www.kvs-sachsen.de/fileadmin/img/Mitglieder/Asylbewerber/Allg-Informationen/Anlagen_2-1_2-2_Kurmandschi_LEK.pdf","x")</f>
        <v>x</v>
      </c>
      <c r="ER158" s="111"/>
      <c r="ES158" s="111"/>
      <c r="ET158" s="111"/>
      <c r="EU158" s="111"/>
      <c r="EV158" s="112" t="str">
        <f t="shared" si="791"/>
        <v>x</v>
      </c>
      <c r="EW158" s="111"/>
      <c r="EX158" s="111"/>
      <c r="EY158" s="112" t="str">
        <f t="shared" ref="EY158:EY162" si="807">HYPERLINK("https://www.mh-hannover.de/fileadmin/mhh/bilder/aktuelles_presse/presseinformationen_news/-Pilzvergif_kurdisch_2.pdf","x")</f>
        <v>x</v>
      </c>
      <c r="EZ158" s="112"/>
      <c r="FA158" s="111"/>
      <c r="FB158" s="111"/>
      <c r="FC158" s="112" t="str">
        <f t="shared" si="792"/>
        <v>x</v>
      </c>
      <c r="FD158" s="112" t="str">
        <f t="shared" si="793"/>
        <v>x</v>
      </c>
      <c r="FE158" s="111"/>
      <c r="FF158" s="111"/>
      <c r="FG158" s="111"/>
      <c r="FH158" s="111"/>
      <c r="FI158" s="112" t="str">
        <f t="shared" ref="FI158:FI162" si="808">HYPERLINK("http://www.bundesgesundheitsministerium.de/fileadmin/dateien/Publikationen/Gesundheit/Broschueren/Ratgeber_Asylsuchende/Ratgeber_Asylsuchende_kurd.pdf","x")</f>
        <v>x</v>
      </c>
      <c r="FJ158" s="112" t="str">
        <f t="shared" ref="FJ158:FJ162" si="809">HYPERLINK("http://www.rki.de/DE/Content/Infekt/Impfen/Materialien/Downloads-Impfkalender/Impfkalender_Kurdisch.pdf?__blob=publicationFile","x")</f>
        <v>x</v>
      </c>
      <c r="FK158" s="112" t="str">
        <f t="shared" ref="FK158:FK162" si="810">HYPERLINK("http://www.ethno-medizinisches-zentrum.de/images/PDF-Files/impfwegweiser_kurdisch_2014_online.pdf","x")</f>
        <v>x</v>
      </c>
      <c r="FL158" s="112"/>
      <c r="FM158" s="112" t="str">
        <f t="shared" ref="FM158:FM162" si="811">HYPERLINK("http://www.rki.de/DE/Content/Infekt/Impfen/Materialien/Glossar-Downloads/glossar-de-kurdisch.pdf?__blob=publicationFile","x")</f>
        <v>x</v>
      </c>
      <c r="FN158" s="112"/>
      <c r="FO158" s="112" t="str">
        <f t="shared" ref="FO158:FO162" si="812">HYPERLINK("http://www.rki.de/DE/Content/Infekt/Impfen/Materialien/Downloads-MMR/MMR-Impfinfo-kurdisch.pdf?__blob=publicationFile","x")</f>
        <v>x</v>
      </c>
      <c r="FP158" s="112"/>
      <c r="FQ158" s="112" t="str">
        <f t="shared" ref="FQ158:FQ162" si="813">HYPERLINK("http://www.rki.de/DE/Content/Infekt/Impfen/Materialien/Downloads_HepA/Aufklaerung_HAV-Impfung_Kurdisch.pdf?__blob=publicationFile","x")</f>
        <v>x</v>
      </c>
      <c r="FR158" s="112" t="str">
        <f t="shared" ref="FR158:FR162" si="814">HYPERLINK("http://www.rki.de/DE/Content/Infekt/Impfen/Materialien/Downloads_Pneumokokken/Aufklaerung_Pneumo-Impfung_Kurdisch.pdf?__blob=publicationFile","x")</f>
        <v>x</v>
      </c>
      <c r="FS158" s="112" t="str">
        <f t="shared" ref="FS158:FS162" si="815">HYPERLINK("http://www.rki.de/DE/Content/Infekt/Impfen/Materialien/Downloads-DTaPIPVHibHepB/DTaPIPVHibHepB-kurdisch.pdf?__blob=publicationFile","x")</f>
        <v>x</v>
      </c>
      <c r="FT158" s="112" t="str">
        <f t="shared" ref="FT158:FT162" si="816">HYPERLINK("http://www.rki.de/DE/Content/Infekt/Impfen/Materialien/Downloads-Varizellen/Varizellen-Impfinfo-kurdisch.pdf;jsessionid=65B697F4EE7EDA8A1ED9E2C4CD6C74EC.2_cid363?__blob=publicationFile","x")</f>
        <v>x</v>
      </c>
      <c r="FU158" s="112" t="str">
        <f t="shared" ref="FU158:FU162" si="817">HYPERLINK("http://www.rki.de/DE/Content/Infekt/Impfen/Materialien/Downloads-Tdap-IPV/Tdap-IPV-kurdisch.pdf?__blob=publicationFile","x")</f>
        <v>x</v>
      </c>
      <c r="FV158" s="112" t="str">
        <f t="shared" ref="FV158:FV162" si="818">HYPERLINK("http://www.rki.de/DE/Content/Infekt/Impfen/Materialien/Downloads-Influenza_nasal/Influenza_nasal-kurdisch.pdf?__blob=publicationFile","x")</f>
        <v>x</v>
      </c>
      <c r="FW158" s="111"/>
      <c r="FX158" s="112"/>
      <c r="FY158" s="112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2" t="str">
        <f t="shared" ref="GL158:GL162" si="819">HYPERLINK("http://www.rki.de/DE/Content/Infekt/Impfen/Materialien/Downloads-Influenza/Influenza-kurdisch.pdf?__blob=publicationFile","x")</f>
        <v>x</v>
      </c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2" t="str">
        <f t="shared" si="628"/>
        <v>x</v>
      </c>
      <c r="HC158" s="112" t="str">
        <f t="shared" ref="HC158:HC162" si="820">HYPERLINK("https://www.zahnaerzte-wl.de/images/_PDF-suche/KZV_ZÄK/ENDSTAND_Ankreuzbogen_Ich_verstehe.pdf","x")</f>
        <v>x</v>
      </c>
      <c r="HD158" s="112" t="str">
        <f t="shared" ref="HD158:HD162" si="821">HYPERLINK("https://www.zahnaerzte-wl.de/images/_PDF-suche/KZV_ZÄK/Anschreiben_Patienten_kurdisch_kurmandschi.pdf","x")</f>
        <v>x</v>
      </c>
      <c r="HE158" s="112" t="str">
        <f t="shared" ref="HE158:HE162" si="822">HYPERLINK("https://www.zahnaerzte-wl.de/images/_PDF-suche/KZV_ZÄK/Fragebogen_kurdisch-kurmandschi.pdf","x")</f>
        <v>x</v>
      </c>
      <c r="HF158" s="112" t="str">
        <f t="shared" ref="HF158:HF162" si="823">HYPERLINK("https://www.zahnaerzte-wl.de/images/_PDF-suche/KZV_ZÄK/Patientenerhebungsbogen_kurdisch-kurmandschi.pdf","x")</f>
        <v>x</v>
      </c>
      <c r="HG158" s="112"/>
      <c r="HH158" s="112"/>
      <c r="HI158" s="112"/>
      <c r="HJ158" s="112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2" t="str">
        <f t="shared" si="794"/>
        <v>x</v>
      </c>
      <c r="HY158" s="112" t="str">
        <f t="shared" si="795"/>
        <v>x</v>
      </c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2"/>
      <c r="IK158" s="112" t="str">
        <f t="shared" ref="IK158:IK162" si="824">HYPERLINK("http://www.bamf.de/SharedDocs/Anlagen/DE/Publikationen/Flyer/flyer-erstorientierung-asylsuchende_kurdisch.pdf?__blob=publicationFile","x")</f>
        <v>x</v>
      </c>
      <c r="IL158" s="111"/>
      <c r="IM158" s="111"/>
      <c r="IN158" s="111"/>
      <c r="IO158" s="111"/>
      <c r="IP158" s="112" t="str">
        <f t="shared" ref="IP158:IP162" si="825">HYPERLINK("http://www.bamf.de/SharedDocs/Anlagen/DE/Publikationen/Flyer/Lernen-Sie-Deutsch/lernen-sie-deutsch_ku.pdf?__blob=publicationFile","x")</f>
        <v>x</v>
      </c>
      <c r="IQ158" s="112"/>
      <c r="IR158" s="111"/>
      <c r="IS158" s="111"/>
      <c r="IT158" s="111"/>
      <c r="IU158" s="112" t="str">
        <f t="shared" ref="IU158:IU162" si="826">HYPERLINK("http://www.asyl.net/fileadmin/user_upload/infoblatt_anhoerung/Kurd_final.pdf","x")</f>
        <v>x</v>
      </c>
      <c r="IV158" s="112"/>
      <c r="IW158" s="112"/>
      <c r="IX158" s="112"/>
      <c r="IY158" s="111"/>
      <c r="IZ158" s="111"/>
      <c r="JA158" s="111"/>
      <c r="JB158" s="112"/>
      <c r="JC158" s="111"/>
      <c r="JD158" s="112"/>
      <c r="JE158" s="112"/>
      <c r="JF158" s="111"/>
      <c r="JG158" s="111"/>
      <c r="JH158" s="111"/>
      <c r="JI158" s="112"/>
      <c r="JJ158" s="112"/>
      <c r="JK158" s="112"/>
      <c r="JL158" s="112"/>
      <c r="JM158" s="112"/>
      <c r="JN158" s="112"/>
      <c r="JO158" s="112"/>
      <c r="JP158" s="112"/>
      <c r="JQ158" s="112"/>
      <c r="JR158" s="112"/>
      <c r="JS158" s="111"/>
      <c r="JT158" s="111"/>
      <c r="JU158" s="111"/>
      <c r="JV158" s="112"/>
      <c r="JW158" s="112"/>
      <c r="JX158" s="112"/>
      <c r="JY158" s="112"/>
      <c r="JZ158" s="112"/>
      <c r="KA158" s="112" t="str">
        <f t="shared" ref="KA158:KA162" si="827">HYPERLINK("http://www.refugeeguide.de/dl/RefugeeGuide_ku_1214.pdf","x")</f>
        <v>x</v>
      </c>
      <c r="KB158" s="111"/>
      <c r="KC158" s="112" t="str">
        <f t="shared" si="796"/>
        <v>x</v>
      </c>
      <c r="KD158" s="112"/>
      <c r="KE158" s="111"/>
      <c r="KF158" s="112"/>
      <c r="KG158" s="112"/>
      <c r="KH158" s="112"/>
      <c r="KI158" s="112"/>
      <c r="KJ158" s="112"/>
      <c r="KK158" s="112"/>
      <c r="KL158" s="112"/>
      <c r="KM158" s="112"/>
      <c r="KN158" s="112"/>
      <c r="KO158" s="112"/>
      <c r="KP158" s="112"/>
      <c r="KQ158" s="112"/>
      <c r="KR158" s="112"/>
      <c r="KS158" s="112"/>
      <c r="KT158" s="112"/>
      <c r="KU158" s="112"/>
      <c r="KV158" s="112"/>
      <c r="KW158" s="112"/>
      <c r="KX158" s="112"/>
      <c r="KY158" s="112"/>
      <c r="KZ158" s="112"/>
      <c r="LA158" s="112"/>
      <c r="LB158" s="111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</row>
    <row r="159" spans="1:346" x14ac:dyDescent="0.25">
      <c r="A159" s="110" t="s">
        <v>480</v>
      </c>
      <c r="B159" s="101" t="s">
        <v>74</v>
      </c>
      <c r="C159" s="102"/>
      <c r="D159" s="102"/>
      <c r="E159" s="102"/>
      <c r="F159" s="102"/>
      <c r="G159" s="102"/>
      <c r="H159" s="102"/>
      <c r="I159" s="102"/>
      <c r="J159" s="103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2" t="str">
        <f t="shared" si="771"/>
        <v>x</v>
      </c>
      <c r="AK159" s="112" t="str">
        <f t="shared" si="797"/>
        <v>x</v>
      </c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3"/>
      <c r="AV159" s="114" t="str">
        <f t="shared" si="772"/>
        <v>x</v>
      </c>
      <c r="AW159" s="114" t="str">
        <f t="shared" si="773"/>
        <v>x</v>
      </c>
      <c r="AX159" s="112" t="str">
        <f t="shared" si="798"/>
        <v>x</v>
      </c>
      <c r="AY159" s="111"/>
      <c r="AZ159" s="112" t="str">
        <f t="shared" si="774"/>
        <v>x</v>
      </c>
      <c r="BA159" s="112" t="str">
        <f t="shared" si="775"/>
        <v>x</v>
      </c>
      <c r="BB159" s="111"/>
      <c r="BC159" s="111"/>
      <c r="BD159" s="111"/>
      <c r="BE159" s="111"/>
      <c r="BF159" s="111"/>
      <c r="BG159" s="112" t="str">
        <f t="shared" si="776"/>
        <v>x</v>
      </c>
      <c r="BH159" s="112" t="str">
        <f t="shared" si="799"/>
        <v>x</v>
      </c>
      <c r="BI159" s="111"/>
      <c r="BJ159" s="111"/>
      <c r="BK159" s="111"/>
      <c r="BL159" s="112" t="str">
        <f t="shared" si="777"/>
        <v>x</v>
      </c>
      <c r="BM159" s="111"/>
      <c r="BN159" s="111"/>
      <c r="BO159" s="111"/>
      <c r="BP159" s="111"/>
      <c r="BQ159" s="111"/>
      <c r="BR159" s="112" t="str">
        <f t="shared" si="778"/>
        <v>x</v>
      </c>
      <c r="BS159" s="112"/>
      <c r="BT159" s="111"/>
      <c r="BU159" s="112" t="str">
        <f t="shared" si="779"/>
        <v>x</v>
      </c>
      <c r="BV159" s="112"/>
      <c r="BW159" s="112"/>
      <c r="BX159" s="112"/>
      <c r="BY159" s="112"/>
      <c r="BZ159" s="112" t="str">
        <f t="shared" si="780"/>
        <v>x</v>
      </c>
      <c r="CA159" s="112" t="str">
        <f t="shared" si="781"/>
        <v>x</v>
      </c>
      <c r="CB159" s="112" t="str">
        <f t="shared" si="782"/>
        <v>x</v>
      </c>
      <c r="CC159" s="112"/>
      <c r="CD159" s="112"/>
      <c r="CE159" s="111"/>
      <c r="CF159" s="112" t="str">
        <f t="shared" si="783"/>
        <v>x</v>
      </c>
      <c r="CG159" s="112"/>
      <c r="CH159" s="112"/>
      <c r="CI159" s="112"/>
      <c r="CJ159" s="112" t="str">
        <f t="shared" si="784"/>
        <v>x</v>
      </c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 t="str">
        <f t="shared" si="785"/>
        <v>x</v>
      </c>
      <c r="DA159" s="112"/>
      <c r="DB159" s="115"/>
      <c r="DC159" s="112"/>
      <c r="DD159" s="112"/>
      <c r="DE159" s="112" t="str">
        <f t="shared" si="786"/>
        <v>x</v>
      </c>
      <c r="DF159" s="115" t="str">
        <f t="shared" si="787"/>
        <v>x</v>
      </c>
      <c r="DG159" s="112" t="str">
        <f t="shared" si="788"/>
        <v>x</v>
      </c>
      <c r="DH159" s="112" t="str">
        <f t="shared" si="789"/>
        <v>x</v>
      </c>
      <c r="DI159" s="111"/>
      <c r="DJ159" s="111"/>
      <c r="DK159" s="112" t="str">
        <f t="shared" si="800"/>
        <v>x</v>
      </c>
      <c r="DL159" s="112"/>
      <c r="DM159" s="111"/>
      <c r="DN159" s="112" t="str">
        <f t="shared" si="790"/>
        <v>x</v>
      </c>
      <c r="DO159" s="111"/>
      <c r="DP159" s="111"/>
      <c r="DQ159" s="111"/>
      <c r="DR159" s="112" t="str">
        <f t="shared" si="801"/>
        <v>x</v>
      </c>
      <c r="DS159" s="112" t="str">
        <f t="shared" si="802"/>
        <v>x</v>
      </c>
      <c r="DT159" s="112"/>
      <c r="DU159" s="111"/>
      <c r="DV159" s="111"/>
      <c r="DW159" s="111"/>
      <c r="DX159" s="111"/>
      <c r="DY159" s="111"/>
      <c r="DZ159" s="111"/>
      <c r="EA159" s="112"/>
      <c r="EB159" s="111"/>
      <c r="EC159" s="111"/>
      <c r="ED159" s="111"/>
      <c r="EE159" s="111"/>
      <c r="EF159" s="111"/>
      <c r="EG159" s="111"/>
      <c r="EH159" s="111"/>
      <c r="EI159" s="112"/>
      <c r="EJ159" s="112"/>
      <c r="EK159" s="111"/>
      <c r="EL159" s="112" t="str">
        <f t="shared" si="803"/>
        <v>x</v>
      </c>
      <c r="EM159" s="111"/>
      <c r="EN159" s="111"/>
      <c r="EO159" s="117" t="str">
        <f t="shared" si="804"/>
        <v>x</v>
      </c>
      <c r="EP159" s="117" t="str">
        <f t="shared" si="805"/>
        <v>x</v>
      </c>
      <c r="EQ159" s="112" t="str">
        <f t="shared" si="806"/>
        <v>x</v>
      </c>
      <c r="ER159" s="111"/>
      <c r="ES159" s="111"/>
      <c r="ET159" s="111"/>
      <c r="EU159" s="111"/>
      <c r="EV159" s="112" t="str">
        <f t="shared" si="791"/>
        <v>x</v>
      </c>
      <c r="EW159" s="111"/>
      <c r="EX159" s="111"/>
      <c r="EY159" s="112" t="str">
        <f t="shared" si="807"/>
        <v>x</v>
      </c>
      <c r="EZ159" s="112"/>
      <c r="FA159" s="111"/>
      <c r="FB159" s="111"/>
      <c r="FC159" s="112" t="str">
        <f t="shared" si="792"/>
        <v>x</v>
      </c>
      <c r="FD159" s="112" t="str">
        <f t="shared" si="793"/>
        <v>x</v>
      </c>
      <c r="FE159" s="111"/>
      <c r="FF159" s="111"/>
      <c r="FG159" s="111"/>
      <c r="FH159" s="111"/>
      <c r="FI159" s="112" t="str">
        <f t="shared" si="808"/>
        <v>x</v>
      </c>
      <c r="FJ159" s="112" t="str">
        <f t="shared" si="809"/>
        <v>x</v>
      </c>
      <c r="FK159" s="112" t="str">
        <f t="shared" si="810"/>
        <v>x</v>
      </c>
      <c r="FL159" s="112"/>
      <c r="FM159" s="112" t="str">
        <f t="shared" si="811"/>
        <v>x</v>
      </c>
      <c r="FN159" s="112"/>
      <c r="FO159" s="112" t="str">
        <f t="shared" si="812"/>
        <v>x</v>
      </c>
      <c r="FP159" s="112"/>
      <c r="FQ159" s="112" t="str">
        <f t="shared" si="813"/>
        <v>x</v>
      </c>
      <c r="FR159" s="112" t="str">
        <f t="shared" si="814"/>
        <v>x</v>
      </c>
      <c r="FS159" s="112" t="str">
        <f t="shared" si="815"/>
        <v>x</v>
      </c>
      <c r="FT159" s="112" t="str">
        <f t="shared" si="816"/>
        <v>x</v>
      </c>
      <c r="FU159" s="112" t="str">
        <f t="shared" si="817"/>
        <v>x</v>
      </c>
      <c r="FV159" s="112" t="str">
        <f t="shared" si="818"/>
        <v>x</v>
      </c>
      <c r="FW159" s="111"/>
      <c r="FX159" s="112"/>
      <c r="FY159" s="112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2" t="str">
        <f t="shared" si="819"/>
        <v>x</v>
      </c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2" t="str">
        <f t="shared" si="628"/>
        <v>x</v>
      </c>
      <c r="HC159" s="112" t="str">
        <f t="shared" si="820"/>
        <v>x</v>
      </c>
      <c r="HD159" s="112" t="str">
        <f t="shared" si="821"/>
        <v>x</v>
      </c>
      <c r="HE159" s="112" t="str">
        <f t="shared" si="822"/>
        <v>x</v>
      </c>
      <c r="HF159" s="112" t="str">
        <f t="shared" si="823"/>
        <v>x</v>
      </c>
      <c r="HG159" s="112"/>
      <c r="HH159" s="112"/>
      <c r="HI159" s="112"/>
      <c r="HJ159" s="112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2" t="str">
        <f t="shared" si="794"/>
        <v>x</v>
      </c>
      <c r="HY159" s="112" t="str">
        <f t="shared" si="795"/>
        <v>x</v>
      </c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2"/>
      <c r="IK159" s="112" t="str">
        <f t="shared" si="824"/>
        <v>x</v>
      </c>
      <c r="IL159" s="111"/>
      <c r="IM159" s="111"/>
      <c r="IN159" s="111"/>
      <c r="IO159" s="111"/>
      <c r="IP159" s="112" t="str">
        <f t="shared" si="825"/>
        <v>x</v>
      </c>
      <c r="IQ159" s="112"/>
      <c r="IR159" s="111"/>
      <c r="IS159" s="111"/>
      <c r="IT159" s="111"/>
      <c r="IU159" s="112" t="str">
        <f t="shared" si="826"/>
        <v>x</v>
      </c>
      <c r="IV159" s="112"/>
      <c r="IW159" s="112"/>
      <c r="IX159" s="112"/>
      <c r="IY159" s="111"/>
      <c r="IZ159" s="111"/>
      <c r="JA159" s="111"/>
      <c r="JB159" s="112"/>
      <c r="JC159" s="111"/>
      <c r="JD159" s="112"/>
      <c r="JE159" s="112"/>
      <c r="JF159" s="111"/>
      <c r="JG159" s="111"/>
      <c r="JH159" s="111"/>
      <c r="JI159" s="112"/>
      <c r="JJ159" s="112"/>
      <c r="JK159" s="112"/>
      <c r="JL159" s="112"/>
      <c r="JM159" s="112"/>
      <c r="JN159" s="112"/>
      <c r="JO159" s="112"/>
      <c r="JP159" s="112"/>
      <c r="JQ159" s="112"/>
      <c r="JR159" s="112"/>
      <c r="JS159" s="111"/>
      <c r="JT159" s="111"/>
      <c r="JU159" s="111"/>
      <c r="JV159" s="112"/>
      <c r="JW159" s="112"/>
      <c r="JX159" s="112"/>
      <c r="JY159" s="112"/>
      <c r="JZ159" s="112"/>
      <c r="KA159" s="112" t="str">
        <f t="shared" si="827"/>
        <v>x</v>
      </c>
      <c r="KB159" s="111"/>
      <c r="KC159" s="112" t="str">
        <f t="shared" si="796"/>
        <v>x</v>
      </c>
      <c r="KD159" s="112"/>
      <c r="KE159" s="111"/>
      <c r="KF159" s="112"/>
      <c r="KG159" s="112"/>
      <c r="KH159" s="112"/>
      <c r="KI159" s="112"/>
      <c r="KJ159" s="112"/>
      <c r="KK159" s="112"/>
      <c r="KL159" s="112"/>
      <c r="KM159" s="112"/>
      <c r="KN159" s="112"/>
      <c r="KO159" s="112"/>
      <c r="KP159" s="112"/>
      <c r="KQ159" s="112"/>
      <c r="KR159" s="112"/>
      <c r="KS159" s="112"/>
      <c r="KT159" s="112"/>
      <c r="KU159" s="112"/>
      <c r="KV159" s="112"/>
      <c r="KW159" s="112"/>
      <c r="KX159" s="112"/>
      <c r="KY159" s="112"/>
      <c r="KZ159" s="112"/>
      <c r="LA159" s="112"/>
      <c r="LB159" s="111"/>
      <c r="LC159" s="111"/>
      <c r="LD159" s="111"/>
      <c r="LE159" s="111"/>
      <c r="LF159" s="111"/>
      <c r="LG159" s="111"/>
      <c r="LH159" s="111"/>
      <c r="LI159" s="111"/>
      <c r="LJ159" s="111"/>
      <c r="LK159" s="111"/>
      <c r="LL159" s="111"/>
      <c r="LM159" s="111"/>
      <c r="LN159" s="111"/>
      <c r="LO159" s="111"/>
      <c r="LP159" s="111"/>
      <c r="LQ159" s="111"/>
      <c r="LR159" s="111"/>
      <c r="LS159" s="111"/>
      <c r="LT159" s="111"/>
      <c r="LU159" s="111"/>
      <c r="LV159" s="111"/>
      <c r="LW159" s="111"/>
      <c r="LX159" s="111"/>
      <c r="LY159" s="111"/>
      <c r="LZ159" s="111"/>
      <c r="MA159" s="111"/>
      <c r="MB159" s="111"/>
      <c r="MC159" s="111"/>
      <c r="MD159" s="111"/>
      <c r="ME159" s="111"/>
      <c r="MF159" s="111"/>
      <c r="MG159" s="111"/>
      <c r="MH159" s="111"/>
    </row>
    <row r="160" spans="1:346" x14ac:dyDescent="0.25">
      <c r="A160" s="110" t="s">
        <v>480</v>
      </c>
      <c r="B160" s="101" t="s">
        <v>60</v>
      </c>
      <c r="C160" s="102"/>
      <c r="D160" s="102"/>
      <c r="E160" s="102"/>
      <c r="F160" s="102"/>
      <c r="G160" s="102"/>
      <c r="H160" s="102"/>
      <c r="I160" s="102"/>
      <c r="J160" s="103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2" t="str">
        <f t="shared" si="771"/>
        <v>x</v>
      </c>
      <c r="AK160" s="112" t="str">
        <f t="shared" si="797"/>
        <v>x</v>
      </c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3"/>
      <c r="AV160" s="114" t="str">
        <f t="shared" si="772"/>
        <v>x</v>
      </c>
      <c r="AW160" s="114" t="str">
        <f t="shared" si="773"/>
        <v>x</v>
      </c>
      <c r="AX160" s="112" t="str">
        <f t="shared" si="798"/>
        <v>x</v>
      </c>
      <c r="AY160" s="111"/>
      <c r="AZ160" s="112" t="str">
        <f t="shared" si="774"/>
        <v>x</v>
      </c>
      <c r="BA160" s="112" t="str">
        <f t="shared" si="775"/>
        <v>x</v>
      </c>
      <c r="BB160" s="111"/>
      <c r="BC160" s="111"/>
      <c r="BD160" s="111"/>
      <c r="BE160" s="111"/>
      <c r="BF160" s="111"/>
      <c r="BG160" s="112" t="str">
        <f t="shared" si="776"/>
        <v>x</v>
      </c>
      <c r="BH160" s="112" t="str">
        <f t="shared" si="799"/>
        <v>x</v>
      </c>
      <c r="BI160" s="111"/>
      <c r="BJ160" s="111"/>
      <c r="BK160" s="111"/>
      <c r="BL160" s="112" t="str">
        <f t="shared" si="777"/>
        <v>x</v>
      </c>
      <c r="BM160" s="111"/>
      <c r="BN160" s="111"/>
      <c r="BO160" s="111"/>
      <c r="BP160" s="111"/>
      <c r="BQ160" s="111"/>
      <c r="BR160" s="112" t="str">
        <f t="shared" si="778"/>
        <v>x</v>
      </c>
      <c r="BS160" s="112"/>
      <c r="BT160" s="111"/>
      <c r="BU160" s="112" t="str">
        <f t="shared" si="779"/>
        <v>x</v>
      </c>
      <c r="BV160" s="112"/>
      <c r="BW160" s="112"/>
      <c r="BX160" s="112"/>
      <c r="BY160" s="112"/>
      <c r="BZ160" s="112" t="str">
        <f t="shared" si="780"/>
        <v>x</v>
      </c>
      <c r="CA160" s="112" t="str">
        <f t="shared" si="781"/>
        <v>x</v>
      </c>
      <c r="CB160" s="112" t="str">
        <f t="shared" si="782"/>
        <v>x</v>
      </c>
      <c r="CC160" s="112"/>
      <c r="CD160" s="112"/>
      <c r="CE160" s="111"/>
      <c r="CF160" s="112" t="str">
        <f t="shared" si="783"/>
        <v>x</v>
      </c>
      <c r="CG160" s="112"/>
      <c r="CH160" s="112"/>
      <c r="CI160" s="112"/>
      <c r="CJ160" s="112" t="str">
        <f t="shared" si="784"/>
        <v>x</v>
      </c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 t="str">
        <f t="shared" si="785"/>
        <v>x</v>
      </c>
      <c r="DA160" s="112"/>
      <c r="DB160" s="115"/>
      <c r="DC160" s="112"/>
      <c r="DD160" s="112"/>
      <c r="DE160" s="112" t="str">
        <f t="shared" si="786"/>
        <v>x</v>
      </c>
      <c r="DF160" s="115" t="str">
        <f t="shared" si="787"/>
        <v>x</v>
      </c>
      <c r="DG160" s="112" t="str">
        <f t="shared" si="788"/>
        <v>x</v>
      </c>
      <c r="DH160" s="112" t="str">
        <f t="shared" si="789"/>
        <v>x</v>
      </c>
      <c r="DI160" s="111"/>
      <c r="DJ160" s="111"/>
      <c r="DK160" s="112" t="str">
        <f t="shared" si="800"/>
        <v>x</v>
      </c>
      <c r="DL160" s="112"/>
      <c r="DM160" s="111"/>
      <c r="DN160" s="112" t="str">
        <f t="shared" si="790"/>
        <v>x</v>
      </c>
      <c r="DO160" s="111"/>
      <c r="DP160" s="111"/>
      <c r="DQ160" s="111"/>
      <c r="DR160" s="112" t="str">
        <f t="shared" si="801"/>
        <v>x</v>
      </c>
      <c r="DS160" s="112" t="str">
        <f t="shared" si="802"/>
        <v>x</v>
      </c>
      <c r="DT160" s="112"/>
      <c r="DU160" s="111"/>
      <c r="DV160" s="111"/>
      <c r="DW160" s="111"/>
      <c r="DX160" s="111"/>
      <c r="DY160" s="111"/>
      <c r="DZ160" s="111"/>
      <c r="EA160" s="112"/>
      <c r="EB160" s="111"/>
      <c r="EC160" s="111"/>
      <c r="ED160" s="111"/>
      <c r="EE160" s="111"/>
      <c r="EF160" s="111"/>
      <c r="EG160" s="111"/>
      <c r="EH160" s="111"/>
      <c r="EI160" s="112"/>
      <c r="EJ160" s="112"/>
      <c r="EK160" s="111"/>
      <c r="EL160" s="112" t="str">
        <f t="shared" si="803"/>
        <v>x</v>
      </c>
      <c r="EM160" s="111"/>
      <c r="EN160" s="111"/>
      <c r="EO160" s="117" t="str">
        <f t="shared" si="804"/>
        <v>x</v>
      </c>
      <c r="EP160" s="117" t="str">
        <f t="shared" si="805"/>
        <v>x</v>
      </c>
      <c r="EQ160" s="112" t="str">
        <f t="shared" si="806"/>
        <v>x</v>
      </c>
      <c r="ER160" s="111"/>
      <c r="ES160" s="111"/>
      <c r="ET160" s="111"/>
      <c r="EU160" s="111"/>
      <c r="EV160" s="112" t="str">
        <f t="shared" si="791"/>
        <v>x</v>
      </c>
      <c r="EW160" s="111"/>
      <c r="EX160" s="111"/>
      <c r="EY160" s="112" t="str">
        <f t="shared" si="807"/>
        <v>x</v>
      </c>
      <c r="EZ160" s="112"/>
      <c r="FA160" s="111"/>
      <c r="FB160" s="111"/>
      <c r="FC160" s="112" t="str">
        <f t="shared" si="792"/>
        <v>x</v>
      </c>
      <c r="FD160" s="112" t="str">
        <f t="shared" si="793"/>
        <v>x</v>
      </c>
      <c r="FE160" s="111"/>
      <c r="FF160" s="111"/>
      <c r="FG160" s="111"/>
      <c r="FH160" s="111"/>
      <c r="FI160" s="112" t="str">
        <f t="shared" si="808"/>
        <v>x</v>
      </c>
      <c r="FJ160" s="112" t="str">
        <f t="shared" si="809"/>
        <v>x</v>
      </c>
      <c r="FK160" s="112" t="str">
        <f t="shared" si="810"/>
        <v>x</v>
      </c>
      <c r="FL160" s="112"/>
      <c r="FM160" s="112" t="str">
        <f t="shared" si="811"/>
        <v>x</v>
      </c>
      <c r="FN160" s="112"/>
      <c r="FO160" s="112" t="str">
        <f t="shared" si="812"/>
        <v>x</v>
      </c>
      <c r="FP160" s="112"/>
      <c r="FQ160" s="112" t="str">
        <f t="shared" si="813"/>
        <v>x</v>
      </c>
      <c r="FR160" s="112" t="str">
        <f t="shared" si="814"/>
        <v>x</v>
      </c>
      <c r="FS160" s="112" t="str">
        <f t="shared" si="815"/>
        <v>x</v>
      </c>
      <c r="FT160" s="112" t="str">
        <f t="shared" si="816"/>
        <v>x</v>
      </c>
      <c r="FU160" s="112" t="str">
        <f t="shared" si="817"/>
        <v>x</v>
      </c>
      <c r="FV160" s="112" t="str">
        <f t="shared" si="818"/>
        <v>x</v>
      </c>
      <c r="FW160" s="111"/>
      <c r="FX160" s="112"/>
      <c r="FY160" s="112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2" t="str">
        <f t="shared" si="819"/>
        <v>x</v>
      </c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2" t="str">
        <f t="shared" si="628"/>
        <v>x</v>
      </c>
      <c r="HC160" s="112" t="str">
        <f t="shared" si="820"/>
        <v>x</v>
      </c>
      <c r="HD160" s="112" t="str">
        <f t="shared" si="821"/>
        <v>x</v>
      </c>
      <c r="HE160" s="112" t="str">
        <f t="shared" si="822"/>
        <v>x</v>
      </c>
      <c r="HF160" s="112" t="str">
        <f t="shared" si="823"/>
        <v>x</v>
      </c>
      <c r="HG160" s="112"/>
      <c r="HH160" s="112"/>
      <c r="HI160" s="112"/>
      <c r="HJ160" s="112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2" t="str">
        <f t="shared" si="794"/>
        <v>x</v>
      </c>
      <c r="HY160" s="112" t="str">
        <f t="shared" si="795"/>
        <v>x</v>
      </c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2"/>
      <c r="IK160" s="112" t="str">
        <f t="shared" si="824"/>
        <v>x</v>
      </c>
      <c r="IL160" s="111"/>
      <c r="IM160" s="111"/>
      <c r="IN160" s="111"/>
      <c r="IO160" s="111"/>
      <c r="IP160" s="112" t="str">
        <f t="shared" si="825"/>
        <v>x</v>
      </c>
      <c r="IQ160" s="112"/>
      <c r="IR160" s="111"/>
      <c r="IS160" s="111"/>
      <c r="IT160" s="111"/>
      <c r="IU160" s="112" t="str">
        <f t="shared" si="826"/>
        <v>x</v>
      </c>
      <c r="IV160" s="112"/>
      <c r="IW160" s="112"/>
      <c r="IX160" s="112"/>
      <c r="IY160" s="111"/>
      <c r="IZ160" s="111"/>
      <c r="JA160" s="111"/>
      <c r="JB160" s="112"/>
      <c r="JC160" s="111"/>
      <c r="JD160" s="112"/>
      <c r="JE160" s="112"/>
      <c r="JF160" s="111"/>
      <c r="JG160" s="111"/>
      <c r="JH160" s="111"/>
      <c r="JI160" s="112"/>
      <c r="JJ160" s="112"/>
      <c r="JK160" s="112"/>
      <c r="JL160" s="112"/>
      <c r="JM160" s="112"/>
      <c r="JN160" s="112"/>
      <c r="JO160" s="112"/>
      <c r="JP160" s="112"/>
      <c r="JQ160" s="112"/>
      <c r="JR160" s="112"/>
      <c r="JS160" s="111"/>
      <c r="JT160" s="111"/>
      <c r="JU160" s="111"/>
      <c r="JV160" s="112"/>
      <c r="JW160" s="112"/>
      <c r="JX160" s="112"/>
      <c r="JY160" s="112"/>
      <c r="JZ160" s="112"/>
      <c r="KA160" s="112" t="str">
        <f t="shared" si="827"/>
        <v>x</v>
      </c>
      <c r="KB160" s="111"/>
      <c r="KC160" s="112" t="str">
        <f t="shared" si="796"/>
        <v>x</v>
      </c>
      <c r="KD160" s="112"/>
      <c r="KE160" s="111"/>
      <c r="KF160" s="112"/>
      <c r="KG160" s="112"/>
      <c r="KH160" s="112"/>
      <c r="KI160" s="112"/>
      <c r="KJ160" s="112"/>
      <c r="KK160" s="112"/>
      <c r="KL160" s="112"/>
      <c r="KM160" s="112"/>
      <c r="KN160" s="112"/>
      <c r="KO160" s="112"/>
      <c r="KP160" s="112"/>
      <c r="KQ160" s="112"/>
      <c r="KR160" s="112"/>
      <c r="KS160" s="112"/>
      <c r="KT160" s="112"/>
      <c r="KU160" s="112"/>
      <c r="KV160" s="112"/>
      <c r="KW160" s="112"/>
      <c r="KX160" s="112"/>
      <c r="KY160" s="112"/>
      <c r="KZ160" s="112"/>
      <c r="LA160" s="112"/>
      <c r="LB160" s="111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</row>
    <row r="161" spans="1:346" x14ac:dyDescent="0.25">
      <c r="A161" s="110" t="s">
        <v>480</v>
      </c>
      <c r="B161" s="101" t="s">
        <v>24</v>
      </c>
      <c r="C161" s="102"/>
      <c r="D161" s="102"/>
      <c r="E161" s="102"/>
      <c r="F161" s="102"/>
      <c r="G161" s="102"/>
      <c r="H161" s="102"/>
      <c r="I161" s="102"/>
      <c r="J161" s="103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2" t="str">
        <f t="shared" si="771"/>
        <v>x</v>
      </c>
      <c r="AK161" s="112" t="str">
        <f t="shared" si="797"/>
        <v>x</v>
      </c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3"/>
      <c r="AV161" s="114" t="str">
        <f t="shared" si="772"/>
        <v>x</v>
      </c>
      <c r="AW161" s="114" t="str">
        <f t="shared" si="773"/>
        <v>x</v>
      </c>
      <c r="AX161" s="112" t="str">
        <f t="shared" si="798"/>
        <v>x</v>
      </c>
      <c r="AY161" s="111"/>
      <c r="AZ161" s="112" t="str">
        <f t="shared" si="774"/>
        <v>x</v>
      </c>
      <c r="BA161" s="112" t="str">
        <f t="shared" si="775"/>
        <v>x</v>
      </c>
      <c r="BB161" s="111"/>
      <c r="BC161" s="111"/>
      <c r="BD161" s="111"/>
      <c r="BE161" s="111"/>
      <c r="BF161" s="111"/>
      <c r="BG161" s="112" t="str">
        <f t="shared" si="776"/>
        <v>x</v>
      </c>
      <c r="BH161" s="112" t="str">
        <f t="shared" si="799"/>
        <v>x</v>
      </c>
      <c r="BI161" s="111"/>
      <c r="BJ161" s="111"/>
      <c r="BK161" s="111"/>
      <c r="BL161" s="112" t="str">
        <f t="shared" si="777"/>
        <v>x</v>
      </c>
      <c r="BM161" s="111"/>
      <c r="BN161" s="111"/>
      <c r="BO161" s="111"/>
      <c r="BP161" s="111"/>
      <c r="BQ161" s="111"/>
      <c r="BR161" s="112" t="str">
        <f t="shared" si="778"/>
        <v>x</v>
      </c>
      <c r="BS161" s="112"/>
      <c r="BT161" s="111"/>
      <c r="BU161" s="112" t="str">
        <f t="shared" si="779"/>
        <v>x</v>
      </c>
      <c r="BV161" s="112"/>
      <c r="BW161" s="112"/>
      <c r="BX161" s="112"/>
      <c r="BY161" s="112"/>
      <c r="BZ161" s="112" t="str">
        <f t="shared" si="780"/>
        <v>x</v>
      </c>
      <c r="CA161" s="112" t="str">
        <f t="shared" si="781"/>
        <v>x</v>
      </c>
      <c r="CB161" s="112" t="str">
        <f t="shared" si="782"/>
        <v>x</v>
      </c>
      <c r="CC161" s="112"/>
      <c r="CD161" s="112"/>
      <c r="CE161" s="111"/>
      <c r="CF161" s="112" t="str">
        <f t="shared" si="783"/>
        <v>x</v>
      </c>
      <c r="CG161" s="112"/>
      <c r="CH161" s="112"/>
      <c r="CI161" s="112"/>
      <c r="CJ161" s="112" t="str">
        <f t="shared" si="784"/>
        <v>x</v>
      </c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 t="str">
        <f t="shared" si="785"/>
        <v>x</v>
      </c>
      <c r="DA161" s="112"/>
      <c r="DB161" s="115"/>
      <c r="DC161" s="112"/>
      <c r="DD161" s="112"/>
      <c r="DE161" s="112" t="str">
        <f t="shared" si="786"/>
        <v>x</v>
      </c>
      <c r="DF161" s="115" t="str">
        <f t="shared" si="787"/>
        <v>x</v>
      </c>
      <c r="DG161" s="112" t="str">
        <f t="shared" si="788"/>
        <v>x</v>
      </c>
      <c r="DH161" s="112" t="str">
        <f t="shared" si="789"/>
        <v>x</v>
      </c>
      <c r="DI161" s="111"/>
      <c r="DJ161" s="111"/>
      <c r="DK161" s="112" t="str">
        <f t="shared" si="800"/>
        <v>x</v>
      </c>
      <c r="DL161" s="112"/>
      <c r="DM161" s="111"/>
      <c r="DN161" s="112" t="str">
        <f t="shared" si="790"/>
        <v>x</v>
      </c>
      <c r="DO161" s="111"/>
      <c r="DP161" s="111"/>
      <c r="DQ161" s="111"/>
      <c r="DR161" s="112" t="str">
        <f t="shared" si="801"/>
        <v>x</v>
      </c>
      <c r="DS161" s="112" t="str">
        <f t="shared" si="802"/>
        <v>x</v>
      </c>
      <c r="DT161" s="112"/>
      <c r="DU161" s="111"/>
      <c r="DV161" s="111"/>
      <c r="DW161" s="111"/>
      <c r="DX161" s="111"/>
      <c r="DY161" s="111"/>
      <c r="DZ161" s="111"/>
      <c r="EA161" s="112"/>
      <c r="EB161" s="111"/>
      <c r="EC161" s="111"/>
      <c r="ED161" s="111"/>
      <c r="EE161" s="111"/>
      <c r="EF161" s="111"/>
      <c r="EG161" s="111"/>
      <c r="EH161" s="111"/>
      <c r="EI161" s="112"/>
      <c r="EJ161" s="112"/>
      <c r="EK161" s="111"/>
      <c r="EL161" s="112" t="str">
        <f t="shared" si="803"/>
        <v>x</v>
      </c>
      <c r="EM161" s="111"/>
      <c r="EN161" s="111"/>
      <c r="EO161" s="117" t="str">
        <f t="shared" si="804"/>
        <v>x</v>
      </c>
      <c r="EP161" s="117" t="str">
        <f t="shared" si="805"/>
        <v>x</v>
      </c>
      <c r="EQ161" s="112" t="str">
        <f t="shared" si="806"/>
        <v>x</v>
      </c>
      <c r="ER161" s="111"/>
      <c r="ES161" s="111"/>
      <c r="ET161" s="111"/>
      <c r="EU161" s="111"/>
      <c r="EV161" s="112" t="str">
        <f t="shared" si="791"/>
        <v>x</v>
      </c>
      <c r="EW161" s="111"/>
      <c r="EX161" s="111"/>
      <c r="EY161" s="112" t="str">
        <f t="shared" si="807"/>
        <v>x</v>
      </c>
      <c r="EZ161" s="112"/>
      <c r="FA161" s="111"/>
      <c r="FB161" s="111"/>
      <c r="FC161" s="112" t="str">
        <f t="shared" si="792"/>
        <v>x</v>
      </c>
      <c r="FD161" s="112" t="str">
        <f t="shared" si="793"/>
        <v>x</v>
      </c>
      <c r="FE161" s="111"/>
      <c r="FF161" s="111"/>
      <c r="FG161" s="111"/>
      <c r="FH161" s="111"/>
      <c r="FI161" s="112" t="str">
        <f t="shared" si="808"/>
        <v>x</v>
      </c>
      <c r="FJ161" s="112" t="str">
        <f t="shared" si="809"/>
        <v>x</v>
      </c>
      <c r="FK161" s="112" t="str">
        <f t="shared" si="810"/>
        <v>x</v>
      </c>
      <c r="FL161" s="112"/>
      <c r="FM161" s="112" t="str">
        <f t="shared" si="811"/>
        <v>x</v>
      </c>
      <c r="FN161" s="112"/>
      <c r="FO161" s="112" t="str">
        <f t="shared" si="812"/>
        <v>x</v>
      </c>
      <c r="FP161" s="112"/>
      <c r="FQ161" s="112" t="str">
        <f t="shared" si="813"/>
        <v>x</v>
      </c>
      <c r="FR161" s="112" t="str">
        <f t="shared" si="814"/>
        <v>x</v>
      </c>
      <c r="FS161" s="112" t="str">
        <f t="shared" si="815"/>
        <v>x</v>
      </c>
      <c r="FT161" s="112" t="str">
        <f t="shared" si="816"/>
        <v>x</v>
      </c>
      <c r="FU161" s="112" t="str">
        <f t="shared" si="817"/>
        <v>x</v>
      </c>
      <c r="FV161" s="112" t="str">
        <f t="shared" si="818"/>
        <v>x</v>
      </c>
      <c r="FW161" s="111"/>
      <c r="FX161" s="112"/>
      <c r="FY161" s="112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2" t="str">
        <f t="shared" si="819"/>
        <v>x</v>
      </c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2" t="str">
        <f t="shared" si="628"/>
        <v>x</v>
      </c>
      <c r="HC161" s="112" t="str">
        <f t="shared" si="820"/>
        <v>x</v>
      </c>
      <c r="HD161" s="112" t="str">
        <f t="shared" si="821"/>
        <v>x</v>
      </c>
      <c r="HE161" s="112" t="str">
        <f t="shared" si="822"/>
        <v>x</v>
      </c>
      <c r="HF161" s="112" t="str">
        <f t="shared" si="823"/>
        <v>x</v>
      </c>
      <c r="HG161" s="112"/>
      <c r="HH161" s="112"/>
      <c r="HI161" s="112"/>
      <c r="HJ161" s="112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2" t="str">
        <f t="shared" si="794"/>
        <v>x</v>
      </c>
      <c r="HY161" s="112" t="str">
        <f t="shared" si="795"/>
        <v>x</v>
      </c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2"/>
      <c r="IK161" s="112" t="str">
        <f t="shared" si="824"/>
        <v>x</v>
      </c>
      <c r="IL161" s="111"/>
      <c r="IM161" s="111"/>
      <c r="IN161" s="111"/>
      <c r="IO161" s="111"/>
      <c r="IP161" s="112" t="str">
        <f t="shared" si="825"/>
        <v>x</v>
      </c>
      <c r="IQ161" s="112"/>
      <c r="IR161" s="111"/>
      <c r="IS161" s="111"/>
      <c r="IT161" s="111"/>
      <c r="IU161" s="112" t="str">
        <f t="shared" si="826"/>
        <v>x</v>
      </c>
      <c r="IV161" s="112"/>
      <c r="IW161" s="112"/>
      <c r="IX161" s="112"/>
      <c r="IY161" s="111"/>
      <c r="IZ161" s="111"/>
      <c r="JA161" s="111"/>
      <c r="JB161" s="112"/>
      <c r="JC161" s="111"/>
      <c r="JD161" s="112"/>
      <c r="JE161" s="112"/>
      <c r="JF161" s="111"/>
      <c r="JG161" s="111"/>
      <c r="JH161" s="111"/>
      <c r="JI161" s="112"/>
      <c r="JJ161" s="112"/>
      <c r="JK161" s="112"/>
      <c r="JL161" s="112"/>
      <c r="JM161" s="112"/>
      <c r="JN161" s="112"/>
      <c r="JO161" s="112"/>
      <c r="JP161" s="112"/>
      <c r="JQ161" s="112"/>
      <c r="JR161" s="112"/>
      <c r="JS161" s="111"/>
      <c r="JT161" s="111"/>
      <c r="JU161" s="111"/>
      <c r="JV161" s="112"/>
      <c r="JW161" s="112"/>
      <c r="JX161" s="112"/>
      <c r="JY161" s="112"/>
      <c r="JZ161" s="112"/>
      <c r="KA161" s="112" t="str">
        <f t="shared" si="827"/>
        <v>x</v>
      </c>
      <c r="KB161" s="111"/>
      <c r="KC161" s="112" t="str">
        <f t="shared" si="796"/>
        <v>x</v>
      </c>
      <c r="KD161" s="112"/>
      <c r="KE161" s="111"/>
      <c r="KF161" s="112"/>
      <c r="KG161" s="112"/>
      <c r="KH161" s="112"/>
      <c r="KI161" s="112"/>
      <c r="KJ161" s="112"/>
      <c r="KK161" s="112"/>
      <c r="KL161" s="112"/>
      <c r="KM161" s="112"/>
      <c r="KN161" s="112"/>
      <c r="KO161" s="112"/>
      <c r="KP161" s="112"/>
      <c r="KQ161" s="112"/>
      <c r="KR161" s="112"/>
      <c r="KS161" s="112"/>
      <c r="KT161" s="112"/>
      <c r="KU161" s="112"/>
      <c r="KV161" s="112"/>
      <c r="KW161" s="112"/>
      <c r="KX161" s="112"/>
      <c r="KY161" s="112"/>
      <c r="KZ161" s="112"/>
      <c r="LA161" s="112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</row>
    <row r="162" spans="1:346" x14ac:dyDescent="0.25">
      <c r="A162" s="110" t="s">
        <v>480</v>
      </c>
      <c r="B162" s="101" t="s">
        <v>77</v>
      </c>
      <c r="C162" s="102"/>
      <c r="D162" s="102"/>
      <c r="E162" s="102"/>
      <c r="F162" s="102"/>
      <c r="G162" s="102"/>
      <c r="H162" s="102"/>
      <c r="I162" s="102"/>
      <c r="J162" s="103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2" t="str">
        <f t="shared" si="771"/>
        <v>x</v>
      </c>
      <c r="AK162" s="112" t="str">
        <f t="shared" si="797"/>
        <v>x</v>
      </c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3"/>
      <c r="AV162" s="114" t="str">
        <f t="shared" si="772"/>
        <v>x</v>
      </c>
      <c r="AW162" s="114" t="str">
        <f t="shared" si="773"/>
        <v>x</v>
      </c>
      <c r="AX162" s="112" t="str">
        <f t="shared" si="798"/>
        <v>x</v>
      </c>
      <c r="AY162" s="111"/>
      <c r="AZ162" s="112" t="str">
        <f t="shared" si="774"/>
        <v>x</v>
      </c>
      <c r="BA162" s="112" t="str">
        <f t="shared" si="775"/>
        <v>x</v>
      </c>
      <c r="BB162" s="111"/>
      <c r="BC162" s="111"/>
      <c r="BD162" s="111"/>
      <c r="BE162" s="111"/>
      <c r="BF162" s="111"/>
      <c r="BG162" s="112" t="str">
        <f t="shared" si="776"/>
        <v>x</v>
      </c>
      <c r="BH162" s="112" t="str">
        <f t="shared" si="799"/>
        <v>x</v>
      </c>
      <c r="BI162" s="111"/>
      <c r="BJ162" s="111"/>
      <c r="BK162" s="111"/>
      <c r="BL162" s="112" t="str">
        <f t="shared" si="777"/>
        <v>x</v>
      </c>
      <c r="BM162" s="111"/>
      <c r="BN162" s="111"/>
      <c r="BO162" s="111"/>
      <c r="BP162" s="111"/>
      <c r="BQ162" s="111"/>
      <c r="BR162" s="112" t="str">
        <f t="shared" si="778"/>
        <v>x</v>
      </c>
      <c r="BS162" s="112"/>
      <c r="BT162" s="111"/>
      <c r="BU162" s="112" t="str">
        <f t="shared" si="779"/>
        <v>x</v>
      </c>
      <c r="BV162" s="112"/>
      <c r="BW162" s="112"/>
      <c r="BX162" s="112"/>
      <c r="BY162" s="112"/>
      <c r="BZ162" s="112" t="str">
        <f t="shared" si="780"/>
        <v>x</v>
      </c>
      <c r="CA162" s="112" t="str">
        <f t="shared" si="781"/>
        <v>x</v>
      </c>
      <c r="CB162" s="112" t="str">
        <f t="shared" si="782"/>
        <v>x</v>
      </c>
      <c r="CC162" s="112"/>
      <c r="CD162" s="112"/>
      <c r="CE162" s="111"/>
      <c r="CF162" s="112" t="str">
        <f t="shared" si="783"/>
        <v>x</v>
      </c>
      <c r="CG162" s="112"/>
      <c r="CH162" s="112"/>
      <c r="CI162" s="112"/>
      <c r="CJ162" s="112" t="str">
        <f t="shared" si="784"/>
        <v>x</v>
      </c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 t="str">
        <f t="shared" si="785"/>
        <v>x</v>
      </c>
      <c r="DA162" s="112"/>
      <c r="DB162" s="115"/>
      <c r="DC162" s="112"/>
      <c r="DD162" s="112"/>
      <c r="DE162" s="112" t="str">
        <f t="shared" si="786"/>
        <v>x</v>
      </c>
      <c r="DF162" s="115" t="str">
        <f t="shared" si="787"/>
        <v>x</v>
      </c>
      <c r="DG162" s="112" t="str">
        <f t="shared" si="788"/>
        <v>x</v>
      </c>
      <c r="DH162" s="112" t="str">
        <f t="shared" si="789"/>
        <v>x</v>
      </c>
      <c r="DI162" s="111"/>
      <c r="DJ162" s="111"/>
      <c r="DK162" s="112" t="str">
        <f t="shared" si="800"/>
        <v>x</v>
      </c>
      <c r="DL162" s="112"/>
      <c r="DM162" s="111"/>
      <c r="DN162" s="112" t="str">
        <f t="shared" si="790"/>
        <v>x</v>
      </c>
      <c r="DO162" s="111"/>
      <c r="DP162" s="111"/>
      <c r="DQ162" s="111"/>
      <c r="DR162" s="112" t="str">
        <f t="shared" si="801"/>
        <v>x</v>
      </c>
      <c r="DS162" s="112" t="str">
        <f t="shared" si="802"/>
        <v>x</v>
      </c>
      <c r="DT162" s="112"/>
      <c r="DU162" s="111"/>
      <c r="DV162" s="111"/>
      <c r="DW162" s="111"/>
      <c r="DX162" s="111"/>
      <c r="DY162" s="111"/>
      <c r="DZ162" s="111"/>
      <c r="EA162" s="112"/>
      <c r="EB162" s="111"/>
      <c r="EC162" s="111"/>
      <c r="ED162" s="111"/>
      <c r="EE162" s="111"/>
      <c r="EF162" s="111"/>
      <c r="EG162" s="111"/>
      <c r="EH162" s="111"/>
      <c r="EI162" s="112"/>
      <c r="EJ162" s="112"/>
      <c r="EK162" s="111"/>
      <c r="EL162" s="112" t="str">
        <f t="shared" si="803"/>
        <v>x</v>
      </c>
      <c r="EM162" s="111"/>
      <c r="EN162" s="111"/>
      <c r="EO162" s="117" t="str">
        <f t="shared" si="804"/>
        <v>x</v>
      </c>
      <c r="EP162" s="117" t="str">
        <f t="shared" si="805"/>
        <v>x</v>
      </c>
      <c r="EQ162" s="112" t="str">
        <f t="shared" si="806"/>
        <v>x</v>
      </c>
      <c r="ER162" s="111"/>
      <c r="ES162" s="111"/>
      <c r="ET162" s="111"/>
      <c r="EU162" s="111"/>
      <c r="EV162" s="112" t="str">
        <f t="shared" si="791"/>
        <v>x</v>
      </c>
      <c r="EW162" s="111"/>
      <c r="EX162" s="111"/>
      <c r="EY162" s="112" t="str">
        <f t="shared" si="807"/>
        <v>x</v>
      </c>
      <c r="EZ162" s="112"/>
      <c r="FA162" s="111"/>
      <c r="FB162" s="111"/>
      <c r="FC162" s="112" t="str">
        <f t="shared" si="792"/>
        <v>x</v>
      </c>
      <c r="FD162" s="112" t="str">
        <f t="shared" si="793"/>
        <v>x</v>
      </c>
      <c r="FE162" s="111"/>
      <c r="FF162" s="111"/>
      <c r="FG162" s="111"/>
      <c r="FH162" s="111"/>
      <c r="FI162" s="112" t="str">
        <f t="shared" si="808"/>
        <v>x</v>
      </c>
      <c r="FJ162" s="112" t="str">
        <f t="shared" si="809"/>
        <v>x</v>
      </c>
      <c r="FK162" s="112" t="str">
        <f t="shared" si="810"/>
        <v>x</v>
      </c>
      <c r="FL162" s="112"/>
      <c r="FM162" s="112" t="str">
        <f t="shared" si="811"/>
        <v>x</v>
      </c>
      <c r="FN162" s="112"/>
      <c r="FO162" s="112" t="str">
        <f t="shared" si="812"/>
        <v>x</v>
      </c>
      <c r="FP162" s="112"/>
      <c r="FQ162" s="112" t="str">
        <f t="shared" si="813"/>
        <v>x</v>
      </c>
      <c r="FR162" s="112" t="str">
        <f t="shared" si="814"/>
        <v>x</v>
      </c>
      <c r="FS162" s="112" t="str">
        <f t="shared" si="815"/>
        <v>x</v>
      </c>
      <c r="FT162" s="112" t="str">
        <f t="shared" si="816"/>
        <v>x</v>
      </c>
      <c r="FU162" s="112" t="str">
        <f t="shared" si="817"/>
        <v>x</v>
      </c>
      <c r="FV162" s="112" t="str">
        <f t="shared" si="818"/>
        <v>x</v>
      </c>
      <c r="FW162" s="111"/>
      <c r="FX162" s="112"/>
      <c r="FY162" s="112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2" t="str">
        <f t="shared" si="819"/>
        <v>x</v>
      </c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2" t="str">
        <f t="shared" si="628"/>
        <v>x</v>
      </c>
      <c r="HC162" s="112" t="str">
        <f t="shared" si="820"/>
        <v>x</v>
      </c>
      <c r="HD162" s="112" t="str">
        <f t="shared" si="821"/>
        <v>x</v>
      </c>
      <c r="HE162" s="112" t="str">
        <f t="shared" si="822"/>
        <v>x</v>
      </c>
      <c r="HF162" s="112" t="str">
        <f t="shared" si="823"/>
        <v>x</v>
      </c>
      <c r="HG162" s="112"/>
      <c r="HH162" s="112"/>
      <c r="HI162" s="112"/>
      <c r="HJ162" s="112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2" t="str">
        <f t="shared" si="794"/>
        <v>x</v>
      </c>
      <c r="HY162" s="112" t="str">
        <f t="shared" si="795"/>
        <v>x</v>
      </c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2"/>
      <c r="IK162" s="112" t="str">
        <f t="shared" si="824"/>
        <v>x</v>
      </c>
      <c r="IL162" s="111"/>
      <c r="IM162" s="111"/>
      <c r="IN162" s="111"/>
      <c r="IO162" s="111"/>
      <c r="IP162" s="112" t="str">
        <f t="shared" si="825"/>
        <v>x</v>
      </c>
      <c r="IQ162" s="112"/>
      <c r="IR162" s="111"/>
      <c r="IS162" s="111"/>
      <c r="IT162" s="111"/>
      <c r="IU162" s="112" t="str">
        <f t="shared" si="826"/>
        <v>x</v>
      </c>
      <c r="IV162" s="112"/>
      <c r="IW162" s="112"/>
      <c r="IX162" s="112"/>
      <c r="IY162" s="111"/>
      <c r="IZ162" s="111"/>
      <c r="JA162" s="111"/>
      <c r="JB162" s="112"/>
      <c r="JC162" s="111"/>
      <c r="JD162" s="112"/>
      <c r="JE162" s="112"/>
      <c r="JF162" s="111"/>
      <c r="JG162" s="111"/>
      <c r="JH162" s="111"/>
      <c r="JI162" s="112"/>
      <c r="JJ162" s="112"/>
      <c r="JK162" s="112"/>
      <c r="JL162" s="112"/>
      <c r="JM162" s="112"/>
      <c r="JN162" s="112"/>
      <c r="JO162" s="112"/>
      <c r="JP162" s="112"/>
      <c r="JQ162" s="112"/>
      <c r="JR162" s="112"/>
      <c r="JS162" s="111"/>
      <c r="JT162" s="111"/>
      <c r="JU162" s="111"/>
      <c r="JV162" s="112"/>
      <c r="JW162" s="112"/>
      <c r="JX162" s="112"/>
      <c r="JY162" s="112"/>
      <c r="JZ162" s="112"/>
      <c r="KA162" s="112" t="str">
        <f t="shared" si="827"/>
        <v>x</v>
      </c>
      <c r="KB162" s="111"/>
      <c r="KC162" s="112" t="str">
        <f t="shared" si="796"/>
        <v>x</v>
      </c>
      <c r="KD162" s="112"/>
      <c r="KE162" s="111"/>
      <c r="KF162" s="112"/>
      <c r="KG162" s="112"/>
      <c r="KH162" s="112"/>
      <c r="KI162" s="112"/>
      <c r="KJ162" s="112"/>
      <c r="KK162" s="112"/>
      <c r="KL162" s="112"/>
      <c r="KM162" s="112"/>
      <c r="KN162" s="112"/>
      <c r="KO162" s="112"/>
      <c r="KP162" s="112"/>
      <c r="KQ162" s="112"/>
      <c r="KR162" s="112"/>
      <c r="KS162" s="112"/>
      <c r="KT162" s="112"/>
      <c r="KU162" s="112"/>
      <c r="KV162" s="112"/>
      <c r="KW162" s="112"/>
      <c r="KX162" s="112"/>
      <c r="KY162" s="112"/>
      <c r="KZ162" s="112"/>
      <c r="LA162" s="112"/>
      <c r="LB162" s="111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</row>
    <row r="163" spans="1:346" x14ac:dyDescent="0.25">
      <c r="A163" s="101" t="s">
        <v>481</v>
      </c>
      <c r="B163" s="102"/>
      <c r="C163" s="102"/>
      <c r="D163" s="102"/>
      <c r="E163" s="102"/>
      <c r="F163" s="102"/>
      <c r="G163" s="102"/>
      <c r="H163" s="102"/>
      <c r="I163" s="102"/>
      <c r="J163" s="103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6"/>
      <c r="AV163" s="106"/>
      <c r="AW163" s="106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9"/>
      <c r="EP163" s="109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5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</row>
    <row r="164" spans="1:346" x14ac:dyDescent="0.25">
      <c r="A164" s="110" t="s">
        <v>481</v>
      </c>
      <c r="B164" s="101" t="s">
        <v>482</v>
      </c>
      <c r="C164" s="102"/>
      <c r="D164" s="102"/>
      <c r="E164" s="102"/>
      <c r="F164" s="102"/>
      <c r="G164" s="102"/>
      <c r="H164" s="102"/>
      <c r="I164" s="102"/>
      <c r="J164" s="103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2"/>
      <c r="AO164" s="112"/>
      <c r="AP164" s="112"/>
      <c r="AQ164" s="112"/>
      <c r="AR164" s="112"/>
      <c r="AS164" s="112"/>
      <c r="AT164" s="112"/>
      <c r="AU164" s="113"/>
      <c r="AV164" s="114" t="str">
        <f>HYPERLINK("http://sab.landtag.sachsen.de/dokumente/landtagskurier/SAB_DeutschLernen_DinA5_WEB141115.pdf","x")</f>
        <v>x</v>
      </c>
      <c r="AW164" s="114" t="str">
        <f>HYPERLINK("http://sab.landtag.sachsen.de/dokumente/landtagskurier/SAB_PL_Lernposter_WEB091115.pdf","x")</f>
        <v>x</v>
      </c>
      <c r="AX164" s="111"/>
      <c r="AY164" s="111"/>
      <c r="AZ16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4" s="112" t="str">
        <f>HYPERLINK("http://wie-kann-ich-helfen.info/WoerterbuchAnalphabet_innen_%28c%29_Dagmar_Schmeelcke.pdf","x")</f>
        <v>x</v>
      </c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 t="str">
        <f>HYPERLINK("http://www.goethe.de/lrn/prj/wnd/deu/lti/deindex.htm#13322010","x")</f>
        <v>x</v>
      </c>
      <c r="BS164" s="112"/>
      <c r="BT164" s="111"/>
      <c r="BU164" s="112" t="str">
        <f>HYPERLINK("https://s3-eu-west-1.amazonaws.com/lingolia/download/lingolia_daf.pdf","x")</f>
        <v>x</v>
      </c>
      <c r="BV164" s="112"/>
      <c r="BW164" s="112"/>
      <c r="BX164" s="112"/>
      <c r="BY164" s="112"/>
      <c r="BZ164" s="112" t="str">
        <f>HYPERLINK("http://www.hueber.de/shared/uebungen/schritte-plus","x")</f>
        <v>x</v>
      </c>
      <c r="CA164" s="112" t="str">
        <f>HYPERLINK("https://www.hueber.de/shared/uebungen/menschen-hier/ab/a1-1/menu.html","x")</f>
        <v>x</v>
      </c>
      <c r="CB164" s="112" t="str">
        <f>HYPERLINK("http://www.goethe-verlag.com/DE/","x")</f>
        <v>x</v>
      </c>
      <c r="CC164" s="112"/>
      <c r="CD164" s="112"/>
      <c r="CE164" s="111"/>
      <c r="CF164" s="111"/>
      <c r="CG164" s="111"/>
      <c r="CH164" s="111"/>
      <c r="CI164" s="112"/>
      <c r="CJ164" s="112" t="str">
        <f>HYPERLINK("http://www.e-migrantinnen.de/index.php?de_wichtige-links","x")</f>
        <v>x</v>
      </c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5"/>
      <c r="DC164" s="112"/>
      <c r="DD164" s="112"/>
      <c r="DE164" s="112" t="str">
        <f>HYPERLINK("http://fi-lohmar-siegburg.de/data/documents/130-37_Inklusion_im_Anfangsunterricht_-_Poster_mit_Situationsbildern.pdf","x")</f>
        <v>x</v>
      </c>
      <c r="DF164" s="115" t="str">
        <f>HYPERLINK("http://s3-eu-west-1.amazonaws.com/lingolia/calendar/2016/lingolia_2016_de.pdf","x")</f>
        <v>x</v>
      </c>
      <c r="DG164" s="112" t="str">
        <f>HYPERLINK("http://www.bibliomedia.ch/de/angebote/img/Wimmelbild.jpg","x")</f>
        <v>x</v>
      </c>
      <c r="DH164" s="112" t="str">
        <f t="shared" ref="DH164:DH165" si="828">HYPERLINK("http://www.bibliomedia.ch/de/angebote/dokumente/Wimmelbild_Fehler.jpg","x")</f>
        <v>x</v>
      </c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2"/>
      <c r="DU164" s="111"/>
      <c r="DV164" s="111"/>
      <c r="DW164" s="111"/>
      <c r="DX164" s="111"/>
      <c r="DY164" s="111"/>
      <c r="DZ164" s="111"/>
      <c r="EA164" s="112"/>
      <c r="EB164" s="112"/>
      <c r="EC164" s="111"/>
      <c r="ED164" s="111"/>
      <c r="EE164" s="111"/>
      <c r="EF164" s="111"/>
      <c r="EG164" s="111"/>
      <c r="EH164" s="111"/>
      <c r="EI164" s="112"/>
      <c r="EJ164" s="112"/>
      <c r="EK164" s="111"/>
      <c r="EL164" s="112" t="str">
        <f>HYPERLINK("http://www.kvs-sachsen.de/fileadmin/img/Mitglieder/Asylbewerber/Allg-Informationen/Anlage_1_Sorani_LEK.pdf","x")</f>
        <v>x</v>
      </c>
      <c r="EM164" s="112"/>
      <c r="EN164" s="111"/>
      <c r="EO164" s="117"/>
      <c r="EP164" s="118"/>
      <c r="EQ164" s="112" t="str">
        <f>HYPERLINK("http://www.kvs-sachsen.de/fileadmin/img/Mitglieder/Asylbewerber/Allg-Informationen/Anlagen_2-1_2-2_Sorani_LEK.pdf","x")</f>
        <v>x</v>
      </c>
      <c r="ER164" s="111"/>
      <c r="ES164" s="111"/>
      <c r="ET164" s="111"/>
      <c r="EU164" s="111"/>
      <c r="EV164" s="112" t="str">
        <f t="shared" ref="EV164:EV165" si="829">HYPERLINK("http://www.lak-rlp.de/fileadmin/redakteure/pdf/download/Piktogramme_Dosieretiketten_AoG.pdf","x")</f>
        <v>x</v>
      </c>
      <c r="EW164" s="111"/>
      <c r="EX164" s="111"/>
      <c r="EY164" s="111"/>
      <c r="EZ164" s="111"/>
      <c r="FA164" s="111"/>
      <c r="FB164" s="111"/>
      <c r="FC164" s="112" t="str">
        <f>HYPERLINK("http://mige.ix-tech.de/index.php?id=241","x")</f>
        <v>x</v>
      </c>
      <c r="FD164" s="112"/>
      <c r="FE164" s="111"/>
      <c r="FF164" s="111"/>
      <c r="FG164" s="111"/>
      <c r="FH164" s="111"/>
      <c r="FI164" s="112"/>
      <c r="FJ164" s="112"/>
      <c r="FK164" s="111"/>
      <c r="FL164" s="111"/>
      <c r="FM164" s="112"/>
      <c r="FN164" s="112"/>
      <c r="FO164" s="112"/>
      <c r="FP164" s="111"/>
      <c r="FQ164" s="112"/>
      <c r="FR164" s="112"/>
      <c r="FS164" s="112"/>
      <c r="FT164" s="112"/>
      <c r="FU164" s="112"/>
      <c r="FV164" s="112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2"/>
      <c r="GH164" s="111"/>
      <c r="GI164" s="111"/>
      <c r="GJ164" s="111"/>
      <c r="GK164" s="111"/>
      <c r="GL164" s="112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2" t="str">
        <f t="shared" ref="HB164:HB165" si="830">HYPERLINK("https://www.zahnaerzte-wl.de/images/_PDF-suche/KZV_ZÄK/piktogrammheft.pdf","x")</f>
        <v>x</v>
      </c>
      <c r="HC164" s="112" t="str">
        <f>HYPERLINK("https://www.zahnaerzte-wl.de/images/_PDF-suche/KZV_ZÄK/ENDSTAND_Ankreuzbogen_Ich_verstehe.pdf","x")</f>
        <v>x</v>
      </c>
      <c r="HD164" s="112" t="str">
        <f>HYPERLINK("https://www.zahnaerzte-wl.de/images/_PDF-suche/KZV_ZÄK/Anschreiben_Patienten_kurdisch_sorani.pdf","x")</f>
        <v>x</v>
      </c>
      <c r="HE164" s="112" t="str">
        <f>HYPERLINK("https://www.zahnaerzte-wl.de/images/_PDF-suche/KZV_ZÄK/Fragebogen_Kurdisch-Sorani.pdf","x")</f>
        <v>x</v>
      </c>
      <c r="HF164" s="112" t="str">
        <f>HYPERLINK("https://www.zahnaerzte-wl.de/images/_PDF-suche/KZV_ZÄK/Patientenerhebungsbogen_Kurdisch-Sorani.pdf","x")</f>
        <v>x</v>
      </c>
      <c r="HG164" s="111"/>
      <c r="HH164" s="111"/>
      <c r="HI164" s="111"/>
      <c r="HJ164" s="112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2" t="str">
        <f>HYPERLINK("http://www.selfhelpfortrauma.org/","x")</f>
        <v>x</v>
      </c>
      <c r="HY164" s="112" t="str">
        <f>HYPERLINK("http://peacefulheart.se/wp-content/uploads/2014/12/Resolving-Yesterday-20141201-Self-Tapping.pdf","x")</f>
        <v>x</v>
      </c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2"/>
      <c r="IK164" s="111"/>
      <c r="IL164" s="111"/>
      <c r="IM164" s="111"/>
      <c r="IN164" s="111"/>
      <c r="IO164" s="111"/>
      <c r="IP164" s="112"/>
      <c r="IQ164" s="112"/>
      <c r="IR164" s="111"/>
      <c r="IS164" s="111"/>
      <c r="IT164" s="111"/>
      <c r="IU164" s="112"/>
      <c r="IV164" s="112"/>
      <c r="IW164" s="112"/>
      <c r="IX164" s="112"/>
      <c r="IY164" s="111"/>
      <c r="IZ164" s="111"/>
      <c r="JA164" s="111"/>
      <c r="JB164" s="112"/>
      <c r="JC164" s="111"/>
      <c r="JD164" s="112"/>
      <c r="JE164" s="112"/>
      <c r="JF164" s="112"/>
      <c r="JG164" s="112"/>
      <c r="JH164" s="111"/>
      <c r="JI164" s="112"/>
      <c r="JJ164" s="112"/>
      <c r="JK164" s="112"/>
      <c r="JL164" s="112"/>
      <c r="JM164" s="112"/>
      <c r="JN164" s="112"/>
      <c r="JO164" s="112"/>
      <c r="JP164" s="112"/>
      <c r="JQ164" s="112"/>
      <c r="JR164" s="112"/>
      <c r="JS164" s="112"/>
      <c r="JT164" s="111"/>
      <c r="JU164" s="111"/>
      <c r="JV164" s="112"/>
      <c r="JW164" s="112"/>
      <c r="JX164" s="111"/>
      <c r="JY164" s="111"/>
      <c r="JZ164" s="111"/>
      <c r="KA164" s="111"/>
      <c r="KB164" s="111"/>
      <c r="KC164" s="111"/>
      <c r="KD164" s="111"/>
      <c r="KE164" s="112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</row>
    <row r="165" spans="1:346" x14ac:dyDescent="0.25">
      <c r="A165" s="110" t="s">
        <v>481</v>
      </c>
      <c r="B165" s="101" t="s">
        <v>74</v>
      </c>
      <c r="C165" s="102"/>
      <c r="D165" s="102"/>
      <c r="E165" s="102"/>
      <c r="F165" s="102"/>
      <c r="G165" s="102"/>
      <c r="H165" s="102"/>
      <c r="I165" s="102"/>
      <c r="J165" s="103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2"/>
      <c r="AO165" s="112"/>
      <c r="AP165" s="112"/>
      <c r="AQ165" s="112"/>
      <c r="AR165" s="112"/>
      <c r="AS165" s="112"/>
      <c r="AT165" s="112"/>
      <c r="AU165" s="113"/>
      <c r="AV165" s="114" t="str">
        <f>HYPERLINK("http://sab.landtag.sachsen.de/dokumente/landtagskurier/SAB_DeutschLernen_DinA5_WEB141115.pdf","x")</f>
        <v>x</v>
      </c>
      <c r="AW165" s="114" t="str">
        <f>HYPERLINK("http://sab.landtag.sachsen.de/dokumente/landtagskurier/SAB_PL_Lernposter_WEB091115.pdf","x")</f>
        <v>x</v>
      </c>
      <c r="AX165" s="111"/>
      <c r="AY165" s="111"/>
      <c r="AZ16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5" s="112" t="str">
        <f>HYPERLINK("http://wie-kann-ich-helfen.info/WoerterbuchAnalphabet_innen_%28c%29_Dagmar_Schmeelcke.pdf","x")</f>
        <v>x</v>
      </c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 t="str">
        <f>HYPERLINK("http://www.goethe.de/lrn/prj/wnd/deu/lti/deindex.htm#13322010","x")</f>
        <v>x</v>
      </c>
      <c r="BS165" s="112"/>
      <c r="BT165" s="111"/>
      <c r="BU165" s="112" t="str">
        <f>HYPERLINK("https://s3-eu-west-1.amazonaws.com/lingolia/download/lingolia_daf.pdf","x")</f>
        <v>x</v>
      </c>
      <c r="BV165" s="112"/>
      <c r="BW165" s="112"/>
      <c r="BX165" s="112"/>
      <c r="BY165" s="112"/>
      <c r="BZ165" s="112" t="str">
        <f>HYPERLINK("http://www.hueber.de/shared/uebungen/schritte-plus","x")</f>
        <v>x</v>
      </c>
      <c r="CA165" s="112" t="str">
        <f>HYPERLINK("https://www.hueber.de/shared/uebungen/menschen-hier/ab/a1-1/menu.html","x")</f>
        <v>x</v>
      </c>
      <c r="CB165" s="112" t="str">
        <f>HYPERLINK("http://www.goethe-verlag.com/DE/","x")</f>
        <v>x</v>
      </c>
      <c r="CC165" s="112"/>
      <c r="CD165" s="112"/>
      <c r="CE165" s="111"/>
      <c r="CF165" s="111"/>
      <c r="CG165" s="111"/>
      <c r="CH165" s="111"/>
      <c r="CI165" s="112"/>
      <c r="CJ165" s="112" t="str">
        <f>HYPERLINK("http://www.e-migrantinnen.de/index.php?de_wichtige-links","x")</f>
        <v>x</v>
      </c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5"/>
      <c r="DC165" s="112"/>
      <c r="DD165" s="112"/>
      <c r="DE165" s="112" t="str">
        <f>HYPERLINK("http://fi-lohmar-siegburg.de/data/documents/130-37_Inklusion_im_Anfangsunterricht_-_Poster_mit_Situationsbildern.pdf","x")</f>
        <v>x</v>
      </c>
      <c r="DF165" s="115" t="str">
        <f>HYPERLINK("http://s3-eu-west-1.amazonaws.com/lingolia/calendar/2016/lingolia_2016_de.pdf","x")</f>
        <v>x</v>
      </c>
      <c r="DG165" s="112" t="str">
        <f>HYPERLINK("http://www.bibliomedia.ch/de/angebote/img/Wimmelbild.jpg","x")</f>
        <v>x</v>
      </c>
      <c r="DH165" s="112" t="str">
        <f t="shared" si="828"/>
        <v>x</v>
      </c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2"/>
      <c r="DU165" s="111"/>
      <c r="DV165" s="111"/>
      <c r="DW165" s="111"/>
      <c r="DX165" s="111"/>
      <c r="DY165" s="111"/>
      <c r="DZ165" s="111"/>
      <c r="EA165" s="112"/>
      <c r="EB165" s="112"/>
      <c r="EC165" s="111"/>
      <c r="ED165" s="111"/>
      <c r="EE165" s="111"/>
      <c r="EF165" s="111"/>
      <c r="EG165" s="111"/>
      <c r="EH165" s="111"/>
      <c r="EI165" s="112"/>
      <c r="EJ165" s="112"/>
      <c r="EK165" s="111"/>
      <c r="EL165" s="112" t="str">
        <f>HYPERLINK("http://www.kvs-sachsen.de/fileadmin/img/Mitglieder/Asylbewerber/Allg-Informationen/Anlage_1_Sorani_LEK.pdf","x")</f>
        <v>x</v>
      </c>
      <c r="EM165" s="112"/>
      <c r="EN165" s="111"/>
      <c r="EO165" s="117"/>
      <c r="EP165" s="118"/>
      <c r="EQ165" s="112" t="str">
        <f>HYPERLINK("http://www.kvs-sachsen.de/fileadmin/img/Mitglieder/Asylbewerber/Allg-Informationen/Anlagen_2-1_2-2_Sorani_LEK.pdf","x")</f>
        <v>x</v>
      </c>
      <c r="ER165" s="111"/>
      <c r="ES165" s="111"/>
      <c r="ET165" s="111"/>
      <c r="EU165" s="111"/>
      <c r="EV165" s="112" t="str">
        <f t="shared" si="829"/>
        <v>x</v>
      </c>
      <c r="EW165" s="111"/>
      <c r="EX165" s="111"/>
      <c r="EY165" s="111"/>
      <c r="EZ165" s="111"/>
      <c r="FA165" s="111"/>
      <c r="FB165" s="111"/>
      <c r="FC165" s="112" t="str">
        <f>HYPERLINK("http://mige.ix-tech.de/index.php?id=241","x")</f>
        <v>x</v>
      </c>
      <c r="FD165" s="112"/>
      <c r="FE165" s="111"/>
      <c r="FF165" s="111"/>
      <c r="FG165" s="111"/>
      <c r="FH165" s="111"/>
      <c r="FI165" s="112"/>
      <c r="FJ165" s="112"/>
      <c r="FK165" s="111"/>
      <c r="FL165" s="111"/>
      <c r="FM165" s="112"/>
      <c r="FN165" s="112"/>
      <c r="FO165" s="112"/>
      <c r="FP165" s="111"/>
      <c r="FQ165" s="112"/>
      <c r="FR165" s="112"/>
      <c r="FS165" s="112"/>
      <c r="FT165" s="112"/>
      <c r="FU165" s="112"/>
      <c r="FV165" s="112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2"/>
      <c r="GH165" s="111"/>
      <c r="GI165" s="111"/>
      <c r="GJ165" s="111"/>
      <c r="GK165" s="111"/>
      <c r="GL165" s="112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2" t="str">
        <f t="shared" si="830"/>
        <v>x</v>
      </c>
      <c r="HC165" s="112" t="str">
        <f>HYPERLINK("https://www.zahnaerzte-wl.de/images/_PDF-suche/KZV_ZÄK/ENDSTAND_Ankreuzbogen_Ich_verstehe.pdf","x")</f>
        <v>x</v>
      </c>
      <c r="HD165" s="112" t="str">
        <f>HYPERLINK("https://www.zahnaerzte-wl.de/images/_PDF-suche/KZV_ZÄK/Anschreiben_Patienten_kurdisch_sorani.pdf","x")</f>
        <v>x</v>
      </c>
      <c r="HE165" s="112" t="str">
        <f>HYPERLINK("https://www.zahnaerzte-wl.de/images/_PDF-suche/KZV_ZÄK/Fragebogen_Kurdisch-Sorani.pdf","x")</f>
        <v>x</v>
      </c>
      <c r="HF165" s="112" t="str">
        <f>HYPERLINK("https://www.zahnaerzte-wl.de/images/_PDF-suche/KZV_ZÄK/Patientenerhebungsbogen_Kurdisch-Sorani.pdf","x")</f>
        <v>x</v>
      </c>
      <c r="HG165" s="111"/>
      <c r="HH165" s="111"/>
      <c r="HI165" s="111"/>
      <c r="HJ165" s="112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2" t="str">
        <f>HYPERLINK("http://www.selfhelpfortrauma.org/","x")</f>
        <v>x</v>
      </c>
      <c r="HY165" s="112" t="str">
        <f>HYPERLINK("http://peacefulheart.se/wp-content/uploads/2014/12/Resolving-Yesterday-20141201-Self-Tapping.pdf","x")</f>
        <v>x</v>
      </c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2"/>
      <c r="IK165" s="111"/>
      <c r="IL165" s="111"/>
      <c r="IM165" s="111"/>
      <c r="IN165" s="111"/>
      <c r="IO165" s="111"/>
      <c r="IP165" s="112"/>
      <c r="IQ165" s="112"/>
      <c r="IR165" s="111"/>
      <c r="IS165" s="111"/>
      <c r="IT165" s="111"/>
      <c r="IU165" s="112"/>
      <c r="IV165" s="112"/>
      <c r="IW165" s="112"/>
      <c r="IX165" s="112"/>
      <c r="IY165" s="111"/>
      <c r="IZ165" s="111"/>
      <c r="JA165" s="111"/>
      <c r="JB165" s="112"/>
      <c r="JC165" s="111"/>
      <c r="JD165" s="112"/>
      <c r="JE165" s="112"/>
      <c r="JF165" s="112"/>
      <c r="JG165" s="112"/>
      <c r="JH165" s="111"/>
      <c r="JI165" s="112"/>
      <c r="JJ165" s="112"/>
      <c r="JK165" s="112"/>
      <c r="JL165" s="112"/>
      <c r="JM165" s="112"/>
      <c r="JN165" s="112"/>
      <c r="JO165" s="112"/>
      <c r="JP165" s="112"/>
      <c r="JQ165" s="112"/>
      <c r="JR165" s="112"/>
      <c r="JS165" s="112"/>
      <c r="JT165" s="111"/>
      <c r="JU165" s="111"/>
      <c r="JV165" s="112"/>
      <c r="JW165" s="112"/>
      <c r="JX165" s="111"/>
      <c r="JY165" s="111"/>
      <c r="JZ165" s="111"/>
      <c r="KA165" s="111"/>
      <c r="KB165" s="111"/>
      <c r="KC165" s="111"/>
      <c r="KD165" s="111"/>
      <c r="KE165" s="112"/>
      <c r="KF165" s="111"/>
      <c r="KG165" s="111"/>
      <c r="KH165" s="111"/>
      <c r="KI165" s="111"/>
      <c r="KJ165" s="111"/>
      <c r="KK165" s="111"/>
      <c r="KL165" s="111"/>
      <c r="KM165" s="111"/>
      <c r="KN165" s="111"/>
      <c r="KO165" s="111"/>
      <c r="KP165" s="111"/>
      <c r="KQ165" s="111"/>
      <c r="KR165" s="111"/>
      <c r="KS165" s="111"/>
      <c r="KT165" s="111"/>
      <c r="KU165" s="111"/>
      <c r="KV165" s="111"/>
      <c r="KW165" s="111"/>
      <c r="KX165" s="111"/>
      <c r="KY165" s="111"/>
      <c r="KZ165" s="111"/>
      <c r="LA165" s="111"/>
      <c r="LB165" s="111"/>
      <c r="LC165" s="111"/>
      <c r="LD165" s="111"/>
      <c r="LE165" s="111"/>
      <c r="LF165" s="111"/>
      <c r="LG165" s="111"/>
      <c r="LH165" s="111"/>
      <c r="LI165" s="111"/>
      <c r="LJ165" s="111"/>
      <c r="LK165" s="111"/>
      <c r="LL165" s="111"/>
      <c r="LM165" s="111"/>
      <c r="LN165" s="111"/>
      <c r="LO165" s="111"/>
      <c r="LP165" s="111"/>
      <c r="LQ165" s="111"/>
      <c r="LR165" s="111"/>
      <c r="LS165" s="111"/>
      <c r="LT165" s="111"/>
      <c r="LU165" s="111"/>
      <c r="LV165" s="111"/>
      <c r="LW165" s="111"/>
      <c r="LX165" s="111"/>
      <c r="LY165" s="111"/>
      <c r="LZ165" s="111"/>
      <c r="MA165" s="111"/>
      <c r="MB165" s="111"/>
      <c r="MC165" s="111"/>
      <c r="MD165" s="111"/>
      <c r="ME165" s="111"/>
      <c r="MF165" s="111"/>
      <c r="MG165" s="111"/>
      <c r="MH165" s="111"/>
    </row>
    <row r="166" spans="1:346" x14ac:dyDescent="0.25">
      <c r="A166" s="101" t="s">
        <v>6</v>
      </c>
      <c r="B166" s="102"/>
      <c r="C166" s="102"/>
      <c r="D166" s="102"/>
      <c r="E166" s="102"/>
      <c r="F166" s="102"/>
      <c r="G166" s="102"/>
      <c r="H166" s="102"/>
      <c r="I166" s="102"/>
      <c r="J166" s="103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6"/>
      <c r="AV166" s="106"/>
      <c r="AW166" s="106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9"/>
      <c r="EP166" s="109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5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4"/>
      <c r="JN166" s="104"/>
      <c r="JO166" s="104"/>
      <c r="JP166" s="104"/>
      <c r="JQ166" s="104"/>
      <c r="JR166" s="104"/>
      <c r="JS166" s="104"/>
      <c r="JT166" s="104"/>
      <c r="JU166" s="104"/>
      <c r="JV166" s="104"/>
      <c r="JW166" s="104"/>
      <c r="JX166" s="104"/>
      <c r="JY166" s="104"/>
      <c r="JZ166" s="104"/>
      <c r="KA166" s="104"/>
      <c r="KB166" s="104"/>
      <c r="KC166" s="104"/>
      <c r="KD166" s="104"/>
      <c r="KE166" s="104"/>
      <c r="KF166" s="104"/>
      <c r="KG166" s="104"/>
      <c r="KH166" s="104"/>
      <c r="KI166" s="104"/>
      <c r="KJ166" s="104"/>
      <c r="KK166" s="104"/>
      <c r="KL166" s="104"/>
      <c r="KM166" s="104"/>
      <c r="KN166" s="104"/>
      <c r="KO166" s="104"/>
      <c r="KP166" s="104"/>
      <c r="KQ166" s="104"/>
      <c r="KR166" s="104"/>
      <c r="KS166" s="104"/>
      <c r="KT166" s="104"/>
      <c r="KU166" s="104"/>
      <c r="KV166" s="104"/>
      <c r="KW166" s="104"/>
      <c r="KX166" s="104"/>
      <c r="KY166" s="104"/>
      <c r="KZ166" s="104"/>
      <c r="LA166" s="104"/>
      <c r="LB166" s="104"/>
      <c r="LC166" s="104"/>
      <c r="LD166" s="104"/>
      <c r="LE166" s="104"/>
      <c r="LF166" s="104"/>
      <c r="LG166" s="104"/>
      <c r="LH166" s="104"/>
      <c r="LI166" s="104"/>
      <c r="LJ166" s="104"/>
      <c r="LK166" s="104"/>
      <c r="LL166" s="104"/>
      <c r="LM166" s="104"/>
      <c r="LN166" s="104"/>
      <c r="LO166" s="104"/>
      <c r="LP166" s="104"/>
      <c r="LQ166" s="104"/>
      <c r="LR166" s="104"/>
      <c r="LS166" s="104"/>
      <c r="LT166" s="104"/>
      <c r="LU166" s="104"/>
      <c r="LV166" s="104"/>
      <c r="LW166" s="104"/>
      <c r="LX166" s="104"/>
      <c r="LY166" s="104"/>
      <c r="LZ166" s="104"/>
      <c r="MA166" s="104"/>
      <c r="MB166" s="104"/>
      <c r="MC166" s="104"/>
      <c r="MD166" s="104"/>
      <c r="ME166" s="104"/>
      <c r="MF166" s="104"/>
      <c r="MG166" s="104"/>
      <c r="MH166" s="104"/>
    </row>
    <row r="167" spans="1:346" x14ac:dyDescent="0.25">
      <c r="A167" s="110" t="s">
        <v>6</v>
      </c>
      <c r="B167" s="101" t="s">
        <v>78</v>
      </c>
      <c r="C167" s="102"/>
      <c r="D167" s="102"/>
      <c r="E167" s="102"/>
      <c r="F167" s="102"/>
      <c r="G167" s="102"/>
      <c r="H167" s="102"/>
      <c r="I167" s="102"/>
      <c r="J167" s="103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3"/>
      <c r="AV167" s="114" t="str">
        <f>HYPERLINK("http://sab.landtag.sachsen.de/dokumente/landtagskurier/SAB_DeutschLernen_DinA5_WEB141115.pdf","x")</f>
        <v>x</v>
      </c>
      <c r="AW167" s="114" t="str">
        <f>HYPERLINK("http://sab.landtag.sachsen.de/dokumente/landtagskurier/SAB_PL_Lernposter_WEB091115.pdf","x")</f>
        <v>x</v>
      </c>
      <c r="AX167" s="111"/>
      <c r="AY167" s="111"/>
      <c r="AZ16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7" s="112" t="str">
        <f>HYPERLINK("http://wie-kann-ich-helfen.info/WoerterbuchAnalphabet_innen_%28c%29_Dagmar_Schmeelcke.pdf","x")</f>
        <v>x</v>
      </c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2" t="str">
        <f>HYPERLINK("http://www.bundessprachenamt.de/deutsch/wir_ueber_uns/nachrichten/2015/20151103/Verständigungshilfe_Mazedonisch_03_12_2015.pdf","x")</f>
        <v>x</v>
      </c>
      <c r="BL167" s="111"/>
      <c r="BM167" s="111"/>
      <c r="BN167" s="111"/>
      <c r="BO167" s="111"/>
      <c r="BP167" s="111"/>
      <c r="BQ167" s="111"/>
      <c r="BR167" s="112" t="str">
        <f>HYPERLINK("http://www.goethe.de/lrn/prj/wnd/deu/lti/deindex.htm#13322010","x")</f>
        <v>x</v>
      </c>
      <c r="BS167" s="112"/>
      <c r="BT167" s="111"/>
      <c r="BU167" s="112" t="str">
        <f>HYPERLINK("https://s3-eu-west-1.amazonaws.com/lingolia/download/lingolia_daf.pdf","x")</f>
        <v>x</v>
      </c>
      <c r="BV167" s="112"/>
      <c r="BW167" s="112"/>
      <c r="BX167" s="112"/>
      <c r="BY167" s="112"/>
      <c r="BZ167" s="112" t="str">
        <f>HYPERLINK("http://www.hueber.de/shared/uebungen/schritte-plus","x")</f>
        <v>x</v>
      </c>
      <c r="CA167" s="112" t="str">
        <f>HYPERLINK("https://www.hueber.de/shared/uebungen/menschen-hier/ab/a1-1/menu.html","x")</f>
        <v>x</v>
      </c>
      <c r="CB167" s="112" t="str">
        <f>HYPERLINK("http://www.goethe-verlag.com/DE/","x")</f>
        <v>x</v>
      </c>
      <c r="CC167" s="112"/>
      <c r="CD167" s="112"/>
      <c r="CE167" s="111"/>
      <c r="CF167" s="111"/>
      <c r="CG167" s="111"/>
      <c r="CH167" s="111"/>
      <c r="CI167" s="111"/>
      <c r="CJ167" s="112" t="str">
        <f>HYPERLINK("http://www.e-migrantinnen.de/index.php?de_wichtige-links","x")</f>
        <v>x</v>
      </c>
      <c r="CK167" s="112"/>
      <c r="CL167" s="112"/>
      <c r="CM167" s="112"/>
      <c r="CN167" s="112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2"/>
      <c r="CZ167" s="112"/>
      <c r="DA167" s="112"/>
      <c r="DB167" s="115"/>
      <c r="DC167" s="112"/>
      <c r="DD167" s="112"/>
      <c r="DE167" s="112" t="str">
        <f>HYPERLINK("http://fi-lohmar-siegburg.de/data/documents/130-37_Inklusion_im_Anfangsunterricht_-_Poster_mit_Situationsbildern.pdf","x")</f>
        <v>x</v>
      </c>
      <c r="DF167" s="115" t="str">
        <f>HYPERLINK("http://s3-eu-west-1.amazonaws.com/lingolia/calendar/2016/lingolia_2016_de.pdf","x")</f>
        <v>x</v>
      </c>
      <c r="DG167" s="112" t="str">
        <f>HYPERLINK("http://www.bibliomedia.ch/de/angebote/img/Wimmelbild.jpg","x")</f>
        <v>x</v>
      </c>
      <c r="DH167" s="112" t="str">
        <f>HYPERLINK("http://www.bibliomedia.ch/de/angebote/dokumente/Wimmelbild_Fehler.jpg","x")</f>
        <v>x</v>
      </c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2" t="str">
        <f>HYPERLINK("http://www.kvs-sachsen.de/fileadmin/img/Mitglieder/Asylbewerber/Allg-Informationen/Anlage_1_Mazedonisch_LEK.pdf","x")</f>
        <v>x</v>
      </c>
      <c r="EM167" s="111"/>
      <c r="EN167" s="111"/>
      <c r="EO167" s="118"/>
      <c r="EP167" s="118"/>
      <c r="EQ167" s="112" t="str">
        <f>HYPERLINK("http://www.kvs-sachsen.de/fileadmin/img/Mitglieder/Asylbewerber/Allg-Informationen/Anlagen_2-1_2-2_Mazedonisch_LEK.pdf","x")</f>
        <v>x</v>
      </c>
      <c r="ER167" s="111"/>
      <c r="ES167" s="111"/>
      <c r="ET167" s="111"/>
      <c r="EU167" s="111"/>
      <c r="EV167" s="112" t="str">
        <f t="shared" ref="EV167:EV169" si="831">HYPERLINK("http://www.lak-rlp.de/fileadmin/redakteure/pdf/download/Piktogramme_Dosieretiketten_AoG.pdf","x")</f>
        <v>x</v>
      </c>
      <c r="EW167" s="111"/>
      <c r="EX167" s="111"/>
      <c r="EY167" s="111"/>
      <c r="EZ167" s="111"/>
      <c r="FA167" s="111"/>
      <c r="FB167" s="111"/>
      <c r="FC167" s="112" t="str">
        <f>HYPERLINK("http://mige.ix-tech.de/index.php?id=241","x")</f>
        <v>x</v>
      </c>
      <c r="FD167" s="112" t="str">
        <f>HYPERLINK("http://sghanstedt.elbnetz.com/ueber-uns/","x")</f>
        <v>x</v>
      </c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2" t="str">
        <f t="shared" si="628"/>
        <v>x</v>
      </c>
      <c r="HC167" s="112" t="str">
        <f>HYPERLINK("https://www.zahnaerzte-wl.de/images/_PDF-suche/KZV_ZÄK/ENDSTAND_Ankreuzbogen_Ich_verstehe.pdf","x")</f>
        <v>x</v>
      </c>
      <c r="HD167" s="112" t="str">
        <f>HYPERLINK("https://www.zahnaerzte-wl.de/images/_PDF-suche/KZV_ZÄK/Anschreiben_Patienten_mazedonisch.pdf","x")</f>
        <v>x</v>
      </c>
      <c r="HE167" s="112" t="str">
        <f>HYPERLINK("https://www.zahnaerzte-wl.de/images/_PDF-suche/KZV_ZÄK/Fragebogen_mazedonisch.pdf","x")</f>
        <v>x</v>
      </c>
      <c r="HF167" s="112" t="str">
        <f>HYPERLINK("https://www.zahnaerzte-wl.de/images/_PDF-suche/KZV_ZÄK/Patientenerhebungsbogen_mazedonisch.pdf","x")</f>
        <v>x</v>
      </c>
      <c r="HG167" s="112"/>
      <c r="HH167" s="112"/>
      <c r="HI167" s="112"/>
      <c r="HJ167" s="112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2" t="str">
        <f>HYPERLINK("http://www.selfhelpfortrauma.org/","x")</f>
        <v>x</v>
      </c>
      <c r="HY167" s="112" t="str">
        <f>HYPERLINK("http://peacefulheart.se/wp-content/uploads/2014/12/Resolving-Yesterday-20141201-Self-Tapping.pdf","x")</f>
        <v>x</v>
      </c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  <c r="IY167" s="111"/>
      <c r="IZ167" s="111"/>
      <c r="JA167" s="111"/>
      <c r="JB167" s="111"/>
      <c r="JC167" s="111"/>
      <c r="JD167" s="111"/>
      <c r="JE167" s="111"/>
      <c r="JF167" s="111"/>
      <c r="JG167" s="111"/>
      <c r="JH167" s="111"/>
      <c r="JI167" s="111"/>
      <c r="JJ167" s="111"/>
      <c r="JK167" s="111"/>
      <c r="JL167" s="111"/>
      <c r="JM167" s="111"/>
      <c r="JN167" s="111"/>
      <c r="JO167" s="111"/>
      <c r="JP167" s="111"/>
      <c r="JQ167" s="111"/>
      <c r="JR167" s="111"/>
      <c r="JS167" s="111"/>
      <c r="JT167" s="111"/>
      <c r="JU167" s="111"/>
      <c r="JV167" s="111"/>
      <c r="JW167" s="111"/>
      <c r="JX167" s="112"/>
      <c r="JY167" s="112"/>
      <c r="JZ167" s="112"/>
      <c r="KA167" s="112" t="str">
        <f>HYPERLINK("http://www.refugeeguide.de/dl/RefugeeGuide_mk_1006.pdf","x")</f>
        <v>x</v>
      </c>
      <c r="KB167" s="111"/>
      <c r="KC167" s="111"/>
      <c r="KD167" s="111"/>
      <c r="KE167" s="111"/>
      <c r="KF167" s="112"/>
      <c r="KG167" s="112"/>
      <c r="KH167" s="112"/>
      <c r="KI167" s="112"/>
      <c r="KJ167" s="112"/>
      <c r="KK167" s="112"/>
      <c r="KL167" s="112"/>
      <c r="KM167" s="112"/>
      <c r="KN167" s="112"/>
      <c r="KO167" s="112"/>
      <c r="KP167" s="112"/>
      <c r="KQ167" s="112"/>
      <c r="KR167" s="112"/>
      <c r="KS167" s="112"/>
      <c r="KT167" s="112"/>
      <c r="KU167" s="112"/>
      <c r="KV167" s="112"/>
      <c r="KW167" s="112"/>
      <c r="KX167" s="112"/>
      <c r="KY167" s="112"/>
      <c r="KZ167" s="112"/>
      <c r="LA167" s="112"/>
      <c r="LB167" s="111"/>
      <c r="LC167" s="111"/>
      <c r="LD167" s="111"/>
      <c r="LE167" s="111"/>
      <c r="LF167" s="111"/>
      <c r="LG167" s="111"/>
      <c r="LH167" s="111"/>
      <c r="LI167" s="111"/>
      <c r="LJ167" s="111"/>
      <c r="LK167" s="111"/>
      <c r="LL167" s="111"/>
      <c r="LM167" s="111"/>
      <c r="LN167" s="111"/>
      <c r="LO167" s="111"/>
      <c r="LP167" s="111"/>
      <c r="LQ167" s="111"/>
      <c r="LR167" s="111"/>
      <c r="LS167" s="111"/>
      <c r="LT167" s="111"/>
      <c r="LU167" s="111"/>
      <c r="LV167" s="111"/>
      <c r="LW167" s="111"/>
      <c r="LX167" s="111"/>
      <c r="LY167" s="111"/>
      <c r="LZ167" s="111"/>
      <c r="MA167" s="111"/>
      <c r="MB167" s="111"/>
      <c r="MC167" s="111"/>
      <c r="MD167" s="111"/>
      <c r="ME167" s="111"/>
      <c r="MF167" s="111"/>
      <c r="MG167" s="111"/>
      <c r="MH167" s="111"/>
    </row>
    <row r="168" spans="1:346" x14ac:dyDescent="0.25">
      <c r="A168" s="110" t="s">
        <v>6</v>
      </c>
      <c r="B168" s="101" t="s">
        <v>25</v>
      </c>
      <c r="C168" s="102"/>
      <c r="D168" s="102"/>
      <c r="E168" s="102"/>
      <c r="F168" s="102"/>
      <c r="G168" s="102"/>
      <c r="H168" s="102"/>
      <c r="I168" s="102"/>
      <c r="J168" s="103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3"/>
      <c r="AV168" s="114" t="str">
        <f>HYPERLINK("http://sab.landtag.sachsen.de/dokumente/landtagskurier/SAB_DeutschLernen_DinA5_WEB141115.pdf","x")</f>
        <v>x</v>
      </c>
      <c r="AW168" s="114" t="str">
        <f>HYPERLINK("http://sab.landtag.sachsen.de/dokumente/landtagskurier/SAB_PL_Lernposter_WEB091115.pdf","x")</f>
        <v>x</v>
      </c>
      <c r="AX168" s="111"/>
      <c r="AY168" s="111"/>
      <c r="AZ16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8" s="112" t="str">
        <f>HYPERLINK("http://wie-kann-ich-helfen.info/WoerterbuchAnalphabet_innen_%28c%29_Dagmar_Schmeelcke.pdf","x")</f>
        <v>x</v>
      </c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2" t="str">
        <f>HYPERLINK("http://www.bundessprachenamt.de/deutsch/wir_ueber_uns/nachrichten/2015/20151103/Verständigungshilfe_Mazedonisch_03_12_2015.pdf","x")</f>
        <v>x</v>
      </c>
      <c r="BL168" s="111"/>
      <c r="BM168" s="111"/>
      <c r="BN168" s="111"/>
      <c r="BO168" s="111"/>
      <c r="BP168" s="111"/>
      <c r="BQ168" s="111"/>
      <c r="BR168" s="112" t="str">
        <f>HYPERLINK("http://www.goethe.de/lrn/prj/wnd/deu/lti/deindex.htm#13322010","x")</f>
        <v>x</v>
      </c>
      <c r="BS168" s="112"/>
      <c r="BT168" s="111"/>
      <c r="BU168" s="112" t="str">
        <f>HYPERLINK("https://s3-eu-west-1.amazonaws.com/lingolia/download/lingolia_daf.pdf","x")</f>
        <v>x</v>
      </c>
      <c r="BV168" s="112"/>
      <c r="BW168" s="112"/>
      <c r="BX168" s="112"/>
      <c r="BY168" s="112"/>
      <c r="BZ168" s="112" t="str">
        <f>HYPERLINK("http://www.hueber.de/shared/uebungen/schritte-plus","x")</f>
        <v>x</v>
      </c>
      <c r="CA168" s="112" t="str">
        <f>HYPERLINK("https://www.hueber.de/shared/uebungen/menschen-hier/ab/a1-1/menu.html","x")</f>
        <v>x</v>
      </c>
      <c r="CB168" s="112" t="str">
        <f>HYPERLINK("http://www.goethe-verlag.com/DE/","x")</f>
        <v>x</v>
      </c>
      <c r="CC168" s="112"/>
      <c r="CD168" s="112"/>
      <c r="CE168" s="111"/>
      <c r="CF168" s="111"/>
      <c r="CG168" s="111"/>
      <c r="CH168" s="111"/>
      <c r="CI168" s="111"/>
      <c r="CJ168" s="112" t="str">
        <f>HYPERLINK("http://www.e-migrantinnen.de/index.php?de_wichtige-links","x")</f>
        <v>x</v>
      </c>
      <c r="CK168" s="112"/>
      <c r="CL168" s="112"/>
      <c r="CM168" s="112"/>
      <c r="CN168" s="112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2"/>
      <c r="CZ168" s="112"/>
      <c r="DA168" s="112"/>
      <c r="DB168" s="115"/>
      <c r="DC168" s="112"/>
      <c r="DD168" s="112"/>
      <c r="DE168" s="112" t="str">
        <f>HYPERLINK("http://fi-lohmar-siegburg.de/data/documents/130-37_Inklusion_im_Anfangsunterricht_-_Poster_mit_Situationsbildern.pdf","x")</f>
        <v>x</v>
      </c>
      <c r="DF168" s="115" t="str">
        <f>HYPERLINK("http://s3-eu-west-1.amazonaws.com/lingolia/calendar/2016/lingolia_2016_de.pdf","x")</f>
        <v>x</v>
      </c>
      <c r="DG168" s="112" t="str">
        <f>HYPERLINK("http://www.bibliomedia.ch/de/angebote/img/Wimmelbild.jpg","x")</f>
        <v>x</v>
      </c>
      <c r="DH168" s="112" t="str">
        <f>HYPERLINK("http://www.bibliomedia.ch/de/angebote/dokumente/Wimmelbild_Fehler.jpg","x")</f>
        <v>x</v>
      </c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2" t="str">
        <f>HYPERLINK("http://www.kvs-sachsen.de/fileadmin/img/Mitglieder/Asylbewerber/Allg-Informationen/Anlage_1_Mazedonisch_LEK.pdf","x")</f>
        <v>x</v>
      </c>
      <c r="EM168" s="111"/>
      <c r="EN168" s="111"/>
      <c r="EO168" s="118"/>
      <c r="EP168" s="118"/>
      <c r="EQ168" s="112" t="str">
        <f>HYPERLINK("http://www.kvs-sachsen.de/fileadmin/img/Mitglieder/Asylbewerber/Allg-Informationen/Anlagen_2-1_2-2_Mazedonisch_LEK.pdf","x")</f>
        <v>x</v>
      </c>
      <c r="ER168" s="111"/>
      <c r="ES168" s="111"/>
      <c r="ET168" s="111"/>
      <c r="EU168" s="111"/>
      <c r="EV168" s="112" t="str">
        <f t="shared" si="831"/>
        <v>x</v>
      </c>
      <c r="EW168" s="111"/>
      <c r="EX168" s="111"/>
      <c r="EY168" s="111"/>
      <c r="EZ168" s="111"/>
      <c r="FA168" s="111"/>
      <c r="FB168" s="111"/>
      <c r="FC168" s="112" t="str">
        <f>HYPERLINK("http://mige.ix-tech.de/index.php?id=241","x")</f>
        <v>x</v>
      </c>
      <c r="FD168" s="112" t="str">
        <f>HYPERLINK("http://sghanstedt.elbnetz.com/ueber-uns/","x")</f>
        <v>x</v>
      </c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2" t="str">
        <f t="shared" si="628"/>
        <v>x</v>
      </c>
      <c r="HC168" s="112" t="str">
        <f>HYPERLINK("https://www.zahnaerzte-wl.de/images/_PDF-suche/KZV_ZÄK/ENDSTAND_Ankreuzbogen_Ich_verstehe.pdf","x")</f>
        <v>x</v>
      </c>
      <c r="HD168" s="112" t="str">
        <f>HYPERLINK("https://www.zahnaerzte-wl.de/images/_PDF-suche/KZV_ZÄK/Anschreiben_Patienten_mazedonisch.pdf","x")</f>
        <v>x</v>
      </c>
      <c r="HE168" s="112" t="str">
        <f>HYPERLINK("https://www.zahnaerzte-wl.de/images/_PDF-suche/KZV_ZÄK/Fragebogen_mazedonisch.pdf","x")</f>
        <v>x</v>
      </c>
      <c r="HF168" s="112" t="str">
        <f>HYPERLINK("https://www.zahnaerzte-wl.de/images/_PDF-suche/KZV_ZÄK/Patientenerhebungsbogen_mazedonisch.pdf","x")</f>
        <v>x</v>
      </c>
      <c r="HG168" s="112"/>
      <c r="HH168" s="112"/>
      <c r="HI168" s="112"/>
      <c r="HJ168" s="112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2" t="str">
        <f>HYPERLINK("http://www.selfhelpfortrauma.org/","x")</f>
        <v>x</v>
      </c>
      <c r="HY168" s="112" t="str">
        <f>HYPERLINK("http://peacefulheart.se/wp-content/uploads/2014/12/Resolving-Yesterday-20141201-Self-Tapping.pdf","x")</f>
        <v>x</v>
      </c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1"/>
      <c r="JF168" s="111"/>
      <c r="JG168" s="111"/>
      <c r="JH168" s="111"/>
      <c r="JI168" s="111"/>
      <c r="JJ168" s="111"/>
      <c r="JK168" s="111"/>
      <c r="JL168" s="111"/>
      <c r="JM168" s="111"/>
      <c r="JN168" s="111"/>
      <c r="JO168" s="111"/>
      <c r="JP168" s="111"/>
      <c r="JQ168" s="111"/>
      <c r="JR168" s="111"/>
      <c r="JS168" s="111"/>
      <c r="JT168" s="111"/>
      <c r="JU168" s="111"/>
      <c r="JV168" s="111"/>
      <c r="JW168" s="111"/>
      <c r="JX168" s="112"/>
      <c r="JY168" s="112"/>
      <c r="JZ168" s="112"/>
      <c r="KA168" s="112" t="str">
        <f>HYPERLINK("http://www.refugeeguide.de/dl/RefugeeGuide_mk_1006.pdf","x")</f>
        <v>x</v>
      </c>
      <c r="KB168" s="111"/>
      <c r="KC168" s="111"/>
      <c r="KD168" s="111"/>
      <c r="KE168" s="111"/>
      <c r="KF168" s="112"/>
      <c r="KG168" s="112"/>
      <c r="KH168" s="112"/>
      <c r="KI168" s="112"/>
      <c r="KJ168" s="112"/>
      <c r="KK168" s="112"/>
      <c r="KL168" s="112"/>
      <c r="KM168" s="112"/>
      <c r="KN168" s="112"/>
      <c r="KO168" s="112"/>
      <c r="KP168" s="112"/>
      <c r="KQ168" s="112"/>
      <c r="KR168" s="112"/>
      <c r="KS168" s="112"/>
      <c r="KT168" s="112"/>
      <c r="KU168" s="112"/>
      <c r="KV168" s="112"/>
      <c r="KW168" s="112"/>
      <c r="KX168" s="112"/>
      <c r="KY168" s="112"/>
      <c r="KZ168" s="112"/>
      <c r="LA168" s="112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</row>
    <row r="169" spans="1:346" x14ac:dyDescent="0.25">
      <c r="A169" s="110" t="s">
        <v>6</v>
      </c>
      <c r="B169" s="101" t="s">
        <v>76</v>
      </c>
      <c r="C169" s="102"/>
      <c r="D169" s="102"/>
      <c r="E169" s="102"/>
      <c r="F169" s="102"/>
      <c r="G169" s="102"/>
      <c r="H169" s="102"/>
      <c r="I169" s="102"/>
      <c r="J169" s="103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3"/>
      <c r="AV169" s="114" t="str">
        <f>HYPERLINK("http://sab.landtag.sachsen.de/dokumente/landtagskurier/SAB_DeutschLernen_DinA5_WEB141115.pdf","x")</f>
        <v>x</v>
      </c>
      <c r="AW169" s="114" t="str">
        <f>HYPERLINK("http://sab.landtag.sachsen.de/dokumente/landtagskurier/SAB_PL_Lernposter_WEB091115.pdf","x")</f>
        <v>x</v>
      </c>
      <c r="AX169" s="111"/>
      <c r="AY169" s="111"/>
      <c r="AZ169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9" s="112" t="str">
        <f>HYPERLINK("http://wie-kann-ich-helfen.info/WoerterbuchAnalphabet_innen_%28c%29_Dagmar_Schmeelcke.pdf","x")</f>
        <v>x</v>
      </c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2" t="str">
        <f>HYPERLINK("http://www.bundessprachenamt.de/deutsch/wir_ueber_uns/nachrichten/2015/20151103/Verständigungshilfe_Mazedonisch_03_12_2015.pdf","x")</f>
        <v>x</v>
      </c>
      <c r="BL169" s="111"/>
      <c r="BM169" s="111"/>
      <c r="BN169" s="111"/>
      <c r="BO169" s="111"/>
      <c r="BP169" s="111"/>
      <c r="BQ169" s="111"/>
      <c r="BR169" s="112" t="str">
        <f>HYPERLINK("http://www.goethe.de/lrn/prj/wnd/deu/lti/deindex.htm#13322010","x")</f>
        <v>x</v>
      </c>
      <c r="BS169" s="112"/>
      <c r="BT169" s="111"/>
      <c r="BU169" s="112" t="str">
        <f>HYPERLINK("https://s3-eu-west-1.amazonaws.com/lingolia/download/lingolia_daf.pdf","x")</f>
        <v>x</v>
      </c>
      <c r="BV169" s="112"/>
      <c r="BW169" s="112"/>
      <c r="BX169" s="112"/>
      <c r="BY169" s="112"/>
      <c r="BZ169" s="112" t="str">
        <f>HYPERLINK("http://www.hueber.de/shared/uebungen/schritte-plus","x")</f>
        <v>x</v>
      </c>
      <c r="CA169" s="112" t="str">
        <f>HYPERLINK("https://www.hueber.de/shared/uebungen/menschen-hier/ab/a1-1/menu.html","x")</f>
        <v>x</v>
      </c>
      <c r="CB169" s="112" t="str">
        <f>HYPERLINK("http://www.goethe-verlag.com/DE/","x")</f>
        <v>x</v>
      </c>
      <c r="CC169" s="112"/>
      <c r="CD169" s="112"/>
      <c r="CE169" s="111"/>
      <c r="CF169" s="111"/>
      <c r="CG169" s="111"/>
      <c r="CH169" s="111"/>
      <c r="CI169" s="111"/>
      <c r="CJ169" s="112" t="str">
        <f>HYPERLINK("http://www.e-migrantinnen.de/index.php?de_wichtige-links","x")</f>
        <v>x</v>
      </c>
      <c r="CK169" s="112"/>
      <c r="CL169" s="112"/>
      <c r="CM169" s="112"/>
      <c r="CN169" s="112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2"/>
      <c r="CZ169" s="112"/>
      <c r="DA169" s="112"/>
      <c r="DB169" s="115"/>
      <c r="DC169" s="112"/>
      <c r="DD169" s="112"/>
      <c r="DE169" s="112" t="str">
        <f>HYPERLINK("http://fi-lohmar-siegburg.de/data/documents/130-37_Inklusion_im_Anfangsunterricht_-_Poster_mit_Situationsbildern.pdf","x")</f>
        <v>x</v>
      </c>
      <c r="DF169" s="115" t="str">
        <f>HYPERLINK("http://s3-eu-west-1.amazonaws.com/lingolia/calendar/2016/lingolia_2016_de.pdf","x")</f>
        <v>x</v>
      </c>
      <c r="DG169" s="112" t="str">
        <f>HYPERLINK("http://www.bibliomedia.ch/de/angebote/img/Wimmelbild.jpg","x")</f>
        <v>x</v>
      </c>
      <c r="DH169" s="112" t="str">
        <f>HYPERLINK("http://www.bibliomedia.ch/de/angebote/dokumente/Wimmelbild_Fehler.jpg","x")</f>
        <v>x</v>
      </c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2" t="str">
        <f>HYPERLINK("http://www.kvs-sachsen.de/fileadmin/img/Mitglieder/Asylbewerber/Allg-Informationen/Anlage_1_Mazedonisch_LEK.pdf","x")</f>
        <v>x</v>
      </c>
      <c r="EM169" s="111"/>
      <c r="EN169" s="111"/>
      <c r="EO169" s="118"/>
      <c r="EP169" s="118"/>
      <c r="EQ169" s="112" t="str">
        <f>HYPERLINK("http://www.kvs-sachsen.de/fileadmin/img/Mitglieder/Asylbewerber/Allg-Informationen/Anlagen_2-1_2-2_Mazedonisch_LEK.pdf","x")</f>
        <v>x</v>
      </c>
      <c r="ER169" s="111"/>
      <c r="ES169" s="111"/>
      <c r="ET169" s="111"/>
      <c r="EU169" s="111"/>
      <c r="EV169" s="112" t="str">
        <f t="shared" si="831"/>
        <v>x</v>
      </c>
      <c r="EW169" s="111"/>
      <c r="EX169" s="111"/>
      <c r="EY169" s="111"/>
      <c r="EZ169" s="111"/>
      <c r="FA169" s="111"/>
      <c r="FB169" s="111"/>
      <c r="FC169" s="112" t="str">
        <f>HYPERLINK("http://mige.ix-tech.de/index.php?id=241","x")</f>
        <v>x</v>
      </c>
      <c r="FD169" s="112" t="str">
        <f>HYPERLINK("http://sghanstedt.elbnetz.com/ueber-uns/","x")</f>
        <v>x</v>
      </c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2" t="str">
        <f t="shared" si="628"/>
        <v>x</v>
      </c>
      <c r="HC169" s="112" t="str">
        <f>HYPERLINK("https://www.zahnaerzte-wl.de/images/_PDF-suche/KZV_ZÄK/ENDSTAND_Ankreuzbogen_Ich_verstehe.pdf","x")</f>
        <v>x</v>
      </c>
      <c r="HD169" s="112" t="str">
        <f>HYPERLINK("https://www.zahnaerzte-wl.de/images/_PDF-suche/KZV_ZÄK/Anschreiben_Patienten_mazedonisch.pdf","x")</f>
        <v>x</v>
      </c>
      <c r="HE169" s="112" t="str">
        <f>HYPERLINK("https://www.zahnaerzte-wl.de/images/_PDF-suche/KZV_ZÄK/Fragebogen_mazedonisch.pdf","x")</f>
        <v>x</v>
      </c>
      <c r="HF169" s="112" t="str">
        <f>HYPERLINK("https://www.zahnaerzte-wl.de/images/_PDF-suche/KZV_ZÄK/Patientenerhebungsbogen_mazedonisch.pdf","x")</f>
        <v>x</v>
      </c>
      <c r="HG169" s="112"/>
      <c r="HH169" s="112"/>
      <c r="HI169" s="112"/>
      <c r="HJ169" s="112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2" t="str">
        <f>HYPERLINK("http://www.selfhelpfortrauma.org/","x")</f>
        <v>x</v>
      </c>
      <c r="HY169" s="112" t="str">
        <f>HYPERLINK("http://peacefulheart.se/wp-content/uploads/2014/12/Resolving-Yesterday-20141201-Self-Tapping.pdf","x")</f>
        <v>x</v>
      </c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1"/>
      <c r="IZ169" s="111"/>
      <c r="JA169" s="111"/>
      <c r="JB169" s="111"/>
      <c r="JC169" s="111"/>
      <c r="JD169" s="111"/>
      <c r="JE169" s="111"/>
      <c r="JF169" s="111"/>
      <c r="JG169" s="111"/>
      <c r="JH169" s="111"/>
      <c r="JI169" s="111"/>
      <c r="JJ169" s="111"/>
      <c r="JK169" s="111"/>
      <c r="JL169" s="111"/>
      <c r="JM169" s="111"/>
      <c r="JN169" s="111"/>
      <c r="JO169" s="111"/>
      <c r="JP169" s="111"/>
      <c r="JQ169" s="111"/>
      <c r="JR169" s="111"/>
      <c r="JS169" s="111"/>
      <c r="JT169" s="111"/>
      <c r="JU169" s="111"/>
      <c r="JV169" s="111"/>
      <c r="JW169" s="111"/>
      <c r="JX169" s="112"/>
      <c r="JY169" s="112"/>
      <c r="JZ169" s="112"/>
      <c r="KA169" s="112" t="str">
        <f>HYPERLINK("http://www.refugeeguide.de/dl/RefugeeGuide_mk_1006.pdf","x")</f>
        <v>x</v>
      </c>
      <c r="KB169" s="111"/>
      <c r="KC169" s="111"/>
      <c r="KD169" s="111"/>
      <c r="KE169" s="111"/>
      <c r="KF169" s="112"/>
      <c r="KG169" s="112"/>
      <c r="KH169" s="112"/>
      <c r="KI169" s="112"/>
      <c r="KJ169" s="112"/>
      <c r="KK169" s="112"/>
      <c r="KL169" s="112"/>
      <c r="KM169" s="112"/>
      <c r="KN169" s="112"/>
      <c r="KO169" s="112"/>
      <c r="KP169" s="112"/>
      <c r="KQ169" s="112"/>
      <c r="KR169" s="112"/>
      <c r="KS169" s="112"/>
      <c r="KT169" s="112"/>
      <c r="KU169" s="112"/>
      <c r="KV169" s="112"/>
      <c r="KW169" s="112"/>
      <c r="KX169" s="112"/>
      <c r="KY169" s="112"/>
      <c r="KZ169" s="112"/>
      <c r="LA169" s="112"/>
      <c r="LB169" s="111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</row>
    <row r="170" spans="1:346" x14ac:dyDescent="0.25">
      <c r="A170" s="101" t="s">
        <v>152</v>
      </c>
      <c r="B170" s="102"/>
      <c r="C170" s="102"/>
      <c r="D170" s="102"/>
      <c r="E170" s="102"/>
      <c r="F170" s="102"/>
      <c r="G170" s="102"/>
      <c r="H170" s="102"/>
      <c r="I170" s="102"/>
      <c r="J170" s="103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6"/>
      <c r="AV170" s="106"/>
      <c r="AW170" s="106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9"/>
      <c r="EP170" s="109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5"/>
      <c r="FW170" s="105"/>
      <c r="FX170" s="104"/>
      <c r="FY170" s="104"/>
      <c r="FZ170" s="105"/>
      <c r="GA170" s="105"/>
      <c r="GB170" s="105"/>
      <c r="GC170" s="104"/>
      <c r="GD170" s="105"/>
      <c r="GE170" s="105"/>
      <c r="GF170" s="105"/>
      <c r="GG170" s="104"/>
      <c r="GH170" s="104"/>
      <c r="GI170" s="104"/>
      <c r="GJ170" s="104"/>
      <c r="GK170" s="104"/>
      <c r="GL170" s="104"/>
      <c r="GM170" s="105"/>
      <c r="GN170" s="105"/>
      <c r="GO170" s="104"/>
      <c r="GP170" s="104"/>
      <c r="GQ170" s="104"/>
      <c r="GR170" s="104"/>
      <c r="GS170" s="104"/>
      <c r="GT170" s="105"/>
      <c r="GU170" s="105"/>
      <c r="GV170" s="105"/>
      <c r="GW170" s="105"/>
      <c r="GX170" s="105"/>
      <c r="GY170" s="105"/>
      <c r="GZ170" s="105"/>
      <c r="HA170" s="105"/>
      <c r="HB170" s="105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5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4"/>
      <c r="JN170" s="104"/>
      <c r="JO170" s="104"/>
      <c r="JP170" s="104"/>
      <c r="JQ170" s="104"/>
      <c r="JR170" s="104"/>
      <c r="JS170" s="104"/>
      <c r="JT170" s="104"/>
      <c r="JU170" s="104"/>
      <c r="JV170" s="104"/>
      <c r="JW170" s="104"/>
      <c r="JX170" s="104"/>
      <c r="JY170" s="104"/>
      <c r="JZ170" s="104"/>
      <c r="KA170" s="104"/>
      <c r="KB170" s="104"/>
      <c r="KC170" s="104"/>
      <c r="KD170" s="104"/>
      <c r="KE170" s="104"/>
      <c r="KF170" s="104"/>
      <c r="KG170" s="104"/>
      <c r="KH170" s="104"/>
      <c r="KI170" s="104"/>
      <c r="KJ170" s="104"/>
      <c r="KK170" s="104"/>
      <c r="KL170" s="104"/>
      <c r="KM170" s="104"/>
      <c r="KN170" s="104"/>
      <c r="KO170" s="104"/>
      <c r="KP170" s="104"/>
      <c r="KQ170" s="104"/>
      <c r="KR170" s="104"/>
      <c r="KS170" s="104"/>
      <c r="KT170" s="104"/>
      <c r="KU170" s="104"/>
      <c r="KV170" s="104"/>
      <c r="KW170" s="104"/>
      <c r="KX170" s="104"/>
      <c r="KY170" s="104"/>
      <c r="KZ170" s="104"/>
      <c r="LA170" s="104"/>
      <c r="LB170" s="104"/>
      <c r="LC170" s="104"/>
      <c r="LD170" s="104"/>
      <c r="LE170" s="104"/>
      <c r="LF170" s="104"/>
      <c r="LG170" s="104"/>
      <c r="LH170" s="104"/>
      <c r="LI170" s="104"/>
      <c r="LJ170" s="104"/>
      <c r="LK170" s="104"/>
      <c r="LL170" s="104"/>
      <c r="LM170" s="104"/>
      <c r="LN170" s="104"/>
      <c r="LO170" s="104"/>
      <c r="LP170" s="104"/>
      <c r="LQ170" s="104"/>
      <c r="LR170" s="104"/>
      <c r="LS170" s="104"/>
      <c r="LT170" s="104"/>
      <c r="LU170" s="104"/>
      <c r="LV170" s="104"/>
      <c r="LW170" s="104"/>
      <c r="LX170" s="104"/>
      <c r="LY170" s="104"/>
      <c r="LZ170" s="104"/>
      <c r="MA170" s="104"/>
      <c r="MB170" s="104"/>
      <c r="MC170" s="104"/>
      <c r="MD170" s="104"/>
      <c r="ME170" s="104"/>
      <c r="MF170" s="104"/>
      <c r="MG170" s="104"/>
      <c r="MH170" s="104"/>
    </row>
    <row r="171" spans="1:346" x14ac:dyDescent="0.25">
      <c r="A171" s="110" t="s">
        <v>152</v>
      </c>
      <c r="B171" s="101" t="s">
        <v>46</v>
      </c>
      <c r="C171" s="102"/>
      <c r="D171" s="102"/>
      <c r="E171" s="102"/>
      <c r="F171" s="102"/>
      <c r="G171" s="102"/>
      <c r="H171" s="102"/>
      <c r="I171" s="102"/>
      <c r="J171" s="103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3"/>
      <c r="AV171" s="114" t="str">
        <f t="shared" ref="AV171" si="832">HYPERLINK("http://sab.landtag.sachsen.de/dokumente/landtagskurier/SAB_DeutschLernen_DinA5_WEB141115.pdf","x")</f>
        <v>x</v>
      </c>
      <c r="AW171" s="114" t="str">
        <f t="shared" ref="AW171" si="833">HYPERLINK("http://sab.landtag.sachsen.de/dokumente/landtagskurier/SAB_PL_Lernposter_WEB091115.pdf","x")</f>
        <v>x</v>
      </c>
      <c r="AX171" s="111"/>
      <c r="AY171" s="111"/>
      <c r="AZ171" s="112" t="str">
        <f t="shared" ref="AZ171" si="83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1" s="112" t="str">
        <f t="shared" ref="BA171" si="835">HYPERLINK("http://wie-kann-ich-helfen.info/WoerterbuchAnalphabet_innen_%28c%29_Dagmar_Schmeelcke.pdf","x")</f>
        <v>x</v>
      </c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2" t="str">
        <f t="shared" ref="BR171" si="836">HYPERLINK("http://www.goethe.de/lrn/prj/wnd/deu/lti/deindex.htm#13322010","x")</f>
        <v>x</v>
      </c>
      <c r="BS171" s="112"/>
      <c r="BT171" s="111"/>
      <c r="BU171" s="112" t="str">
        <f t="shared" ref="BU171" si="837">HYPERLINK("https://s3-eu-west-1.amazonaws.com/lingolia/download/lingolia_daf.pdf","x")</f>
        <v>x</v>
      </c>
      <c r="BV171" s="112"/>
      <c r="BW171" s="112"/>
      <c r="BX171" s="112"/>
      <c r="BY171" s="112"/>
      <c r="BZ171" s="112" t="str">
        <f t="shared" ref="BZ171" si="838">HYPERLINK("http://www.hueber.de/shared/uebungen/schritte-plus","x")</f>
        <v>x</v>
      </c>
      <c r="CA171" s="112" t="str">
        <f t="shared" ref="CA171" si="839">HYPERLINK("https://www.hueber.de/shared/uebungen/menschen-hier/ab/a1-1/menu.html","x")</f>
        <v>x</v>
      </c>
      <c r="CB171" s="112" t="str">
        <f t="shared" ref="CB171" si="840">HYPERLINK("http://www.goethe-verlag.com/DE/","x")</f>
        <v>x</v>
      </c>
      <c r="CC171" s="112"/>
      <c r="CD171" s="112"/>
      <c r="CE171" s="111"/>
      <c r="CF171" s="111"/>
      <c r="CG171" s="111"/>
      <c r="CH171" s="111"/>
      <c r="CI171" s="111"/>
      <c r="CJ171" s="112" t="str">
        <f t="shared" ref="CJ171" si="841">HYPERLINK("http://www.e-migrantinnen.de/index.php?de_wichtige-links","x")</f>
        <v>x</v>
      </c>
      <c r="CK171" s="112"/>
      <c r="CL171" s="112"/>
      <c r="CM171" s="112"/>
      <c r="CN171" s="112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2"/>
      <c r="CZ171" s="112"/>
      <c r="DA171" s="112"/>
      <c r="DB171" s="115"/>
      <c r="DC171" s="112"/>
      <c r="DD171" s="112"/>
      <c r="DE171" s="112" t="str">
        <f t="shared" ref="DE171" si="842">HYPERLINK("http://fi-lohmar-siegburg.de/data/documents/130-37_Inklusion_im_Anfangsunterricht_-_Poster_mit_Situationsbildern.pdf","x")</f>
        <v>x</v>
      </c>
      <c r="DF171" s="115" t="str">
        <f t="shared" ref="DF171" si="843">HYPERLINK("http://s3-eu-west-1.amazonaws.com/lingolia/calendar/2016/lingolia_2016_de.pdf","x")</f>
        <v>x</v>
      </c>
      <c r="DG171" s="112" t="str">
        <f t="shared" ref="DG171" si="844">HYPERLINK("http://www.bibliomedia.ch/de/angebote/img/Wimmelbild.jpg","x")</f>
        <v>x</v>
      </c>
      <c r="DH171" s="112" t="str">
        <f t="shared" ref="DH171" si="845">HYPERLINK("http://www.bibliomedia.ch/de/angebote/dokumente/Wimmelbild_Fehler.jpg","x")</f>
        <v>x</v>
      </c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8"/>
      <c r="EP171" s="118"/>
      <c r="EQ171" s="111"/>
      <c r="ER171" s="111"/>
      <c r="ES171" s="111"/>
      <c r="ET171" s="111"/>
      <c r="EU171" s="111"/>
      <c r="EV171" s="112" t="str">
        <f t="shared" ref="EV171:EV177" si="846">HYPERLINK("http://www.lak-rlp.de/fileadmin/redakteure/pdf/download/Piktogramme_Dosieretiketten_AoG.pdf","x")</f>
        <v>x</v>
      </c>
      <c r="EW171" s="111"/>
      <c r="EX171" s="111"/>
      <c r="EY171" s="111"/>
      <c r="EZ171" s="111"/>
      <c r="FA171" s="111"/>
      <c r="FB171" s="111"/>
      <c r="FC171" s="112" t="str">
        <f t="shared" ref="FC171" si="847">HYPERLINK("http://mige.ix-tech.de/index.php?id=241","x")</f>
        <v>x</v>
      </c>
      <c r="FD171" s="111"/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2" t="str">
        <f t="shared" si="628"/>
        <v>x</v>
      </c>
      <c r="HC171" s="112" t="str">
        <f t="shared" ref="HC171:HC177" si="848">HYPERLINK("https://www.zahnaerzte-wl.de/images/_PDF-suche/KZV_ZÄK/ENDSTAND_Ankreuzbogen_Ich_verstehe.pdf","x")</f>
        <v>x</v>
      </c>
      <c r="HD171" s="112" t="str">
        <f t="shared" ref="HD171:HD177" si="849">HYPERLINK("https://www.zahnaerzte-wl.de/images/_PDF-suche/KZV_ZÄK/Anschreiben_Patienten_montenegrisch.pdf","x")</f>
        <v>x</v>
      </c>
      <c r="HE171" s="112" t="str">
        <f t="shared" ref="HE171:HE177" si="850">HYPERLINK("https://www.zahnaerzte-wl.de/images/_PDF-suche/KZV_ZÄK/Fragebogen_montenegrisch.pdf","x")</f>
        <v>x</v>
      </c>
      <c r="HF171" s="112" t="str">
        <f t="shared" ref="HF171:HF177" si="851">HYPERLINK("https://www.zahnaerzte-wl.de/images/_PDF-suche/KZV_ZÄK/Patientenerhebungsbogen_montenegrisch.pdf","x")</f>
        <v>x</v>
      </c>
      <c r="HG171" s="112"/>
      <c r="HH171" s="112"/>
      <c r="HI171" s="112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2" t="str">
        <f t="shared" ref="HX171" si="852">HYPERLINK("http://www.selfhelpfortrauma.org/","x")</f>
        <v>x</v>
      </c>
      <c r="HY171" s="112" t="str">
        <f t="shared" ref="HY171" si="853">HYPERLINK("http://peacefulheart.se/wp-content/uploads/2014/12/Resolving-Yesterday-20141201-Self-Tapping.pdf","x")</f>
        <v>x</v>
      </c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1"/>
      <c r="JF171" s="111"/>
      <c r="JG171" s="111"/>
      <c r="JH171" s="111"/>
      <c r="JI171" s="111"/>
      <c r="JJ171" s="111"/>
      <c r="JK171" s="111"/>
      <c r="JL171" s="111"/>
      <c r="JM171" s="111"/>
      <c r="JN171" s="111"/>
      <c r="JO171" s="111"/>
      <c r="JP171" s="111"/>
      <c r="JQ171" s="111"/>
      <c r="JR171" s="111"/>
      <c r="JS171" s="111"/>
      <c r="JT171" s="111"/>
      <c r="JU171" s="111"/>
      <c r="JV171" s="111"/>
      <c r="JW171" s="111"/>
      <c r="JX171" s="111"/>
      <c r="JY171" s="111"/>
      <c r="JZ171" s="111"/>
      <c r="KA171" s="111"/>
      <c r="KB171" s="111"/>
      <c r="KC171" s="111"/>
      <c r="KD171" s="111"/>
      <c r="KE171" s="111"/>
      <c r="KF171" s="111"/>
      <c r="KG171" s="111"/>
      <c r="KH171" s="111"/>
      <c r="KI171" s="111"/>
      <c r="KJ171" s="111"/>
      <c r="KK171" s="111"/>
      <c r="KL171" s="111"/>
      <c r="KM171" s="111"/>
      <c r="KN171" s="111"/>
      <c r="KO171" s="111"/>
      <c r="KP171" s="111"/>
      <c r="KQ171" s="111"/>
      <c r="KR171" s="111"/>
      <c r="KS171" s="111"/>
      <c r="KT171" s="111"/>
      <c r="KU171" s="111"/>
      <c r="KV171" s="111"/>
      <c r="KW171" s="111"/>
      <c r="KX171" s="111"/>
      <c r="KY171" s="111"/>
      <c r="KZ171" s="111"/>
      <c r="LA171" s="111"/>
      <c r="LB171" s="111"/>
      <c r="LC171" s="111"/>
      <c r="LD171" s="111"/>
      <c r="LE171" s="111"/>
      <c r="LF171" s="111"/>
      <c r="LG171" s="111"/>
      <c r="LH171" s="111"/>
      <c r="LI171" s="111"/>
      <c r="LJ171" s="111"/>
      <c r="LK171" s="111"/>
      <c r="LL171" s="111"/>
      <c r="LM171" s="111"/>
      <c r="LN171" s="111"/>
      <c r="LO171" s="111"/>
      <c r="LP171" s="111"/>
      <c r="LQ171" s="111"/>
      <c r="LR171" s="111"/>
      <c r="LS171" s="111"/>
      <c r="LT171" s="111"/>
      <c r="LU171" s="111"/>
      <c r="LV171" s="111"/>
      <c r="LW171" s="111"/>
      <c r="LX171" s="111"/>
      <c r="LY171" s="111"/>
      <c r="LZ171" s="111"/>
      <c r="MA171" s="111"/>
      <c r="MB171" s="111"/>
      <c r="MC171" s="111"/>
      <c r="MD171" s="111"/>
      <c r="ME171" s="111"/>
      <c r="MF171" s="111"/>
      <c r="MG171" s="111"/>
      <c r="MH171" s="111"/>
    </row>
    <row r="172" spans="1:346" x14ac:dyDescent="0.25">
      <c r="A172" s="110" t="s">
        <v>152</v>
      </c>
      <c r="B172" s="101" t="s">
        <v>25</v>
      </c>
      <c r="C172" s="102"/>
      <c r="D172" s="102"/>
      <c r="E172" s="102"/>
      <c r="F172" s="102"/>
      <c r="G172" s="102"/>
      <c r="H172" s="102"/>
      <c r="I172" s="102"/>
      <c r="J172" s="103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3"/>
      <c r="AV172" s="114" t="str">
        <f t="shared" ref="AV172:AV177" si="854">HYPERLINK("http://sab.landtag.sachsen.de/dokumente/landtagskurier/SAB_DeutschLernen_DinA5_WEB141115.pdf","x")</f>
        <v>x</v>
      </c>
      <c r="AW172" s="114" t="str">
        <f t="shared" ref="AW172:AW177" si="855">HYPERLINK("http://sab.landtag.sachsen.de/dokumente/landtagskurier/SAB_PL_Lernposter_WEB091115.pdf","x")</f>
        <v>x</v>
      </c>
      <c r="AX172" s="111"/>
      <c r="AY172" s="111"/>
      <c r="AZ172" s="112" t="str">
        <f t="shared" ref="AZ172:AZ177" si="856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2" s="112" t="str">
        <f t="shared" ref="BA172:BA177" si="857">HYPERLINK("http://wie-kann-ich-helfen.info/WoerterbuchAnalphabet_innen_%28c%29_Dagmar_Schmeelcke.pdf","x")</f>
        <v>x</v>
      </c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2" t="str">
        <f t="shared" ref="BR172:BR177" si="858">HYPERLINK("http://www.goethe.de/lrn/prj/wnd/deu/lti/deindex.htm#13322010","x")</f>
        <v>x</v>
      </c>
      <c r="BS172" s="112"/>
      <c r="BT172" s="111"/>
      <c r="BU172" s="112" t="str">
        <f t="shared" ref="BU172:BU177" si="859">HYPERLINK("https://s3-eu-west-1.amazonaws.com/lingolia/download/lingolia_daf.pdf","x")</f>
        <v>x</v>
      </c>
      <c r="BV172" s="112"/>
      <c r="BW172" s="112"/>
      <c r="BX172" s="112"/>
      <c r="BY172" s="112"/>
      <c r="BZ172" s="112" t="str">
        <f t="shared" ref="BZ172:BZ177" si="860">HYPERLINK("http://www.hueber.de/shared/uebungen/schritte-plus","x")</f>
        <v>x</v>
      </c>
      <c r="CA172" s="112" t="str">
        <f t="shared" ref="CA172:CA177" si="861">HYPERLINK("https://www.hueber.de/shared/uebungen/menschen-hier/ab/a1-1/menu.html","x")</f>
        <v>x</v>
      </c>
      <c r="CB172" s="112" t="str">
        <f t="shared" ref="CB172:CB177" si="862">HYPERLINK("http://www.goethe-verlag.com/DE/","x")</f>
        <v>x</v>
      </c>
      <c r="CC172" s="112"/>
      <c r="CD172" s="112"/>
      <c r="CE172" s="111"/>
      <c r="CF172" s="111"/>
      <c r="CG172" s="111"/>
      <c r="CH172" s="111"/>
      <c r="CI172" s="111"/>
      <c r="CJ172" s="112" t="str">
        <f t="shared" ref="CJ172:CJ177" si="863">HYPERLINK("http://www.e-migrantinnen.de/index.php?de_wichtige-links","x")</f>
        <v>x</v>
      </c>
      <c r="CK172" s="112"/>
      <c r="CL172" s="112"/>
      <c r="CM172" s="112"/>
      <c r="CN172" s="112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2"/>
      <c r="CZ172" s="112"/>
      <c r="DA172" s="112"/>
      <c r="DB172" s="115"/>
      <c r="DC172" s="112"/>
      <c r="DD172" s="112"/>
      <c r="DE172" s="112" t="str">
        <f t="shared" ref="DE172:DE177" si="864">HYPERLINK("http://fi-lohmar-siegburg.de/data/documents/130-37_Inklusion_im_Anfangsunterricht_-_Poster_mit_Situationsbildern.pdf","x")</f>
        <v>x</v>
      </c>
      <c r="DF172" s="115" t="str">
        <f t="shared" ref="DF172:DF177" si="865">HYPERLINK("http://s3-eu-west-1.amazonaws.com/lingolia/calendar/2016/lingolia_2016_de.pdf","x")</f>
        <v>x</v>
      </c>
      <c r="DG172" s="112" t="str">
        <f t="shared" ref="DG172:DG177" si="866">HYPERLINK("http://www.bibliomedia.ch/de/angebote/img/Wimmelbild.jpg","x")</f>
        <v>x</v>
      </c>
      <c r="DH172" s="112" t="str">
        <f t="shared" ref="DH172:DH177" si="867">HYPERLINK("http://www.bibliomedia.ch/de/angebote/dokumente/Wimmelbild_Fehler.jpg","x")</f>
        <v>x</v>
      </c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8"/>
      <c r="EP172" s="118"/>
      <c r="EQ172" s="111"/>
      <c r="ER172" s="111"/>
      <c r="ES172" s="111"/>
      <c r="ET172" s="111"/>
      <c r="EU172" s="111"/>
      <c r="EV172" s="112" t="str">
        <f t="shared" si="846"/>
        <v>x</v>
      </c>
      <c r="EW172" s="111"/>
      <c r="EX172" s="111"/>
      <c r="EY172" s="111"/>
      <c r="EZ172" s="111"/>
      <c r="FA172" s="111"/>
      <c r="FB172" s="111"/>
      <c r="FC172" s="112" t="str">
        <f t="shared" ref="FC172:FC177" si="868">HYPERLINK("http://mige.ix-tech.de/index.php?id=241","x")</f>
        <v>x</v>
      </c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2" t="str">
        <f t="shared" ref="HB172:HB177" si="869">HYPERLINK("https://www.zahnaerzte-wl.de/images/_PDF-suche/KZV_ZÄK/piktogrammheft.pdf","x")</f>
        <v>x</v>
      </c>
      <c r="HC172" s="112" t="str">
        <f t="shared" si="848"/>
        <v>x</v>
      </c>
      <c r="HD172" s="112" t="str">
        <f t="shared" si="849"/>
        <v>x</v>
      </c>
      <c r="HE172" s="112" t="str">
        <f t="shared" si="850"/>
        <v>x</v>
      </c>
      <c r="HF172" s="112" t="str">
        <f t="shared" si="851"/>
        <v>x</v>
      </c>
      <c r="HG172" s="112"/>
      <c r="HH172" s="112"/>
      <c r="HI172" s="112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2" t="str">
        <f t="shared" ref="HX172:HX177" si="870">HYPERLINK("http://www.selfhelpfortrauma.org/","x")</f>
        <v>x</v>
      </c>
      <c r="HY172" s="112" t="str">
        <f t="shared" ref="HY172:HY177" si="871">HYPERLINK("http://peacefulheart.se/wp-content/uploads/2014/12/Resolving-Yesterday-20141201-Self-Tapping.pdf","x")</f>
        <v>x</v>
      </c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  <c r="IY172" s="111"/>
      <c r="IZ172" s="111"/>
      <c r="JA172" s="111"/>
      <c r="JB172" s="111"/>
      <c r="JC172" s="111"/>
      <c r="JD172" s="111"/>
      <c r="JE172" s="111"/>
      <c r="JF172" s="111"/>
      <c r="JG172" s="111"/>
      <c r="JH172" s="111"/>
      <c r="JI172" s="111"/>
      <c r="JJ172" s="111"/>
      <c r="JK172" s="111"/>
      <c r="JL172" s="111"/>
      <c r="JM172" s="111"/>
      <c r="JN172" s="111"/>
      <c r="JO172" s="111"/>
      <c r="JP172" s="111"/>
      <c r="JQ172" s="111"/>
      <c r="JR172" s="111"/>
      <c r="JS172" s="111"/>
      <c r="JT172" s="111"/>
      <c r="JU172" s="111"/>
      <c r="JV172" s="111"/>
      <c r="JW172" s="111"/>
      <c r="JX172" s="111"/>
      <c r="JY172" s="111"/>
      <c r="JZ172" s="111"/>
      <c r="KA172" s="111"/>
      <c r="KB172" s="111"/>
      <c r="KC172" s="111"/>
      <c r="KD172" s="111"/>
      <c r="KE172" s="111"/>
      <c r="KF172" s="111"/>
      <c r="KG172" s="111"/>
      <c r="KH172" s="111"/>
      <c r="KI172" s="111"/>
      <c r="KJ172" s="111"/>
      <c r="KK172" s="111"/>
      <c r="KL172" s="111"/>
      <c r="KM172" s="111"/>
      <c r="KN172" s="111"/>
      <c r="KO172" s="111"/>
      <c r="KP172" s="111"/>
      <c r="KQ172" s="111"/>
      <c r="KR172" s="111"/>
      <c r="KS172" s="111"/>
      <c r="KT172" s="111"/>
      <c r="KU172" s="111"/>
      <c r="KV172" s="111"/>
      <c r="KW172" s="111"/>
      <c r="KX172" s="111"/>
      <c r="KY172" s="111"/>
      <c r="KZ172" s="111"/>
      <c r="LA172" s="111"/>
      <c r="LB172" s="111"/>
      <c r="LC172" s="111"/>
      <c r="LD172" s="111"/>
      <c r="LE172" s="111"/>
      <c r="LF172" s="111"/>
      <c r="LG172" s="111"/>
      <c r="LH172" s="111"/>
      <c r="LI172" s="111"/>
      <c r="LJ172" s="111"/>
      <c r="LK172" s="111"/>
      <c r="LL172" s="111"/>
      <c r="LM172" s="111"/>
      <c r="LN172" s="111"/>
      <c r="LO172" s="111"/>
      <c r="LP172" s="111"/>
      <c r="LQ172" s="111"/>
      <c r="LR172" s="111"/>
      <c r="LS172" s="111"/>
      <c r="LT172" s="111"/>
      <c r="LU172" s="111"/>
      <c r="LV172" s="111"/>
      <c r="LW172" s="111"/>
      <c r="LX172" s="111"/>
      <c r="LY172" s="111"/>
      <c r="LZ172" s="111"/>
      <c r="MA172" s="111"/>
      <c r="MB172" s="111"/>
      <c r="MC172" s="111"/>
      <c r="MD172" s="111"/>
      <c r="ME172" s="111"/>
      <c r="MF172" s="111"/>
      <c r="MG172" s="111"/>
      <c r="MH172" s="111"/>
    </row>
    <row r="173" spans="1:346" x14ac:dyDescent="0.25">
      <c r="A173" s="110" t="s">
        <v>152</v>
      </c>
      <c r="B173" s="101" t="s">
        <v>71</v>
      </c>
      <c r="C173" s="102"/>
      <c r="D173" s="102"/>
      <c r="E173" s="102"/>
      <c r="F173" s="102"/>
      <c r="G173" s="102"/>
      <c r="H173" s="102"/>
      <c r="I173" s="102"/>
      <c r="J173" s="103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3"/>
      <c r="AV173" s="114" t="str">
        <f t="shared" si="854"/>
        <v>x</v>
      </c>
      <c r="AW173" s="114" t="str">
        <f t="shared" si="855"/>
        <v>x</v>
      </c>
      <c r="AX173" s="111"/>
      <c r="AY173" s="111"/>
      <c r="AZ173" s="112" t="str">
        <f t="shared" si="856"/>
        <v>x</v>
      </c>
      <c r="BA173" s="112" t="str">
        <f t="shared" si="857"/>
        <v>x</v>
      </c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2" t="str">
        <f t="shared" si="858"/>
        <v>x</v>
      </c>
      <c r="BS173" s="112"/>
      <c r="BT173" s="111"/>
      <c r="BU173" s="112" t="str">
        <f t="shared" si="859"/>
        <v>x</v>
      </c>
      <c r="BV173" s="112"/>
      <c r="BW173" s="112"/>
      <c r="BX173" s="112"/>
      <c r="BY173" s="112"/>
      <c r="BZ173" s="112" t="str">
        <f t="shared" si="860"/>
        <v>x</v>
      </c>
      <c r="CA173" s="112" t="str">
        <f t="shared" si="861"/>
        <v>x</v>
      </c>
      <c r="CB173" s="112" t="str">
        <f t="shared" si="862"/>
        <v>x</v>
      </c>
      <c r="CC173" s="112"/>
      <c r="CD173" s="112"/>
      <c r="CE173" s="111"/>
      <c r="CF173" s="111"/>
      <c r="CG173" s="111"/>
      <c r="CH173" s="111"/>
      <c r="CI173" s="111"/>
      <c r="CJ173" s="112" t="str">
        <f t="shared" si="863"/>
        <v>x</v>
      </c>
      <c r="CK173" s="112"/>
      <c r="CL173" s="112"/>
      <c r="CM173" s="112"/>
      <c r="CN173" s="112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2"/>
      <c r="CZ173" s="112"/>
      <c r="DA173" s="112"/>
      <c r="DB173" s="115"/>
      <c r="DC173" s="112"/>
      <c r="DD173" s="112"/>
      <c r="DE173" s="112" t="str">
        <f t="shared" si="864"/>
        <v>x</v>
      </c>
      <c r="DF173" s="115" t="str">
        <f t="shared" si="865"/>
        <v>x</v>
      </c>
      <c r="DG173" s="112" t="str">
        <f t="shared" si="866"/>
        <v>x</v>
      </c>
      <c r="DH173" s="112" t="str">
        <f t="shared" si="867"/>
        <v>x</v>
      </c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8"/>
      <c r="EP173" s="118"/>
      <c r="EQ173" s="111"/>
      <c r="ER173" s="111"/>
      <c r="ES173" s="111"/>
      <c r="ET173" s="111"/>
      <c r="EU173" s="111"/>
      <c r="EV173" s="112" t="str">
        <f t="shared" si="846"/>
        <v>x</v>
      </c>
      <c r="EW173" s="111"/>
      <c r="EX173" s="111"/>
      <c r="EY173" s="111"/>
      <c r="EZ173" s="111"/>
      <c r="FA173" s="111"/>
      <c r="FB173" s="111"/>
      <c r="FC173" s="112" t="str">
        <f t="shared" si="868"/>
        <v>x</v>
      </c>
      <c r="FD173" s="111"/>
      <c r="FE173" s="111"/>
      <c r="FF173" s="111"/>
      <c r="FG173" s="111"/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2" t="str">
        <f t="shared" si="869"/>
        <v>x</v>
      </c>
      <c r="HC173" s="112" t="str">
        <f t="shared" si="848"/>
        <v>x</v>
      </c>
      <c r="HD173" s="112" t="str">
        <f t="shared" si="849"/>
        <v>x</v>
      </c>
      <c r="HE173" s="112" t="str">
        <f t="shared" si="850"/>
        <v>x</v>
      </c>
      <c r="HF173" s="112" t="str">
        <f t="shared" si="851"/>
        <v>x</v>
      </c>
      <c r="HG173" s="112"/>
      <c r="HH173" s="112"/>
      <c r="HI173" s="112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2" t="str">
        <f t="shared" si="870"/>
        <v>x</v>
      </c>
      <c r="HY173" s="112" t="str">
        <f t="shared" si="871"/>
        <v>x</v>
      </c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  <c r="IY173" s="111"/>
      <c r="IZ173" s="111"/>
      <c r="JA173" s="111"/>
      <c r="JB173" s="111"/>
      <c r="JC173" s="111"/>
      <c r="JD173" s="111"/>
      <c r="JE173" s="111"/>
      <c r="JF173" s="111"/>
      <c r="JG173" s="111"/>
      <c r="JH173" s="111"/>
      <c r="JI173" s="111"/>
      <c r="JJ173" s="111"/>
      <c r="JK173" s="111"/>
      <c r="JL173" s="111"/>
      <c r="JM173" s="111"/>
      <c r="JN173" s="111"/>
      <c r="JO173" s="111"/>
      <c r="JP173" s="111"/>
      <c r="JQ173" s="111"/>
      <c r="JR173" s="111"/>
      <c r="JS173" s="111"/>
      <c r="JT173" s="111"/>
      <c r="JU173" s="111"/>
      <c r="JV173" s="111"/>
      <c r="JW173" s="111"/>
      <c r="JX173" s="111"/>
      <c r="JY173" s="111"/>
      <c r="JZ173" s="111"/>
      <c r="KA173" s="111"/>
      <c r="KB173" s="111"/>
      <c r="KC173" s="111"/>
      <c r="KD173" s="111"/>
      <c r="KE173" s="111"/>
      <c r="KF173" s="111"/>
      <c r="KG173" s="111"/>
      <c r="KH173" s="111"/>
      <c r="KI173" s="111"/>
      <c r="KJ173" s="111"/>
      <c r="KK173" s="111"/>
      <c r="KL173" s="111"/>
      <c r="KM173" s="111"/>
      <c r="KN173" s="111"/>
      <c r="KO173" s="111"/>
      <c r="KP173" s="111"/>
      <c r="KQ173" s="111"/>
      <c r="KR173" s="111"/>
      <c r="KS173" s="111"/>
      <c r="KT173" s="111"/>
      <c r="KU173" s="111"/>
      <c r="KV173" s="111"/>
      <c r="KW173" s="111"/>
      <c r="KX173" s="111"/>
      <c r="KY173" s="111"/>
      <c r="KZ173" s="111"/>
      <c r="LA173" s="111"/>
      <c r="LB173" s="111"/>
      <c r="LC173" s="111"/>
      <c r="LD173" s="111"/>
      <c r="LE173" s="111"/>
      <c r="LF173" s="111"/>
      <c r="LG173" s="111"/>
      <c r="LH173" s="111"/>
      <c r="LI173" s="111"/>
      <c r="LJ173" s="111"/>
      <c r="LK173" s="111"/>
      <c r="LL173" s="111"/>
      <c r="LM173" s="111"/>
      <c r="LN173" s="111"/>
      <c r="LO173" s="111"/>
      <c r="LP173" s="111"/>
      <c r="LQ173" s="111"/>
      <c r="LR173" s="111"/>
      <c r="LS173" s="111"/>
      <c r="LT173" s="111"/>
      <c r="LU173" s="111"/>
      <c r="LV173" s="111"/>
      <c r="LW173" s="111"/>
      <c r="LX173" s="111"/>
      <c r="LY173" s="111"/>
      <c r="LZ173" s="111"/>
      <c r="MA173" s="111"/>
      <c r="MB173" s="111"/>
      <c r="MC173" s="111"/>
      <c r="MD173" s="111"/>
      <c r="ME173" s="111"/>
      <c r="MF173" s="111"/>
      <c r="MG173" s="111"/>
      <c r="MH173" s="111"/>
    </row>
    <row r="174" spans="1:346" x14ac:dyDescent="0.25">
      <c r="A174" s="110" t="s">
        <v>152</v>
      </c>
      <c r="B174" s="101" t="s">
        <v>75</v>
      </c>
      <c r="C174" s="102"/>
      <c r="D174" s="102"/>
      <c r="E174" s="102"/>
      <c r="F174" s="102"/>
      <c r="G174" s="102"/>
      <c r="H174" s="102"/>
      <c r="I174" s="102"/>
      <c r="J174" s="103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3"/>
      <c r="AV174" s="114" t="str">
        <f t="shared" si="854"/>
        <v>x</v>
      </c>
      <c r="AW174" s="114" t="str">
        <f t="shared" si="855"/>
        <v>x</v>
      </c>
      <c r="AX174" s="111"/>
      <c r="AY174" s="111"/>
      <c r="AZ174" s="112" t="str">
        <f t="shared" si="856"/>
        <v>x</v>
      </c>
      <c r="BA174" s="112" t="str">
        <f t="shared" si="857"/>
        <v>x</v>
      </c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2" t="str">
        <f t="shared" si="858"/>
        <v>x</v>
      </c>
      <c r="BS174" s="112"/>
      <c r="BT174" s="111"/>
      <c r="BU174" s="112" t="str">
        <f t="shared" si="859"/>
        <v>x</v>
      </c>
      <c r="BV174" s="112"/>
      <c r="BW174" s="112"/>
      <c r="BX174" s="112"/>
      <c r="BY174" s="112"/>
      <c r="BZ174" s="112" t="str">
        <f t="shared" si="860"/>
        <v>x</v>
      </c>
      <c r="CA174" s="112" t="str">
        <f t="shared" si="861"/>
        <v>x</v>
      </c>
      <c r="CB174" s="112" t="str">
        <f t="shared" si="862"/>
        <v>x</v>
      </c>
      <c r="CC174" s="112"/>
      <c r="CD174" s="112"/>
      <c r="CE174" s="111"/>
      <c r="CF174" s="111"/>
      <c r="CG174" s="111"/>
      <c r="CH174" s="111"/>
      <c r="CI174" s="111"/>
      <c r="CJ174" s="112" t="str">
        <f t="shared" si="863"/>
        <v>x</v>
      </c>
      <c r="CK174" s="112"/>
      <c r="CL174" s="112"/>
      <c r="CM174" s="112"/>
      <c r="CN174" s="112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2"/>
      <c r="CZ174" s="112"/>
      <c r="DA174" s="112"/>
      <c r="DB174" s="115"/>
      <c r="DC174" s="112"/>
      <c r="DD174" s="112"/>
      <c r="DE174" s="112" t="str">
        <f t="shared" si="864"/>
        <v>x</v>
      </c>
      <c r="DF174" s="115" t="str">
        <f t="shared" si="865"/>
        <v>x</v>
      </c>
      <c r="DG174" s="112" t="str">
        <f t="shared" si="866"/>
        <v>x</v>
      </c>
      <c r="DH174" s="112" t="str">
        <f t="shared" si="867"/>
        <v>x</v>
      </c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8"/>
      <c r="EP174" s="118"/>
      <c r="EQ174" s="111"/>
      <c r="ER174" s="111"/>
      <c r="ES174" s="111"/>
      <c r="ET174" s="111"/>
      <c r="EU174" s="111"/>
      <c r="EV174" s="112" t="str">
        <f t="shared" si="846"/>
        <v>x</v>
      </c>
      <c r="EW174" s="111"/>
      <c r="EX174" s="111"/>
      <c r="EY174" s="111"/>
      <c r="EZ174" s="111"/>
      <c r="FA174" s="111"/>
      <c r="FB174" s="111"/>
      <c r="FC174" s="112" t="str">
        <f t="shared" si="868"/>
        <v>x</v>
      </c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2" t="str">
        <f t="shared" si="869"/>
        <v>x</v>
      </c>
      <c r="HC174" s="112" t="str">
        <f t="shared" si="848"/>
        <v>x</v>
      </c>
      <c r="HD174" s="112" t="str">
        <f t="shared" si="849"/>
        <v>x</v>
      </c>
      <c r="HE174" s="112" t="str">
        <f t="shared" si="850"/>
        <v>x</v>
      </c>
      <c r="HF174" s="112" t="str">
        <f t="shared" si="851"/>
        <v>x</v>
      </c>
      <c r="HG174" s="112"/>
      <c r="HH174" s="112"/>
      <c r="HI174" s="112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2" t="str">
        <f t="shared" si="870"/>
        <v>x</v>
      </c>
      <c r="HY174" s="112" t="str">
        <f t="shared" si="871"/>
        <v>x</v>
      </c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1"/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</row>
    <row r="175" spans="1:346" x14ac:dyDescent="0.25">
      <c r="A175" s="110" t="s">
        <v>152</v>
      </c>
      <c r="B175" s="101" t="s">
        <v>47</v>
      </c>
      <c r="C175" s="102"/>
      <c r="D175" s="102"/>
      <c r="E175" s="102"/>
      <c r="F175" s="102"/>
      <c r="G175" s="102"/>
      <c r="H175" s="102"/>
      <c r="I175" s="102"/>
      <c r="J175" s="103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3"/>
      <c r="AV175" s="114" t="str">
        <f t="shared" si="854"/>
        <v>x</v>
      </c>
      <c r="AW175" s="114" t="str">
        <f t="shared" si="855"/>
        <v>x</v>
      </c>
      <c r="AX175" s="111"/>
      <c r="AY175" s="111"/>
      <c r="AZ175" s="112" t="str">
        <f t="shared" si="856"/>
        <v>x</v>
      </c>
      <c r="BA175" s="112" t="str">
        <f t="shared" si="857"/>
        <v>x</v>
      </c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2" t="str">
        <f t="shared" si="858"/>
        <v>x</v>
      </c>
      <c r="BS175" s="112"/>
      <c r="BT175" s="111"/>
      <c r="BU175" s="112" t="str">
        <f t="shared" si="859"/>
        <v>x</v>
      </c>
      <c r="BV175" s="112"/>
      <c r="BW175" s="112"/>
      <c r="BX175" s="112"/>
      <c r="BY175" s="112"/>
      <c r="BZ175" s="112" t="str">
        <f t="shared" si="860"/>
        <v>x</v>
      </c>
      <c r="CA175" s="112" t="str">
        <f t="shared" si="861"/>
        <v>x</v>
      </c>
      <c r="CB175" s="112" t="str">
        <f t="shared" si="862"/>
        <v>x</v>
      </c>
      <c r="CC175" s="112"/>
      <c r="CD175" s="112"/>
      <c r="CE175" s="111"/>
      <c r="CF175" s="111"/>
      <c r="CG175" s="111"/>
      <c r="CH175" s="111"/>
      <c r="CI175" s="111"/>
      <c r="CJ175" s="112" t="str">
        <f t="shared" si="863"/>
        <v>x</v>
      </c>
      <c r="CK175" s="112"/>
      <c r="CL175" s="112"/>
      <c r="CM175" s="112"/>
      <c r="CN175" s="112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2"/>
      <c r="CZ175" s="112"/>
      <c r="DA175" s="112"/>
      <c r="DB175" s="115"/>
      <c r="DC175" s="112"/>
      <c r="DD175" s="112"/>
      <c r="DE175" s="112" t="str">
        <f t="shared" si="864"/>
        <v>x</v>
      </c>
      <c r="DF175" s="115" t="str">
        <f t="shared" si="865"/>
        <v>x</v>
      </c>
      <c r="DG175" s="112" t="str">
        <f t="shared" si="866"/>
        <v>x</v>
      </c>
      <c r="DH175" s="112" t="str">
        <f t="shared" si="867"/>
        <v>x</v>
      </c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8"/>
      <c r="EP175" s="118"/>
      <c r="EQ175" s="111"/>
      <c r="ER175" s="111"/>
      <c r="ES175" s="111"/>
      <c r="ET175" s="111"/>
      <c r="EU175" s="111"/>
      <c r="EV175" s="112" t="str">
        <f t="shared" si="846"/>
        <v>x</v>
      </c>
      <c r="EW175" s="111"/>
      <c r="EX175" s="111"/>
      <c r="EY175" s="111"/>
      <c r="EZ175" s="111"/>
      <c r="FA175" s="111"/>
      <c r="FB175" s="111"/>
      <c r="FC175" s="112" t="str">
        <f t="shared" si="868"/>
        <v>x</v>
      </c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2" t="str">
        <f t="shared" si="869"/>
        <v>x</v>
      </c>
      <c r="HC175" s="112" t="str">
        <f t="shared" si="848"/>
        <v>x</v>
      </c>
      <c r="HD175" s="112" t="str">
        <f t="shared" si="849"/>
        <v>x</v>
      </c>
      <c r="HE175" s="112" t="str">
        <f t="shared" si="850"/>
        <v>x</v>
      </c>
      <c r="HF175" s="112" t="str">
        <f t="shared" si="851"/>
        <v>x</v>
      </c>
      <c r="HG175" s="112"/>
      <c r="HH175" s="112"/>
      <c r="HI175" s="112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2" t="str">
        <f t="shared" si="870"/>
        <v>x</v>
      </c>
      <c r="HY175" s="112" t="str">
        <f t="shared" si="871"/>
        <v>x</v>
      </c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1"/>
      <c r="IZ175" s="111"/>
      <c r="JA175" s="111"/>
      <c r="JB175" s="111"/>
      <c r="JC175" s="111"/>
      <c r="JD175" s="111"/>
      <c r="JE175" s="111"/>
      <c r="JF175" s="111"/>
      <c r="JG175" s="111"/>
      <c r="JH175" s="111"/>
      <c r="JI175" s="111"/>
      <c r="JJ175" s="111"/>
      <c r="JK175" s="111"/>
      <c r="JL175" s="111"/>
      <c r="JM175" s="111"/>
      <c r="JN175" s="111"/>
      <c r="JO175" s="111"/>
      <c r="JP175" s="111"/>
      <c r="JQ175" s="111"/>
      <c r="JR175" s="111"/>
      <c r="JS175" s="111"/>
      <c r="JT175" s="111"/>
      <c r="JU175" s="111"/>
      <c r="JV175" s="111"/>
      <c r="JW175" s="111"/>
      <c r="JX175" s="111"/>
      <c r="JY175" s="111"/>
      <c r="JZ175" s="111"/>
      <c r="KA175" s="111"/>
      <c r="KB175" s="111"/>
      <c r="KC175" s="111"/>
      <c r="KD175" s="111"/>
      <c r="KE175" s="111"/>
      <c r="KF175" s="111"/>
      <c r="KG175" s="111"/>
      <c r="KH175" s="111"/>
      <c r="KI175" s="111"/>
      <c r="KJ175" s="111"/>
      <c r="KK175" s="111"/>
      <c r="KL175" s="111"/>
      <c r="KM175" s="111"/>
      <c r="KN175" s="111"/>
      <c r="KO175" s="111"/>
      <c r="KP175" s="111"/>
      <c r="KQ175" s="111"/>
      <c r="KR175" s="111"/>
      <c r="KS175" s="111"/>
      <c r="KT175" s="111"/>
      <c r="KU175" s="111"/>
      <c r="KV175" s="111"/>
      <c r="KW175" s="111"/>
      <c r="KX175" s="111"/>
      <c r="KY175" s="111"/>
      <c r="KZ175" s="111"/>
      <c r="LA175" s="111"/>
      <c r="LB175" s="111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1"/>
      <c r="ME175" s="111"/>
      <c r="MF175" s="111"/>
      <c r="MG175" s="111"/>
      <c r="MH175" s="111"/>
    </row>
    <row r="176" spans="1:346" x14ac:dyDescent="0.25">
      <c r="A176" s="110" t="s">
        <v>152</v>
      </c>
      <c r="B176" s="101" t="s">
        <v>57</v>
      </c>
      <c r="C176" s="102"/>
      <c r="D176" s="102"/>
      <c r="E176" s="102"/>
      <c r="F176" s="102"/>
      <c r="G176" s="102"/>
      <c r="H176" s="102"/>
      <c r="I176" s="102"/>
      <c r="J176" s="103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3"/>
      <c r="AV176" s="114" t="str">
        <f t="shared" si="854"/>
        <v>x</v>
      </c>
      <c r="AW176" s="114" t="str">
        <f t="shared" si="855"/>
        <v>x</v>
      </c>
      <c r="AX176" s="111"/>
      <c r="AY176" s="111"/>
      <c r="AZ176" s="112" t="str">
        <f t="shared" si="856"/>
        <v>x</v>
      </c>
      <c r="BA176" s="112" t="str">
        <f t="shared" si="857"/>
        <v>x</v>
      </c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2" t="str">
        <f t="shared" si="858"/>
        <v>x</v>
      </c>
      <c r="BS176" s="112"/>
      <c r="BT176" s="111"/>
      <c r="BU176" s="112" t="str">
        <f t="shared" si="859"/>
        <v>x</v>
      </c>
      <c r="BV176" s="112"/>
      <c r="BW176" s="112"/>
      <c r="BX176" s="112"/>
      <c r="BY176" s="112"/>
      <c r="BZ176" s="112" t="str">
        <f t="shared" si="860"/>
        <v>x</v>
      </c>
      <c r="CA176" s="112" t="str">
        <f t="shared" si="861"/>
        <v>x</v>
      </c>
      <c r="CB176" s="112" t="str">
        <f t="shared" si="862"/>
        <v>x</v>
      </c>
      <c r="CC176" s="112"/>
      <c r="CD176" s="112"/>
      <c r="CE176" s="111"/>
      <c r="CF176" s="111"/>
      <c r="CG176" s="111"/>
      <c r="CH176" s="111"/>
      <c r="CI176" s="111"/>
      <c r="CJ176" s="112" t="str">
        <f t="shared" si="863"/>
        <v>x</v>
      </c>
      <c r="CK176" s="112"/>
      <c r="CL176" s="112"/>
      <c r="CM176" s="112"/>
      <c r="CN176" s="112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2"/>
      <c r="CZ176" s="112"/>
      <c r="DA176" s="112"/>
      <c r="DB176" s="115"/>
      <c r="DC176" s="112"/>
      <c r="DD176" s="112"/>
      <c r="DE176" s="112" t="str">
        <f t="shared" si="864"/>
        <v>x</v>
      </c>
      <c r="DF176" s="115" t="str">
        <f t="shared" si="865"/>
        <v>x</v>
      </c>
      <c r="DG176" s="112" t="str">
        <f t="shared" si="866"/>
        <v>x</v>
      </c>
      <c r="DH176" s="112" t="str">
        <f t="shared" si="867"/>
        <v>x</v>
      </c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8"/>
      <c r="EP176" s="118"/>
      <c r="EQ176" s="111"/>
      <c r="ER176" s="111"/>
      <c r="ES176" s="111"/>
      <c r="ET176" s="111"/>
      <c r="EU176" s="111"/>
      <c r="EV176" s="112" t="str">
        <f t="shared" si="846"/>
        <v>x</v>
      </c>
      <c r="EW176" s="111"/>
      <c r="EX176" s="111"/>
      <c r="EY176" s="111"/>
      <c r="EZ176" s="111"/>
      <c r="FA176" s="111"/>
      <c r="FB176" s="111"/>
      <c r="FC176" s="112" t="str">
        <f t="shared" si="868"/>
        <v>x</v>
      </c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2" t="str">
        <f t="shared" si="869"/>
        <v>x</v>
      </c>
      <c r="HC176" s="112" t="str">
        <f t="shared" si="848"/>
        <v>x</v>
      </c>
      <c r="HD176" s="112" t="str">
        <f t="shared" si="849"/>
        <v>x</v>
      </c>
      <c r="HE176" s="112" t="str">
        <f t="shared" si="850"/>
        <v>x</v>
      </c>
      <c r="HF176" s="112" t="str">
        <f t="shared" si="851"/>
        <v>x</v>
      </c>
      <c r="HG176" s="112"/>
      <c r="HH176" s="112"/>
      <c r="HI176" s="112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2" t="str">
        <f t="shared" si="870"/>
        <v>x</v>
      </c>
      <c r="HY176" s="112" t="str">
        <f t="shared" si="871"/>
        <v>x</v>
      </c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1"/>
      <c r="IZ176" s="111"/>
      <c r="JA176" s="111"/>
      <c r="JB176" s="111"/>
      <c r="JC176" s="111"/>
      <c r="JD176" s="111"/>
      <c r="JE176" s="111"/>
      <c r="JF176" s="111"/>
      <c r="JG176" s="111"/>
      <c r="JH176" s="111"/>
      <c r="JI176" s="111"/>
      <c r="JJ176" s="111"/>
      <c r="JK176" s="111"/>
      <c r="JL176" s="111"/>
      <c r="JM176" s="111"/>
      <c r="JN176" s="111"/>
      <c r="JO176" s="111"/>
      <c r="JP176" s="111"/>
      <c r="JQ176" s="111"/>
      <c r="JR176" s="111"/>
      <c r="JS176" s="111"/>
      <c r="JT176" s="111"/>
      <c r="JU176" s="111"/>
      <c r="JV176" s="111"/>
      <c r="JW176" s="111"/>
      <c r="JX176" s="111"/>
      <c r="JY176" s="111"/>
      <c r="JZ176" s="111"/>
      <c r="KA176" s="111"/>
      <c r="KB176" s="111"/>
      <c r="KC176" s="111"/>
      <c r="KD176" s="111"/>
      <c r="KE176" s="111"/>
      <c r="KF176" s="111"/>
      <c r="KG176" s="111"/>
      <c r="KH176" s="111"/>
      <c r="KI176" s="111"/>
      <c r="KJ176" s="111"/>
      <c r="KK176" s="111"/>
      <c r="KL176" s="111"/>
      <c r="KM176" s="111"/>
      <c r="KN176" s="111"/>
      <c r="KO176" s="111"/>
      <c r="KP176" s="111"/>
      <c r="KQ176" s="111"/>
      <c r="KR176" s="111"/>
      <c r="KS176" s="111"/>
      <c r="KT176" s="111"/>
      <c r="KU176" s="111"/>
      <c r="KV176" s="111"/>
      <c r="KW176" s="111"/>
      <c r="KX176" s="111"/>
      <c r="KY176" s="111"/>
      <c r="KZ176" s="111"/>
      <c r="LA176" s="111"/>
      <c r="LB176" s="111"/>
      <c r="LC176" s="111"/>
      <c r="LD176" s="111"/>
      <c r="LE176" s="111"/>
      <c r="LF176" s="111"/>
      <c r="LG176" s="111"/>
      <c r="LH176" s="111"/>
      <c r="LI176" s="111"/>
      <c r="LJ176" s="111"/>
      <c r="LK176" s="111"/>
      <c r="LL176" s="111"/>
      <c r="LM176" s="111"/>
      <c r="LN176" s="111"/>
      <c r="LO176" s="111"/>
      <c r="LP176" s="111"/>
      <c r="LQ176" s="111"/>
      <c r="LR176" s="111"/>
      <c r="LS176" s="111"/>
      <c r="LT176" s="111"/>
      <c r="LU176" s="111"/>
      <c r="LV176" s="111"/>
      <c r="LW176" s="111"/>
      <c r="LX176" s="111"/>
      <c r="LY176" s="111"/>
      <c r="LZ176" s="111"/>
      <c r="MA176" s="111"/>
      <c r="MB176" s="111"/>
      <c r="MC176" s="111"/>
      <c r="MD176" s="111"/>
      <c r="ME176" s="111"/>
      <c r="MF176" s="111"/>
      <c r="MG176" s="111"/>
      <c r="MH176" s="111"/>
    </row>
    <row r="177" spans="1:346" x14ac:dyDescent="0.25">
      <c r="A177" s="110" t="s">
        <v>152</v>
      </c>
      <c r="B177" s="101" t="s">
        <v>76</v>
      </c>
      <c r="C177" s="102"/>
      <c r="D177" s="102"/>
      <c r="E177" s="102"/>
      <c r="F177" s="102"/>
      <c r="G177" s="102"/>
      <c r="H177" s="102"/>
      <c r="I177" s="102"/>
      <c r="J177" s="103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3"/>
      <c r="AV177" s="114" t="str">
        <f t="shared" si="854"/>
        <v>x</v>
      </c>
      <c r="AW177" s="114" t="str">
        <f t="shared" si="855"/>
        <v>x</v>
      </c>
      <c r="AX177" s="111"/>
      <c r="AY177" s="111"/>
      <c r="AZ177" s="112" t="str">
        <f t="shared" si="856"/>
        <v>x</v>
      </c>
      <c r="BA177" s="112" t="str">
        <f t="shared" si="857"/>
        <v>x</v>
      </c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2" t="str">
        <f t="shared" si="858"/>
        <v>x</v>
      </c>
      <c r="BS177" s="112"/>
      <c r="BT177" s="111"/>
      <c r="BU177" s="112" t="str">
        <f t="shared" si="859"/>
        <v>x</v>
      </c>
      <c r="BV177" s="112"/>
      <c r="BW177" s="112"/>
      <c r="BX177" s="112"/>
      <c r="BY177" s="112"/>
      <c r="BZ177" s="112" t="str">
        <f t="shared" si="860"/>
        <v>x</v>
      </c>
      <c r="CA177" s="112" t="str">
        <f t="shared" si="861"/>
        <v>x</v>
      </c>
      <c r="CB177" s="112" t="str">
        <f t="shared" si="862"/>
        <v>x</v>
      </c>
      <c r="CC177" s="112"/>
      <c r="CD177" s="112"/>
      <c r="CE177" s="111"/>
      <c r="CF177" s="111"/>
      <c r="CG177" s="111"/>
      <c r="CH177" s="111"/>
      <c r="CI177" s="111"/>
      <c r="CJ177" s="112" t="str">
        <f t="shared" si="863"/>
        <v>x</v>
      </c>
      <c r="CK177" s="112"/>
      <c r="CL177" s="112"/>
      <c r="CM177" s="112"/>
      <c r="CN177" s="112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2"/>
      <c r="CZ177" s="112"/>
      <c r="DA177" s="112"/>
      <c r="DB177" s="115"/>
      <c r="DC177" s="112"/>
      <c r="DD177" s="112"/>
      <c r="DE177" s="112" t="str">
        <f t="shared" si="864"/>
        <v>x</v>
      </c>
      <c r="DF177" s="115" t="str">
        <f t="shared" si="865"/>
        <v>x</v>
      </c>
      <c r="DG177" s="112" t="str">
        <f t="shared" si="866"/>
        <v>x</v>
      </c>
      <c r="DH177" s="112" t="str">
        <f t="shared" si="867"/>
        <v>x</v>
      </c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8"/>
      <c r="EP177" s="118"/>
      <c r="EQ177" s="111"/>
      <c r="ER177" s="111"/>
      <c r="ES177" s="111"/>
      <c r="ET177" s="111"/>
      <c r="EU177" s="111"/>
      <c r="EV177" s="112" t="str">
        <f t="shared" si="846"/>
        <v>x</v>
      </c>
      <c r="EW177" s="111"/>
      <c r="EX177" s="111"/>
      <c r="EY177" s="111"/>
      <c r="EZ177" s="111"/>
      <c r="FA177" s="111"/>
      <c r="FB177" s="111"/>
      <c r="FC177" s="112" t="str">
        <f t="shared" si="868"/>
        <v>x</v>
      </c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2" t="str">
        <f t="shared" si="869"/>
        <v>x</v>
      </c>
      <c r="HC177" s="112" t="str">
        <f t="shared" si="848"/>
        <v>x</v>
      </c>
      <c r="HD177" s="112" t="str">
        <f t="shared" si="849"/>
        <v>x</v>
      </c>
      <c r="HE177" s="112" t="str">
        <f t="shared" si="850"/>
        <v>x</v>
      </c>
      <c r="HF177" s="112" t="str">
        <f t="shared" si="851"/>
        <v>x</v>
      </c>
      <c r="HG177" s="112"/>
      <c r="HH177" s="112"/>
      <c r="HI177" s="112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2" t="str">
        <f t="shared" si="870"/>
        <v>x</v>
      </c>
      <c r="HY177" s="112" t="str">
        <f t="shared" si="871"/>
        <v>x</v>
      </c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1"/>
      <c r="IZ177" s="111"/>
      <c r="JA177" s="111"/>
      <c r="JB177" s="111"/>
      <c r="JC177" s="111"/>
      <c r="JD177" s="111"/>
      <c r="JE177" s="111"/>
      <c r="JF177" s="111"/>
      <c r="JG177" s="111"/>
      <c r="JH177" s="111"/>
      <c r="JI177" s="111"/>
      <c r="JJ177" s="111"/>
      <c r="JK177" s="111"/>
      <c r="JL177" s="111"/>
      <c r="JM177" s="111"/>
      <c r="JN177" s="111"/>
      <c r="JO177" s="111"/>
      <c r="JP177" s="111"/>
      <c r="JQ177" s="111"/>
      <c r="JR177" s="111"/>
      <c r="JS177" s="111"/>
      <c r="JT177" s="111"/>
      <c r="JU177" s="111"/>
      <c r="JV177" s="111"/>
      <c r="JW177" s="111"/>
      <c r="JX177" s="111"/>
      <c r="JY177" s="111"/>
      <c r="JZ177" s="111"/>
      <c r="KA177" s="111"/>
      <c r="KB177" s="111"/>
      <c r="KC177" s="111"/>
      <c r="KD177" s="111"/>
      <c r="KE177" s="111"/>
      <c r="KF177" s="111"/>
      <c r="KG177" s="111"/>
      <c r="KH177" s="111"/>
      <c r="KI177" s="111"/>
      <c r="KJ177" s="111"/>
      <c r="KK177" s="111"/>
      <c r="KL177" s="111"/>
      <c r="KM177" s="111"/>
      <c r="KN177" s="111"/>
      <c r="KO177" s="111"/>
      <c r="KP177" s="111"/>
      <c r="KQ177" s="111"/>
      <c r="KR177" s="111"/>
      <c r="KS177" s="111"/>
      <c r="KT177" s="111"/>
      <c r="KU177" s="111"/>
      <c r="KV177" s="111"/>
      <c r="KW177" s="111"/>
      <c r="KX177" s="111"/>
      <c r="KY177" s="111"/>
      <c r="KZ177" s="111"/>
      <c r="LA177" s="111"/>
      <c r="LB177" s="111"/>
      <c r="LC177" s="111"/>
      <c r="LD177" s="111"/>
      <c r="LE177" s="111"/>
      <c r="LF177" s="111"/>
      <c r="LG177" s="111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1"/>
      <c r="LU177" s="111"/>
      <c r="LV177" s="111"/>
      <c r="LW177" s="111"/>
      <c r="LX177" s="111"/>
      <c r="LY177" s="111"/>
      <c r="LZ177" s="111"/>
      <c r="MA177" s="111"/>
      <c r="MB177" s="111"/>
      <c r="MC177" s="111"/>
      <c r="MD177" s="111"/>
      <c r="ME177" s="111"/>
      <c r="MF177" s="111"/>
      <c r="MG177" s="111"/>
      <c r="MH177" s="111"/>
    </row>
    <row r="178" spans="1:346" x14ac:dyDescent="0.25">
      <c r="A178" s="101" t="s">
        <v>27</v>
      </c>
      <c r="B178" s="102"/>
      <c r="C178" s="102"/>
      <c r="D178" s="102"/>
      <c r="E178" s="102"/>
      <c r="F178" s="102"/>
      <c r="G178" s="102"/>
      <c r="H178" s="102"/>
      <c r="I178" s="102"/>
      <c r="J178" s="103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6"/>
      <c r="AV178" s="106"/>
      <c r="AW178" s="106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9"/>
      <c r="EP178" s="109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5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4"/>
      <c r="JJ178" s="104"/>
      <c r="JK178" s="104"/>
      <c r="JL178" s="104"/>
      <c r="JM178" s="104"/>
      <c r="JN178" s="104"/>
      <c r="JO178" s="104"/>
      <c r="JP178" s="104"/>
      <c r="JQ178" s="104"/>
      <c r="JR178" s="104"/>
      <c r="JS178" s="104"/>
      <c r="JT178" s="104"/>
      <c r="JU178" s="104"/>
      <c r="JV178" s="104"/>
      <c r="JW178" s="104"/>
      <c r="JX178" s="104"/>
      <c r="JY178" s="104"/>
      <c r="JZ178" s="104"/>
      <c r="KA178" s="104"/>
      <c r="KB178" s="104"/>
      <c r="KC178" s="104"/>
      <c r="KD178" s="104"/>
      <c r="KE178" s="104"/>
      <c r="KF178" s="104"/>
      <c r="KG178" s="104"/>
      <c r="KH178" s="104"/>
      <c r="KI178" s="104"/>
      <c r="KJ178" s="104"/>
      <c r="KK178" s="104"/>
      <c r="KL178" s="104"/>
      <c r="KM178" s="104"/>
      <c r="KN178" s="104"/>
      <c r="KO178" s="104"/>
      <c r="KP178" s="104"/>
      <c r="KQ178" s="104"/>
      <c r="KR178" s="104"/>
      <c r="KS178" s="104"/>
      <c r="KT178" s="104"/>
      <c r="KU178" s="104"/>
      <c r="KV178" s="104"/>
      <c r="KW178" s="104"/>
      <c r="KX178" s="104"/>
      <c r="KY178" s="104"/>
      <c r="KZ178" s="104"/>
      <c r="LA178" s="104"/>
      <c r="LB178" s="104"/>
      <c r="LC178" s="104"/>
      <c r="LD178" s="104"/>
      <c r="LE178" s="104"/>
      <c r="LF178" s="104"/>
      <c r="LG178" s="104"/>
      <c r="LH178" s="104"/>
      <c r="LI178" s="104"/>
      <c r="LJ178" s="104"/>
      <c r="LK178" s="104"/>
      <c r="LL178" s="104"/>
      <c r="LM178" s="104"/>
      <c r="LN178" s="104"/>
      <c r="LO178" s="104"/>
      <c r="LP178" s="104"/>
      <c r="LQ178" s="104"/>
      <c r="LR178" s="104"/>
      <c r="LS178" s="104"/>
      <c r="LT178" s="104"/>
      <c r="LU178" s="104"/>
      <c r="LV178" s="104"/>
      <c r="LW178" s="104"/>
      <c r="LX178" s="104"/>
      <c r="LY178" s="104"/>
      <c r="LZ178" s="104"/>
      <c r="MA178" s="104"/>
      <c r="MB178" s="104"/>
      <c r="MC178" s="104"/>
      <c r="MD178" s="104"/>
      <c r="ME178" s="104"/>
      <c r="MF178" s="104"/>
      <c r="MG178" s="104"/>
      <c r="MH178" s="104"/>
    </row>
    <row r="179" spans="1:346" x14ac:dyDescent="0.25">
      <c r="A179" s="110" t="s">
        <v>27</v>
      </c>
      <c r="B179" s="101" t="s">
        <v>26</v>
      </c>
      <c r="C179" s="102"/>
      <c r="D179" s="102"/>
      <c r="E179" s="102"/>
      <c r="F179" s="102"/>
      <c r="G179" s="102"/>
      <c r="H179" s="102"/>
      <c r="I179" s="102"/>
      <c r="J179" s="103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2" t="str">
        <f t="shared" ref="AG179:AG180" si="872">HYPERLINK("http://sghanstedt.elbnetz.com/ueber-uns/","x")</f>
        <v>x</v>
      </c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3"/>
      <c r="AV179" s="114" t="str">
        <f t="shared" ref="AV179:AV180" si="873">HYPERLINK("http://sab.landtag.sachsen.de/dokumente/landtagskurier/SAB_DeutschLernen_DinA5_WEB141115.pdf","x")</f>
        <v>x</v>
      </c>
      <c r="AW179" s="114" t="str">
        <f t="shared" ref="AW179:AW180" si="874">HYPERLINK("http://sab.landtag.sachsen.de/dokumente/landtagskurier/SAB_PL_Lernposter_WEB091115.pdf","x")</f>
        <v>x</v>
      </c>
      <c r="AX179" s="111"/>
      <c r="AY179" s="111"/>
      <c r="AZ179" s="112" t="str">
        <f t="shared" ref="AZ179:AZ180" si="87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9" s="112" t="str">
        <f t="shared" ref="BA179:BA180" si="876">HYPERLINK("http://wie-kann-ich-helfen.info/WoerterbuchAnalphabet_innen_%28c%29_Dagmar_Schmeelcke.pdf","x")</f>
        <v>x</v>
      </c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2" t="str">
        <f>HYPERLINK("http://www.bundessprachenamt.de/deutsch/wir_ueber_uns/nachrichten/2015/20151103/Verständigungshilfe_Paschtu_07_12_2015.pdf","x")</f>
        <v>x</v>
      </c>
      <c r="BL179" s="111"/>
      <c r="BM179" s="111"/>
      <c r="BN179" s="111"/>
      <c r="BO179" s="111"/>
      <c r="BP179" s="111"/>
      <c r="BQ179" s="112" t="str">
        <f t="shared" ref="BQ179:BQ180" si="877">HYPERLINK("http://www.friedensdorf.de/documents/Woerterbuch_Pashtu.pdf","x")</f>
        <v>x</v>
      </c>
      <c r="BR179" s="112" t="str">
        <f t="shared" ref="BR179:BR180" si="878">HYPERLINK("http://www.goethe.de/lrn/prj/wnd/deu/lti/deindex.htm#13322010","x")</f>
        <v>x</v>
      </c>
      <c r="BS179" s="112"/>
      <c r="BT179" s="111"/>
      <c r="BU179" s="112" t="str">
        <f t="shared" ref="BU179:BU180" si="879">HYPERLINK("https://s3-eu-west-1.amazonaws.com/lingolia/download/lingolia_daf.pdf","x")</f>
        <v>x</v>
      </c>
      <c r="BV179" s="112" t="str">
        <f>HYPERLINK("http://www.welcomegrooves.de/wp-content/uploads/2015/10/welcomegrooves_DE-PASCHTO.pdf","x")</f>
        <v>x</v>
      </c>
      <c r="BW179" s="112"/>
      <c r="BX179" s="112"/>
      <c r="BY179" s="112"/>
      <c r="BZ179" s="112" t="str">
        <f t="shared" ref="BZ179:BZ180" si="880">HYPERLINK("http://www.hueber.de/shared/uebungen/schritte-plus","x")</f>
        <v>x</v>
      </c>
      <c r="CA179" s="112" t="str">
        <f t="shared" ref="CA179:CA180" si="881">HYPERLINK("https://www.hueber.de/shared/uebungen/menschen-hier/ab/a1-1/menu.html","x")</f>
        <v>x</v>
      </c>
      <c r="CB179" s="112" t="str">
        <f t="shared" ref="CB179:CB180" si="882">HYPERLINK("http://www.goethe-verlag.com/DE/","x")</f>
        <v>x</v>
      </c>
      <c r="CC179" s="112"/>
      <c r="CD179" s="112"/>
      <c r="CE179" s="111"/>
      <c r="CF179" s="111"/>
      <c r="CG179" s="111"/>
      <c r="CH179" s="111"/>
      <c r="CI179" s="111"/>
      <c r="CJ179" s="112" t="str">
        <f t="shared" ref="CJ179:CJ180" si="883">HYPERLINK("http://www.e-migrantinnen.de/index.php?de_wichtige-links","x")</f>
        <v>x</v>
      </c>
      <c r="CK179" s="112"/>
      <c r="CL179" s="112"/>
      <c r="CM179" s="112"/>
      <c r="CN179" s="112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2"/>
      <c r="CZ179" s="112" t="str">
        <f t="shared" ref="CZ179:CZ180" si="884">HYPERLINK("http://sichere-orte-schaffen.de/wp-content/uploads/Minibrosch_Fluechtlinge_multilang.pdf","x")</f>
        <v>x</v>
      </c>
      <c r="DA179" s="112"/>
      <c r="DB179" s="115"/>
      <c r="DC179" s="112"/>
      <c r="DD179" s="112"/>
      <c r="DE179" s="112" t="str">
        <f t="shared" ref="DE179:DE180" si="885">HYPERLINK("http://fi-lohmar-siegburg.de/data/documents/130-37_Inklusion_im_Anfangsunterricht_-_Poster_mit_Situationsbildern.pdf","x")</f>
        <v>x</v>
      </c>
      <c r="DF179" s="115" t="str">
        <f t="shared" ref="DF179:DF180" si="886">HYPERLINK("http://s3-eu-west-1.amazonaws.com/lingolia/calendar/2016/lingolia_2016_de.pdf","x")</f>
        <v>x</v>
      </c>
      <c r="DG179" s="112" t="str">
        <f t="shared" ref="DG179:DG180" si="887">HYPERLINK("http://www.bibliomedia.ch/de/angebote/img/Wimmelbild.jpg","x")</f>
        <v>x</v>
      </c>
      <c r="DH179" s="112" t="str">
        <f t="shared" ref="DH179:DH180" si="888">HYPERLINK("http://www.bibliomedia.ch/de/angebote/dokumente/Wimmelbild_Fehler.jpg","x")</f>
        <v>x</v>
      </c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2" t="str">
        <f>HYPERLINK("http://www.kvs-sachsen.de/fileadmin/img/Mitglieder/Asylbewerber/Allg-Informationen/Anlage_1_Paschtu_LEK.pdf","x")</f>
        <v>x</v>
      </c>
      <c r="EM179" s="111"/>
      <c r="EN179" s="111"/>
      <c r="EO179" s="118"/>
      <c r="EP179" s="118"/>
      <c r="EQ179" s="112" t="str">
        <f>HYPERLINK("http://www.kvs-sachsen.de/fileadmin/img/Mitglieder/Asylbewerber/Allg-Informationen/Anlagen_2-1_2-2_Paschtu_LEK.pdf","x")</f>
        <v>x</v>
      </c>
      <c r="ER179" s="111"/>
      <c r="ES179" s="111"/>
      <c r="ET179" s="111"/>
      <c r="EU179" s="111"/>
      <c r="EV179" s="112" t="str">
        <f t="shared" ref="EV179:EV180" si="889">HYPERLINK("http://www.lak-rlp.de/fileadmin/redakteure/pdf/download/Piktogramme_Dosieretiketten_AoG.pdf","x")</f>
        <v>x</v>
      </c>
      <c r="EW179" s="111"/>
      <c r="EX179" s="111"/>
      <c r="EY179" s="111"/>
      <c r="EZ179" s="111"/>
      <c r="FA179" s="111"/>
      <c r="FB179" s="111"/>
      <c r="FC179" s="112" t="str">
        <f t="shared" ref="FC179:FC180" si="890">HYPERLINK("http://mige.ix-tech.de/index.php?id=241","x")</f>
        <v>x</v>
      </c>
      <c r="FD179" s="112" t="str">
        <f t="shared" ref="FD179:FD180" si="891">HYPERLINK("http://sghanstedt.elbnetz.com/ueber-uns/","x")</f>
        <v>x</v>
      </c>
      <c r="FE179" s="111"/>
      <c r="FF179" s="111"/>
      <c r="FG179" s="111"/>
      <c r="FH179" s="111"/>
      <c r="FI179" s="112" t="str">
        <f>HYPERLINK("http://www.bundesgesundheitsministerium.de/fileadmin/dateien/Publikationen/Gesundheit/Broschueren/Ratgeber_Asylsuchende/Ratgeber_Asylsuchende_paschto.pdf","x")</f>
        <v>x</v>
      </c>
      <c r="FJ179" s="112" t="str">
        <f>HYPERLINK("http://www.rki.de/DE/Content/Infekt/Impfen/Materialien/Downloads-Impfkalender/Impfkalender_Pashto.pdf?__blob=publicationFile","x")</f>
        <v>x</v>
      </c>
      <c r="FK179" s="111"/>
      <c r="FL179" s="111"/>
      <c r="FM179" s="111"/>
      <c r="FN179" s="111"/>
      <c r="FO179" s="112" t="str">
        <f>HYPERLINK("http://www.rki.de/DE/Content/Infekt/Impfen/Materialien/Downloads-MMR/MMR-Impfinfo-pashto.pdf?__blob=publicationFile","x")</f>
        <v>x</v>
      </c>
      <c r="FP179" s="111"/>
      <c r="FQ179" s="112" t="str">
        <f>HYPERLINK("http://www.rki.de/DE/Content/Infekt/Impfen/Materialien/Downloads_HepA/Aufklaerung_HAV-Impfung_Pashto.pdf?__blob=publicationFile","x")</f>
        <v>x</v>
      </c>
      <c r="FR179" s="112" t="str">
        <f>HYPERLINK("http://www.rki.de/DE/Content/Infekt/Impfen/Materialien/Downloads_Pneumokokken/Aufklaerung_Pneumo-Impfung_Pashto.pdf?__blob=publicationFile","x")</f>
        <v>x</v>
      </c>
      <c r="FS179" s="112" t="str">
        <f>HYPERLINK("http://www.rki.de/DE/Content/Infekt/Impfen/Materialien/Downloads-DTaPIPVHibHepB/DTaPIPVHibHepB_pashto.pdf?__blob=publicationFile","x")</f>
        <v>x</v>
      </c>
      <c r="FT179" s="112" t="str">
        <f>HYPERLINK("http://www.rki.de/DE/Content/Infekt/Impfen/Materialien/Downloads-Varizellen/Varizellen-Impfinfo-pashto.pdf;jsessionid=65B697F4EE7EDA8A1ED9E2C4CD6C74EC.2_cid363?__blob=publicationFile","x")</f>
        <v>x</v>
      </c>
      <c r="FU179" s="112" t="str">
        <f>HYPERLINK("http://www.rki.de/DE/Content/Infekt/Impfen/Materialien/Downloads-Tdap-IPV/Tdap-IPV-pashto.pdf?__blob=publicationFile","x")</f>
        <v>x</v>
      </c>
      <c r="FV179" s="112" t="str">
        <f>HYPERLINK("http://www.rki.de/DE/Content/Infekt/Impfen/Materialien/Downloads-Influenza_nasal/Influenza_nasal_pashto.pdf?__blob=publicationFile","x")</f>
        <v>x</v>
      </c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2" t="str">
        <f>HYPERLINK("http://www.rki.de/DE/Content/Infekt/Impfen/Materialien/Downloads-Influenza/Influenza_Pashto.pdf?__blob=publicationFile","x")</f>
        <v>x</v>
      </c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2" t="str">
        <f t="shared" si="628"/>
        <v>x</v>
      </c>
      <c r="HC179" s="111"/>
      <c r="HD179" s="111"/>
      <c r="HE179" s="111"/>
      <c r="HF179" s="111"/>
      <c r="HG179" s="111"/>
      <c r="HH179" s="111"/>
      <c r="HI179" s="111"/>
      <c r="HJ179" s="112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2" t="str">
        <f t="shared" ref="HX179:HX180" si="892">HYPERLINK("http://www.selfhelpfortrauma.org/","x")</f>
        <v>x</v>
      </c>
      <c r="HY179" s="112" t="str">
        <f t="shared" ref="HY179:HY180" si="893">HYPERLINK("http://peacefulheart.se/wp-content/uploads/2014/12/Resolving-Yesterday-20141201-Self-Tapping.pdf","x")</f>
        <v>x</v>
      </c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2" t="str">
        <f>HYPERLINK("http://www.bamf.de/SharedDocs/Anlagen/DE/Publikationen/Flyer/flyer-erstorientierung-asylsuchende_pashtu.pdf?__blob=publicationFile","x")</f>
        <v>x</v>
      </c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1"/>
      <c r="IZ179" s="111"/>
      <c r="JA179" s="111"/>
      <c r="JB179" s="111"/>
      <c r="JC179" s="111"/>
      <c r="JD179" s="111"/>
      <c r="JE179" s="111"/>
      <c r="JF179" s="111"/>
      <c r="JG179" s="111"/>
      <c r="JH179" s="111"/>
      <c r="JI179" s="111"/>
      <c r="JJ179" s="111"/>
      <c r="JK179" s="111"/>
      <c r="JL179" s="111"/>
      <c r="JM179" s="111"/>
      <c r="JN179" s="111"/>
      <c r="JO179" s="111"/>
      <c r="JP179" s="111"/>
      <c r="JQ179" s="111"/>
      <c r="JR179" s="111"/>
      <c r="JS179" s="111"/>
      <c r="JT179" s="111"/>
      <c r="JU179" s="111"/>
      <c r="JV179" s="111"/>
      <c r="JW179" s="111"/>
      <c r="JX179" s="112"/>
      <c r="JY179" s="112"/>
      <c r="JZ179" s="112"/>
      <c r="KA179" s="112" t="str">
        <f>HYPERLINK("http://www.refugeeguide.de/dl/RefugeeGuide_ps_1021.pdf","x")</f>
        <v>x</v>
      </c>
      <c r="KB179" s="111"/>
      <c r="KC179" s="111"/>
      <c r="KD179" s="112" t="str">
        <f t="shared" ref="KD179:KD180" si="894">HYPERLINK("http://www.frauenrechte.de/online/images/downloads/allgemein/TDF_Flyer_Women_Men.pdf","x")</f>
        <v>x</v>
      </c>
      <c r="KE179" s="111"/>
      <c r="KF179" s="112"/>
      <c r="KG179" s="112"/>
      <c r="KH179" s="112"/>
      <c r="KI179" s="112"/>
      <c r="KJ179" s="112"/>
      <c r="KK179" s="112"/>
      <c r="KL179" s="112"/>
      <c r="KM179" s="112"/>
      <c r="KN179" s="112"/>
      <c r="KO179" s="112"/>
      <c r="KP179" s="112"/>
      <c r="KQ179" s="112"/>
      <c r="KR179" s="112"/>
      <c r="KS179" s="112"/>
      <c r="KT179" s="112"/>
      <c r="KU179" s="112"/>
      <c r="KV179" s="112"/>
      <c r="KW179" s="112"/>
      <c r="KX179" s="112"/>
      <c r="KY179" s="112"/>
      <c r="KZ179" s="112"/>
      <c r="LA179" s="112"/>
      <c r="LB179" s="111"/>
      <c r="LC179" s="111"/>
      <c r="LD179" s="111"/>
      <c r="LE179" s="111"/>
      <c r="LF179" s="111"/>
      <c r="LG179" s="111"/>
      <c r="LH179" s="111"/>
      <c r="LI179" s="111"/>
      <c r="LJ179" s="111"/>
      <c r="LK179" s="111"/>
      <c r="LL179" s="111"/>
      <c r="LM179" s="111"/>
      <c r="LN179" s="111"/>
      <c r="LO179" s="111"/>
      <c r="LP179" s="111"/>
      <c r="LQ179" s="111"/>
      <c r="LR179" s="111"/>
      <c r="LS179" s="111"/>
      <c r="LT179" s="111"/>
      <c r="LU179" s="111"/>
      <c r="LV179" s="111"/>
      <c r="LW179" s="111"/>
      <c r="LX179" s="111"/>
      <c r="LY179" s="111"/>
      <c r="LZ179" s="111"/>
      <c r="MA179" s="111"/>
      <c r="MB179" s="111"/>
      <c r="MC179" s="111"/>
      <c r="MD179" s="111"/>
      <c r="ME179" s="111"/>
      <c r="MF179" s="111"/>
      <c r="MG179" s="111"/>
      <c r="MH179" s="111"/>
    </row>
    <row r="180" spans="1:346" x14ac:dyDescent="0.25">
      <c r="A180" s="110" t="s">
        <v>27</v>
      </c>
      <c r="B180" s="101" t="s">
        <v>73</v>
      </c>
      <c r="C180" s="102"/>
      <c r="D180" s="102"/>
      <c r="E180" s="102"/>
      <c r="F180" s="102"/>
      <c r="G180" s="102"/>
      <c r="H180" s="102"/>
      <c r="I180" s="102"/>
      <c r="J180" s="103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2" t="str">
        <f t="shared" si="872"/>
        <v>x</v>
      </c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3"/>
      <c r="AV180" s="114" t="str">
        <f t="shared" si="873"/>
        <v>x</v>
      </c>
      <c r="AW180" s="114" t="str">
        <f t="shared" si="874"/>
        <v>x</v>
      </c>
      <c r="AX180" s="111"/>
      <c r="AY180" s="111"/>
      <c r="AZ180" s="112" t="str">
        <f t="shared" si="875"/>
        <v>x</v>
      </c>
      <c r="BA180" s="112" t="str">
        <f t="shared" si="876"/>
        <v>x</v>
      </c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2" t="str">
        <f>HYPERLINK("http://www.bundessprachenamt.de/deutsch/wir_ueber_uns/nachrichten/2015/20151103/Verständigungshilfe_Paschtu_07_12_2015.pdf","x")</f>
        <v>x</v>
      </c>
      <c r="BL180" s="111"/>
      <c r="BM180" s="111"/>
      <c r="BN180" s="111"/>
      <c r="BO180" s="111"/>
      <c r="BP180" s="111"/>
      <c r="BQ180" s="112" t="str">
        <f t="shared" si="877"/>
        <v>x</v>
      </c>
      <c r="BR180" s="112" t="str">
        <f t="shared" si="878"/>
        <v>x</v>
      </c>
      <c r="BS180" s="112"/>
      <c r="BT180" s="111"/>
      <c r="BU180" s="112" t="str">
        <f t="shared" si="879"/>
        <v>x</v>
      </c>
      <c r="BV180" s="112" t="str">
        <f>HYPERLINK("http://www.welcomegrooves.de/wp-content/uploads/2015/10/welcomegrooves_DE-PASCHTO.pdf","x")</f>
        <v>x</v>
      </c>
      <c r="BW180" s="112"/>
      <c r="BX180" s="112"/>
      <c r="BY180" s="112"/>
      <c r="BZ180" s="112" t="str">
        <f t="shared" si="880"/>
        <v>x</v>
      </c>
      <c r="CA180" s="112" t="str">
        <f t="shared" si="881"/>
        <v>x</v>
      </c>
      <c r="CB180" s="112" t="str">
        <f t="shared" si="882"/>
        <v>x</v>
      </c>
      <c r="CC180" s="112"/>
      <c r="CD180" s="112"/>
      <c r="CE180" s="111"/>
      <c r="CF180" s="111"/>
      <c r="CG180" s="111"/>
      <c r="CH180" s="111"/>
      <c r="CI180" s="111"/>
      <c r="CJ180" s="112" t="str">
        <f t="shared" si="883"/>
        <v>x</v>
      </c>
      <c r="CK180" s="112"/>
      <c r="CL180" s="112"/>
      <c r="CM180" s="112"/>
      <c r="CN180" s="112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2"/>
      <c r="CZ180" s="112" t="str">
        <f t="shared" si="884"/>
        <v>x</v>
      </c>
      <c r="DA180" s="112"/>
      <c r="DB180" s="115"/>
      <c r="DC180" s="112"/>
      <c r="DD180" s="112"/>
      <c r="DE180" s="112" t="str">
        <f t="shared" si="885"/>
        <v>x</v>
      </c>
      <c r="DF180" s="115" t="str">
        <f t="shared" si="886"/>
        <v>x</v>
      </c>
      <c r="DG180" s="112" t="str">
        <f t="shared" si="887"/>
        <v>x</v>
      </c>
      <c r="DH180" s="112" t="str">
        <f t="shared" si="888"/>
        <v>x</v>
      </c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2" t="str">
        <f>HYPERLINK("http://www.kvs-sachsen.de/fileadmin/img/Mitglieder/Asylbewerber/Allg-Informationen/Anlage_1_Paschtu_LEK.pdf","x")</f>
        <v>x</v>
      </c>
      <c r="EM180" s="111"/>
      <c r="EN180" s="111"/>
      <c r="EO180" s="118"/>
      <c r="EP180" s="118"/>
      <c r="EQ180" s="112" t="str">
        <f>HYPERLINK("http://www.kvs-sachsen.de/fileadmin/img/Mitglieder/Asylbewerber/Allg-Informationen/Anlagen_2-1_2-2_Paschtu_LEK.pdf","x")</f>
        <v>x</v>
      </c>
      <c r="ER180" s="111"/>
      <c r="ES180" s="111"/>
      <c r="ET180" s="111"/>
      <c r="EU180" s="111"/>
      <c r="EV180" s="112" t="str">
        <f t="shared" si="889"/>
        <v>x</v>
      </c>
      <c r="EW180" s="111"/>
      <c r="EX180" s="111"/>
      <c r="EY180" s="111"/>
      <c r="EZ180" s="111"/>
      <c r="FA180" s="111"/>
      <c r="FB180" s="111"/>
      <c r="FC180" s="112" t="str">
        <f t="shared" si="890"/>
        <v>x</v>
      </c>
      <c r="FD180" s="112" t="str">
        <f t="shared" si="891"/>
        <v>x</v>
      </c>
      <c r="FE180" s="111"/>
      <c r="FF180" s="111"/>
      <c r="FG180" s="111"/>
      <c r="FH180" s="111"/>
      <c r="FI180" s="112" t="str">
        <f>HYPERLINK("http://www.bundesgesundheitsministerium.de/fileadmin/dateien/Publikationen/Gesundheit/Broschueren/Ratgeber_Asylsuchende/Ratgeber_Asylsuchende_paschto.pdf","x")</f>
        <v>x</v>
      </c>
      <c r="FJ180" s="112" t="str">
        <f>HYPERLINK("http://www.rki.de/DE/Content/Infekt/Impfen/Materialien/Downloads-Impfkalender/Impfkalender_Pashto.pdf?__blob=publicationFile","x")</f>
        <v>x</v>
      </c>
      <c r="FK180" s="111"/>
      <c r="FL180" s="111"/>
      <c r="FM180" s="111"/>
      <c r="FN180" s="111"/>
      <c r="FO180" s="112" t="str">
        <f>HYPERLINK("http://www.rki.de/DE/Content/Infekt/Impfen/Materialien/Downloads-MMR/MMR-Impfinfo-pashto.pdf?__blob=publicationFile","x")</f>
        <v>x</v>
      </c>
      <c r="FP180" s="111"/>
      <c r="FQ180" s="112" t="str">
        <f>HYPERLINK("http://www.rki.de/DE/Content/Infekt/Impfen/Materialien/Downloads_HepA/Aufklaerung_HAV-Impfung_Pashto.pdf?__blob=publicationFile","x")</f>
        <v>x</v>
      </c>
      <c r="FR180" s="112" t="str">
        <f>HYPERLINK("http://www.rki.de/DE/Content/Infekt/Impfen/Materialien/Downloads_Pneumokokken/Aufklaerung_Pneumo-Impfung_Pashto.pdf?__blob=publicationFile","x")</f>
        <v>x</v>
      </c>
      <c r="FS180" s="112" t="str">
        <f>HYPERLINK("http://www.rki.de/DE/Content/Infekt/Impfen/Materialien/Downloads-DTaPIPVHibHepB/DTaPIPVHibHepB_pashto.pdf?__blob=publicationFile","x")</f>
        <v>x</v>
      </c>
      <c r="FT180" s="112" t="str">
        <f>HYPERLINK("http://www.rki.de/DE/Content/Infekt/Impfen/Materialien/Downloads-Varizellen/Varizellen-Impfinfo-pashto.pdf;jsessionid=65B697F4EE7EDA8A1ED9E2C4CD6C74EC.2_cid363?__blob=publicationFile","x")</f>
        <v>x</v>
      </c>
      <c r="FU180" s="112" t="str">
        <f>HYPERLINK("http://www.rki.de/DE/Content/Infekt/Impfen/Materialien/Downloads-Tdap-IPV/Tdap-IPV-pashto.pdf?__blob=publicationFile","x")</f>
        <v>x</v>
      </c>
      <c r="FV180" s="112" t="str">
        <f>HYPERLINK("http://www.rki.de/DE/Content/Infekt/Impfen/Materialien/Downloads-Influenza_nasal/Influenza_nasal_pashto.pdf?__blob=publicationFile","x")</f>
        <v>x</v>
      </c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2" t="str">
        <f>HYPERLINK("http://www.rki.de/DE/Content/Infekt/Impfen/Materialien/Downloads-Influenza/Influenza_Pashto.pdf?__blob=publicationFile","x")</f>
        <v>x</v>
      </c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2" t="str">
        <f t="shared" si="628"/>
        <v>x</v>
      </c>
      <c r="HC180" s="111"/>
      <c r="HD180" s="111"/>
      <c r="HE180" s="111"/>
      <c r="HF180" s="111"/>
      <c r="HG180" s="111"/>
      <c r="HH180" s="111"/>
      <c r="HI180" s="111"/>
      <c r="HJ180" s="112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2" t="str">
        <f t="shared" si="892"/>
        <v>x</v>
      </c>
      <c r="HY180" s="112" t="str">
        <f t="shared" si="893"/>
        <v>x</v>
      </c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2" t="str">
        <f>HYPERLINK("http://www.bamf.de/SharedDocs/Anlagen/DE/Publikationen/Flyer/flyer-erstorientierung-asylsuchende_pashtu.pdf?__blob=publicationFile","x")</f>
        <v>x</v>
      </c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1"/>
      <c r="JF180" s="111"/>
      <c r="JG180" s="111"/>
      <c r="JH180" s="111"/>
      <c r="JI180" s="111"/>
      <c r="JJ180" s="111"/>
      <c r="JK180" s="111"/>
      <c r="JL180" s="111"/>
      <c r="JM180" s="111"/>
      <c r="JN180" s="111"/>
      <c r="JO180" s="111"/>
      <c r="JP180" s="111"/>
      <c r="JQ180" s="111"/>
      <c r="JR180" s="111"/>
      <c r="JS180" s="111"/>
      <c r="JT180" s="111"/>
      <c r="JU180" s="111"/>
      <c r="JV180" s="111"/>
      <c r="JW180" s="111"/>
      <c r="JX180" s="112"/>
      <c r="JY180" s="112"/>
      <c r="JZ180" s="112"/>
      <c r="KA180" s="112" t="str">
        <f>HYPERLINK("http://www.refugeeguide.de/dl/RefugeeGuide_ps_1021.pdf","x")</f>
        <v>x</v>
      </c>
      <c r="KB180" s="111"/>
      <c r="KC180" s="111"/>
      <c r="KD180" s="112" t="str">
        <f t="shared" si="894"/>
        <v>x</v>
      </c>
      <c r="KE180" s="111"/>
      <c r="KF180" s="112"/>
      <c r="KG180" s="112"/>
      <c r="KH180" s="112"/>
      <c r="KI180" s="112"/>
      <c r="KJ180" s="112"/>
      <c r="KK180" s="112"/>
      <c r="KL180" s="112"/>
      <c r="KM180" s="112"/>
      <c r="KN180" s="112"/>
      <c r="KO180" s="112"/>
      <c r="KP180" s="112"/>
      <c r="KQ180" s="112"/>
      <c r="KR180" s="112"/>
      <c r="KS180" s="112"/>
      <c r="KT180" s="112"/>
      <c r="KU180" s="112"/>
      <c r="KV180" s="112"/>
      <c r="KW180" s="112"/>
      <c r="KX180" s="112"/>
      <c r="KY180" s="112"/>
      <c r="KZ180" s="112"/>
      <c r="LA180" s="112"/>
      <c r="LB180" s="111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</row>
    <row r="181" spans="1:346" x14ac:dyDescent="0.25">
      <c r="A181" s="101" t="s">
        <v>33</v>
      </c>
      <c r="B181" s="102"/>
      <c r="C181" s="102"/>
      <c r="D181" s="102"/>
      <c r="E181" s="102"/>
      <c r="F181" s="102"/>
      <c r="G181" s="102"/>
      <c r="H181" s="102"/>
      <c r="I181" s="102"/>
      <c r="J181" s="103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6"/>
      <c r="AV181" s="106"/>
      <c r="AW181" s="106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9"/>
      <c r="EP181" s="109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5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4"/>
      <c r="JK181" s="104"/>
      <c r="JL181" s="104"/>
      <c r="JM181" s="104"/>
      <c r="JN181" s="104"/>
      <c r="JO181" s="104"/>
      <c r="JP181" s="104"/>
      <c r="JQ181" s="104"/>
      <c r="JR181" s="104"/>
      <c r="JS181" s="104"/>
      <c r="JT181" s="104"/>
      <c r="JU181" s="104"/>
      <c r="JV181" s="104"/>
      <c r="JW181" s="104"/>
      <c r="JX181" s="104"/>
      <c r="JY181" s="104"/>
      <c r="JZ181" s="104"/>
      <c r="KA181" s="104"/>
      <c r="KB181" s="104"/>
      <c r="KC181" s="104"/>
      <c r="KD181" s="104"/>
      <c r="KE181" s="104"/>
      <c r="KF181" s="104"/>
      <c r="KG181" s="104"/>
      <c r="KH181" s="104"/>
      <c r="KI181" s="104"/>
      <c r="KJ181" s="104"/>
      <c r="KK181" s="104"/>
      <c r="KL181" s="104"/>
      <c r="KM181" s="104"/>
      <c r="KN181" s="104"/>
      <c r="KO181" s="104"/>
      <c r="KP181" s="104"/>
      <c r="KQ181" s="104"/>
      <c r="KR181" s="104"/>
      <c r="KS181" s="104"/>
      <c r="KT181" s="104"/>
      <c r="KU181" s="104"/>
      <c r="KV181" s="104"/>
      <c r="KW181" s="104"/>
      <c r="KX181" s="104"/>
      <c r="KY181" s="104"/>
      <c r="KZ181" s="104"/>
      <c r="LA181" s="104"/>
      <c r="LB181" s="104"/>
      <c r="LC181" s="104"/>
      <c r="LD181" s="104"/>
      <c r="LE181" s="104"/>
      <c r="LF181" s="104"/>
      <c r="LG181" s="104"/>
      <c r="LH181" s="104"/>
      <c r="LI181" s="104"/>
      <c r="LJ181" s="104"/>
      <c r="LK181" s="104"/>
      <c r="LL181" s="104"/>
      <c r="LM181" s="104"/>
      <c r="LN181" s="104"/>
      <c r="LO181" s="104"/>
      <c r="LP181" s="104"/>
      <c r="LQ181" s="104"/>
      <c r="LR181" s="104"/>
      <c r="LS181" s="104"/>
      <c r="LT181" s="104"/>
      <c r="LU181" s="104"/>
      <c r="LV181" s="104"/>
      <c r="LW181" s="104"/>
      <c r="LX181" s="104"/>
      <c r="LY181" s="104"/>
      <c r="LZ181" s="104"/>
      <c r="MA181" s="104"/>
      <c r="MB181" s="104"/>
      <c r="MC181" s="104"/>
      <c r="MD181" s="104"/>
      <c r="ME181" s="104"/>
      <c r="MF181" s="104"/>
      <c r="MG181" s="104"/>
      <c r="MH181" s="104"/>
    </row>
    <row r="182" spans="1:346" x14ac:dyDescent="0.25">
      <c r="A182" s="110" t="s">
        <v>33</v>
      </c>
      <c r="B182" s="101" t="s">
        <v>74</v>
      </c>
      <c r="C182" s="102"/>
      <c r="D182" s="102"/>
      <c r="E182" s="102"/>
      <c r="F182" s="102"/>
      <c r="G182" s="102"/>
      <c r="H182" s="102"/>
      <c r="I182" s="102"/>
      <c r="J182" s="103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2"/>
      <c r="AO182" s="112"/>
      <c r="AP182" s="112"/>
      <c r="AQ182" s="112"/>
      <c r="AR182" s="112"/>
      <c r="AS182" s="112"/>
      <c r="AT182" s="112"/>
      <c r="AU182" s="113"/>
      <c r="AV182" s="114" t="str">
        <f>HYPERLINK("http://sab.landtag.sachsen.de/dokumente/landtagskurier/SAB_DeutschLernen_DinA5_WEB141115.pdf","x")</f>
        <v>x</v>
      </c>
      <c r="AW182" s="114" t="str">
        <f>HYPERLINK("http://sab.landtag.sachsen.de/dokumente/landtagskurier/SAB_PL_Lernposter_WEB091115.pdf","x")</f>
        <v>x</v>
      </c>
      <c r="AX182" s="111"/>
      <c r="AY182" s="111"/>
      <c r="AZ18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2" s="112" t="str">
        <f>HYPERLINK("http://wie-kann-ich-helfen.info/WoerterbuchAnalphabet_innen_%28c%29_Dagmar_Schmeelcke.pdf","x")</f>
        <v>x</v>
      </c>
      <c r="BB182" s="111"/>
      <c r="BC182" s="111"/>
      <c r="BD182" s="111"/>
      <c r="BE182" s="111"/>
      <c r="BF182" s="111"/>
      <c r="BG182" s="111"/>
      <c r="BH182" s="111"/>
      <c r="BI182" s="111"/>
      <c r="BJ182" s="112" t="str">
        <f>HYPERLINK("http://www.agf-trier.de/sites/default/files/bersetzungshilfe%20persisch%20allgemein.pdf","x")</f>
        <v>x</v>
      </c>
      <c r="BK182" s="111"/>
      <c r="BL182" s="111"/>
      <c r="BM182" s="111"/>
      <c r="BN182" s="111"/>
      <c r="BO182" s="111"/>
      <c r="BP182" s="111"/>
      <c r="BQ182" s="111"/>
      <c r="BR182" s="112" t="str">
        <f>HYPERLINK("http://www.goethe.de/lrn/prj/wnd/deu/lti/deindex.htm#13322010","x")</f>
        <v>x</v>
      </c>
      <c r="BS182" s="112"/>
      <c r="BT182" s="111"/>
      <c r="BU182" s="112" t="str">
        <f>HYPERLINK("https://s3-eu-west-1.amazonaws.com/lingolia/download/lingolia_daf.pdf","x")</f>
        <v>x</v>
      </c>
      <c r="BV182" s="112"/>
      <c r="BW182" s="112"/>
      <c r="BX182" s="112"/>
      <c r="BY182" s="112" t="str">
        <f>HYPERLINK("http://fluechtlingshilfe-nettetal.de/ausbildung/video-sprachkurse-deutsch-fuer-fluechtlinge/video-sprachkurs-persisch-deutsch/","x")</f>
        <v>x</v>
      </c>
      <c r="BZ182" s="112" t="str">
        <f>HYPERLINK("http://www.hueber.de/shared/uebungen/schritte-plus","x")</f>
        <v>x</v>
      </c>
      <c r="CA182" s="112" t="str">
        <f>HYPERLINK("https://www.hueber.de/shared/uebungen/menschen-hier/ab/a1-1/menu.html","x")</f>
        <v>x</v>
      </c>
      <c r="CB182" s="112" t="str">
        <f>HYPERLINK("http://www.goethe-verlag.com/DE/","x")</f>
        <v>x</v>
      </c>
      <c r="CC182" s="112"/>
      <c r="CD182" s="112"/>
      <c r="CE182" s="112" t="str">
        <f>HYPERLINK("http://www.agf-trier.de/sites/default/files/bersetzungshilfe%20persisch%20f%C3%BCr%20Frauen.pdf","x")</f>
        <v>x</v>
      </c>
      <c r="CF182" s="112"/>
      <c r="CG182" s="112"/>
      <c r="CH182" s="112"/>
      <c r="CI182" s="112" t="str">
        <f>HYPERLINK("https://www.hilfetelefon.de/fileadmin/hilfetelefon_de/Materialien/weitere_werbemittel/Klappflyer_Vorder-_und_Rueckseite_opt2.pdf","x")</f>
        <v>x</v>
      </c>
      <c r="CJ182" s="112" t="str">
        <f>HYPERLINK("http://www.e-migrantinnen.de/index.php?de_wichtige-links","x")</f>
        <v>x</v>
      </c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5"/>
      <c r="DC182" s="112"/>
      <c r="DD182" s="112"/>
      <c r="DE182" s="112" t="str">
        <f>HYPERLINK("http://fi-lohmar-siegburg.de/data/documents/130-37_Inklusion_im_Anfangsunterricht_-_Poster_mit_Situationsbildern.pdf","x")</f>
        <v>x</v>
      </c>
      <c r="DF182" s="115" t="str">
        <f>HYPERLINK("http://s3-eu-west-1.amazonaws.com/lingolia/calendar/2016/lingolia_2016_de.pdf","x")</f>
        <v>x</v>
      </c>
      <c r="DG182" s="112" t="str">
        <f>HYPERLINK("http://www.bibliomedia.ch/de/angebote/img/Wimmelbild.jpg","x")</f>
        <v>x</v>
      </c>
      <c r="DH182" s="112" t="str">
        <f>HYPERLINK("http://www.bibliomedia.ch/de/angebote/dokumente/Wimmelbild_Fehler.jpg","x")</f>
        <v>x</v>
      </c>
      <c r="DI182" s="111"/>
      <c r="DJ182" s="111"/>
      <c r="DK182" s="112" t="str">
        <f>HYPERLINK("http://www.carlsen.de/sites/default/files/Walter-ebook_persisch_klein.pdf","x")</f>
        <v>x</v>
      </c>
      <c r="DL182" s="112"/>
      <c r="DM182" s="111"/>
      <c r="DN182" s="111"/>
      <c r="DO182" s="111"/>
      <c r="DP182" s="111"/>
      <c r="DQ182" s="111"/>
      <c r="DR182" s="112" t="str">
        <f>HYPERLINK("http://bildung.koeln.de/materialbibliothek/download.php?idx=67bc9eaf4628647c0c02985518a62471","x")</f>
        <v>x</v>
      </c>
      <c r="DS182" s="112" t="str">
        <f>HYPERLINK("http://bildung.koeln.de/materialbibliothek/download.php?idx=acc88150a5d4a01f5f2daa7f41d7bb34","x")</f>
        <v>x</v>
      </c>
      <c r="DT182" s="112"/>
      <c r="DU182" s="112" t="str">
        <f>HYPERLINK("https://www.bmbf.de/pub/KAUSA_Elternratgeber_deutsch_persisch_bf.pdf","x")</f>
        <v>x</v>
      </c>
      <c r="DV182" s="111"/>
      <c r="DW182" s="111"/>
      <c r="DX182" s="111"/>
      <c r="DY182" s="111"/>
      <c r="DZ182" s="111"/>
      <c r="EA182" s="112"/>
      <c r="EB182" s="111"/>
      <c r="EC182" s="111"/>
      <c r="ED182" s="111"/>
      <c r="EE182" s="111"/>
      <c r="EF182" s="111"/>
      <c r="EG182" s="111"/>
      <c r="EH182" s="111"/>
      <c r="EI182" s="112"/>
      <c r="EJ182" s="112"/>
      <c r="EK182" s="112" t="str">
        <f>HYPERLINK("http://www.aponet.de/persisch/20151019-fuer-den-notfall-wichtige-rufnummern-im-ueberblick.html","x")</f>
        <v>x</v>
      </c>
      <c r="EL182" s="111"/>
      <c r="EM182" s="112" t="str">
        <f>HYPERLINK("http://www.medizin-hilft-fluechtlingen.de/images/Dokumente/gSch/gSch_per.pdf","x")</f>
        <v>x</v>
      </c>
      <c r="EN182" s="112"/>
      <c r="EO182" s="117"/>
      <c r="EP182" s="117" t="str">
        <f>HYPERLINK("http://www.armut-gesundheit.de/fileadmin/redakteur/dokumente/Anamnesebogen%20-%20persischnew.pdf","x")</f>
        <v>x</v>
      </c>
      <c r="EQ182" s="111"/>
      <c r="ER182" s="111"/>
      <c r="ES182" s="112" t="str">
        <f>HYPERLINK("http://www.narz-avn.de/_uploads/files/tipps/Persisch_Fragebogen_PZ_46_2015.pdf","x")</f>
        <v>x</v>
      </c>
      <c r="ET182" s="112" t="str">
        <f>HYPERLINK("http://www.medizin-hilft-fluechtlingen.de/images/Dokumente/ein/ein_far.pdf","x")</f>
        <v>x</v>
      </c>
      <c r="EU182" s="112"/>
      <c r="EV182" s="112" t="str">
        <f>HYPERLINK("http://www.lak-rlp.de/fileadmin/redakteure/pdf/download/Piktogramme_Dosieretiketten_AoG.pdf","x")</f>
        <v>x</v>
      </c>
      <c r="EW182" s="111"/>
      <c r="EX182" s="111"/>
      <c r="EY182" s="112" t="str">
        <f>HYPERLINK("https://www.mh-hannover.de/fileadmin/mhh/bilder/aktuelles_presse/presseinformationen_news/Warnung-Knollenblaetterpiz-persisch.pdf","x")</f>
        <v>x</v>
      </c>
      <c r="EZ182" s="112"/>
      <c r="FA182" s="111"/>
      <c r="FB182" s="111"/>
      <c r="FC182" s="112" t="str">
        <f>HYPERLINK("http://mige.ix-tech.de/index.php?id=241","x")</f>
        <v>x</v>
      </c>
      <c r="FD182" s="111"/>
      <c r="FE182" s="111"/>
      <c r="FF182" s="111"/>
      <c r="FG182" s="111"/>
      <c r="FH182" s="111"/>
      <c r="FI182" s="112"/>
      <c r="FJ182" s="111"/>
      <c r="FK182" s="112" t="str">
        <f>HYPERLINK("http://www.ethno-medizinisches-zentrum.de/images/PDF-Files/impfwegweiser_persisch_2013_online.pdf","x")</f>
        <v>x</v>
      </c>
      <c r="FL182" s="112"/>
      <c r="FM182" s="112" t="str">
        <f>HYPERLINK("http://www.rki.de/DE/Content/Infekt/Impfen/Materialien/Glossar-Downloads/glossar-de-farsi.pdf?__blob=publicationFile","x")</f>
        <v>x</v>
      </c>
      <c r="FN182" s="112"/>
      <c r="FO182" s="112" t="str">
        <f>HYPERLINK("http://www.rki.de/DE/Content/Infekt/Impfen/Materialien/Downloads-MMR/MMR-Impfinfo-persisch.pdf?__blob=publicationFile","x")</f>
        <v>x</v>
      </c>
      <c r="FP182" s="112"/>
      <c r="FQ182" s="112" t="str">
        <f>HYPERLINK("http://www.rki.de/DE/Content/Infekt/Impfen/Materialien/Downloads_HepA/Aufklaerung_HAV-Impfung_Persisch.pdf?__blob=publicationFile","x")</f>
        <v>x</v>
      </c>
      <c r="FR182" s="112" t="str">
        <f>HYPERLINK("http://www.rki.de/DE/Content/Infekt/Impfen/Materialien/Downloads_Pneumokokken/Aufklaerung_Pneumo-Impfung_Persisch.pdf?__blob=publicationFile","x")</f>
        <v>x</v>
      </c>
      <c r="FS182" s="112" t="str">
        <f>HYPERLINK("http://www.rki.de/DE/Content/Infekt/Impfen/Materialien/Downloads-DTaPIPVHibHepB/DTaPIPVHibHepB-persisch.pdf?__blob=publicationFile","x")</f>
        <v>x</v>
      </c>
      <c r="FT182" s="112" t="str">
        <f>HYPERLINK("http://www.rki.de/DE/Content/Infekt/Impfen/Materialien/Downloads-Varizellen/Varizellen-Impfinfo-persisch.pdf;jsessionid=65B697F4EE7EDA8A1ED9E2C4CD6C74EC.2_cid363?__blob=publicationFile","x")</f>
        <v>x</v>
      </c>
      <c r="FU182" s="112" t="str">
        <f>HYPERLINK("http://www.rki.de/DE/Content/Infekt/Impfen/Materialien/Downloads-Tdap-IPV/Tdap-IPV-persisch.pdf?__blob=publicationFile","x")</f>
        <v>x</v>
      </c>
      <c r="FV182" s="112" t="str">
        <f>HYPERLINK("http://www.rki.de/DE/Content/Infekt/Impfen/Materialien/Downloads-Influenza_nasal/Influenza_nasal-persisch.pdf?__blob=publicationFile","x")</f>
        <v>x</v>
      </c>
      <c r="FW182" s="111"/>
      <c r="FX182" s="112"/>
      <c r="FY182" s="112"/>
      <c r="FZ182" s="111"/>
      <c r="GA182" s="111"/>
      <c r="GB182" s="111"/>
      <c r="GC182" s="111"/>
      <c r="GD182" s="111"/>
      <c r="GE182" s="111"/>
      <c r="GF182" s="111"/>
      <c r="GG182" s="112"/>
      <c r="GH182" s="111"/>
      <c r="GI182" s="111"/>
      <c r="GJ182" s="111"/>
      <c r="GK182" s="111"/>
      <c r="GL182" s="112" t="str">
        <f>HYPERLINK("http://www.rki.de/DE/Content/Infekt/Impfen/Materialien/Downloads-Influenza/Influenza-persisch.pdf?__blob=publicationFile","x")</f>
        <v>x</v>
      </c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2" t="str">
        <f t="shared" si="628"/>
        <v>x</v>
      </c>
      <c r="HC182" s="112" t="str">
        <f>HYPERLINK("https://www.zahnaerzte-wl.de/images/_PDF-suche/KZV_ZÄK/ENDSTAND_Ankreuzbogen_Ich_verstehe.pdf","x")</f>
        <v>x</v>
      </c>
      <c r="HD182" s="112" t="str">
        <f>HYPERLINK("https://www.zahnaerzte-wl.de/images/_PDF-suche/KZV_ZÄK/Anschreiben_Patienten_persisch.pdf","x")</f>
        <v>x</v>
      </c>
      <c r="HE182" s="112" t="str">
        <f>HYPERLINK("https://www.zahnaerzte-wl.de/images/_PDF-suche/KZV_ZÄK/Fragebogen_persisch.pdf","x")</f>
        <v>x</v>
      </c>
      <c r="HF182" s="112" t="str">
        <f>HYPERLINK("https://www.zahnaerzte-wl.de/images/_PDF-suche/KZV_ZÄK/Patientenerhebungsbogen_persisch.pdf","x")</f>
        <v>x</v>
      </c>
      <c r="HG182" s="112"/>
      <c r="HH182" s="112"/>
      <c r="HI182" s="112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2" t="str">
        <f>HYPERLINK("http://www.selfhelpfortrauma.org/","x")</f>
        <v>x</v>
      </c>
      <c r="HY182" s="112" t="str">
        <f>HYPERLINK("http://peacefulheart.se/wp-content/uploads/2014/12/Resolving-Yesterday-20141201-Self-Tapping.pdf","x")</f>
        <v>x</v>
      </c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2"/>
      <c r="IK182" s="111"/>
      <c r="IL182" s="111"/>
      <c r="IM182" s="111"/>
      <c r="IN182" s="111"/>
      <c r="IO182" s="111"/>
      <c r="IP182" s="112" t="str">
        <f>HYPERLINK("http://www.bamf.de/SharedDocs/Anlagen/DE/Publikationen/Flyer/Lernen-Sie-Deutsch/lernen-sie-deutsch_fa.pdf?__blob=publicationFile","x")</f>
        <v>x</v>
      </c>
      <c r="IQ182" s="112"/>
      <c r="IR182" s="111"/>
      <c r="IS182" s="111"/>
      <c r="IT182" s="111"/>
      <c r="IU182" s="112" t="str">
        <f>HYPERLINK("http://www.asyl.net/fileadmin/user_upload/infoblatt_anhoerung/Pers_final.pdf","x")</f>
        <v>x</v>
      </c>
      <c r="IV182" s="112"/>
      <c r="IW182" s="112"/>
      <c r="IX182" s="112" t="str">
        <f>HYPERLINK("http://www.bamf.de/SharedDocs/Anlagen/DE/Publikationen/Broschueren/broschuere-eat-a4-fa-persisch.pdf?__blob=publicationFile","x")</f>
        <v>x</v>
      </c>
      <c r="IY182" s="111"/>
      <c r="IZ182" s="111"/>
      <c r="JA182" s="111"/>
      <c r="JB182" s="112"/>
      <c r="JC182" s="111"/>
      <c r="JD182" s="112"/>
      <c r="JE182" s="112"/>
      <c r="JF182" s="111"/>
      <c r="JG182" s="111"/>
      <c r="JH182" s="111"/>
      <c r="JI182" s="112"/>
      <c r="JJ182" s="112"/>
      <c r="JK182" s="112"/>
      <c r="JL182" s="112"/>
      <c r="JM182" s="112"/>
      <c r="JN182" s="112"/>
      <c r="JO182" s="112"/>
      <c r="JP182" s="112"/>
      <c r="JQ182" s="112" t="str">
        <f>HYPERLINK("http://www.ibla-germany.de/merkblaetter.php","x")</f>
        <v>x</v>
      </c>
      <c r="JR182" s="112"/>
      <c r="JS182" s="111"/>
      <c r="JT182" s="111"/>
      <c r="JU182" s="111"/>
      <c r="JV182" s="112"/>
      <c r="JW182" s="112"/>
      <c r="JX182" s="111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</row>
    <row r="183" spans="1:346" x14ac:dyDescent="0.25">
      <c r="A183" s="101" t="s">
        <v>128</v>
      </c>
      <c r="B183" s="102"/>
      <c r="C183" s="102"/>
      <c r="D183" s="102"/>
      <c r="E183" s="102"/>
      <c r="F183" s="102"/>
      <c r="G183" s="102"/>
      <c r="H183" s="102"/>
      <c r="I183" s="102"/>
      <c r="J183" s="103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6"/>
      <c r="AV183" s="106"/>
      <c r="AW183" s="106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9"/>
      <c r="EP183" s="109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5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4"/>
      <c r="JJ183" s="104"/>
      <c r="JK183" s="104"/>
      <c r="JL183" s="104"/>
      <c r="JM183" s="104"/>
      <c r="JN183" s="104"/>
      <c r="JO183" s="104"/>
      <c r="JP183" s="104"/>
      <c r="JQ183" s="104"/>
      <c r="JR183" s="104"/>
      <c r="JS183" s="104"/>
      <c r="JT183" s="104"/>
      <c r="JU183" s="104"/>
      <c r="JV183" s="104"/>
      <c r="JW183" s="104"/>
      <c r="JX183" s="104"/>
      <c r="JY183" s="104"/>
      <c r="JZ183" s="104"/>
      <c r="KA183" s="104"/>
      <c r="KB183" s="104"/>
      <c r="KC183" s="104"/>
      <c r="KD183" s="104"/>
      <c r="KE183" s="104"/>
      <c r="KF183" s="104"/>
      <c r="KG183" s="104"/>
      <c r="KH183" s="104"/>
      <c r="KI183" s="104"/>
      <c r="KJ183" s="104"/>
      <c r="KK183" s="104"/>
      <c r="KL183" s="104"/>
      <c r="KM183" s="104"/>
      <c r="KN183" s="104"/>
      <c r="KO183" s="104"/>
      <c r="KP183" s="104"/>
      <c r="KQ183" s="104"/>
      <c r="KR183" s="104"/>
      <c r="KS183" s="104"/>
      <c r="KT183" s="104"/>
      <c r="KU183" s="104"/>
      <c r="KV183" s="104"/>
      <c r="KW183" s="104"/>
      <c r="KX183" s="104"/>
      <c r="KY183" s="104"/>
      <c r="KZ183" s="104"/>
      <c r="LA183" s="104"/>
      <c r="LB183" s="104"/>
      <c r="LC183" s="104"/>
      <c r="LD183" s="104"/>
      <c r="LE183" s="104"/>
      <c r="LF183" s="104"/>
      <c r="LG183" s="104"/>
      <c r="LH183" s="104"/>
      <c r="LI183" s="104"/>
      <c r="LJ183" s="104"/>
      <c r="LK183" s="104"/>
      <c r="LL183" s="104"/>
      <c r="LM183" s="104"/>
      <c r="LN183" s="104"/>
      <c r="LO183" s="104"/>
      <c r="LP183" s="104"/>
      <c r="LQ183" s="104"/>
      <c r="LR183" s="104"/>
      <c r="LS183" s="104"/>
      <c r="LT183" s="104"/>
      <c r="LU183" s="104"/>
      <c r="LV183" s="104"/>
      <c r="LW183" s="104"/>
      <c r="LX183" s="104"/>
      <c r="LY183" s="104"/>
      <c r="LZ183" s="104"/>
      <c r="MA183" s="104"/>
      <c r="MB183" s="104"/>
      <c r="MC183" s="104"/>
      <c r="MD183" s="104"/>
      <c r="ME183" s="104"/>
      <c r="MF183" s="104"/>
      <c r="MG183" s="104"/>
      <c r="MH183" s="104"/>
    </row>
    <row r="184" spans="1:346" x14ac:dyDescent="0.25">
      <c r="A184" s="110" t="s">
        <v>128</v>
      </c>
      <c r="B184" s="101" t="s">
        <v>129</v>
      </c>
      <c r="C184" s="102"/>
      <c r="D184" s="102"/>
      <c r="E184" s="102"/>
      <c r="F184" s="102"/>
      <c r="G184" s="102"/>
      <c r="H184" s="102"/>
      <c r="I184" s="102"/>
      <c r="J184" s="103"/>
      <c r="K184" s="111"/>
      <c r="L184" s="111"/>
      <c r="M184" s="112" t="str">
        <f>HYPERLINK("http://www.ag-fluechtlingshilfe-wetterau.de/uploads/infos/170.pdf","x")</f>
        <v>x</v>
      </c>
      <c r="N184" s="112"/>
      <c r="O184" s="112" t="str">
        <f>HYPERLINK("https://willkommensteamelmshorn.files.wordpress.com/2015/11/sortieranleitung_pinneberg_2015_polnisch.pdf","x")</f>
        <v>x</v>
      </c>
      <c r="P184" s="112"/>
      <c r="Q184" s="112"/>
      <c r="R184" s="112"/>
      <c r="S184" s="112"/>
      <c r="T184" s="112"/>
      <c r="U184" s="112"/>
      <c r="V184" s="111"/>
      <c r="W184" s="112"/>
      <c r="X184" s="111"/>
      <c r="Y184" s="111"/>
      <c r="Z184" s="111"/>
      <c r="AA184" s="111"/>
      <c r="AB184" s="111"/>
      <c r="AC184" s="111"/>
      <c r="AD184" s="111"/>
      <c r="AE184" s="112" t="str">
        <f>HYPERLINK("http://www.kub-berlin.org/formularprojekt/de/polnisch-antraege-und-anlagen-2/","x")</f>
        <v>x</v>
      </c>
      <c r="AF184" s="111"/>
      <c r="AG184" s="111"/>
      <c r="AH184" s="111"/>
      <c r="AI184" s="111"/>
      <c r="AJ184" s="111"/>
      <c r="AK184" s="111"/>
      <c r="AL184" s="111"/>
      <c r="AM184" s="111"/>
      <c r="AN184" s="112"/>
      <c r="AO184" s="112"/>
      <c r="AP184" s="112"/>
      <c r="AQ184" s="112"/>
      <c r="AR184" s="112"/>
      <c r="AS184" s="112"/>
      <c r="AT184" s="112"/>
      <c r="AU184" s="113"/>
      <c r="AV184" s="114" t="str">
        <f>HYPERLINK("http://sab.landtag.sachsen.de/dokumente/landtagskurier/SAB_DeutschLernen_DinA5_WEB141115.pdf","x")</f>
        <v>x</v>
      </c>
      <c r="AW184" s="114" t="str">
        <f>HYPERLINK("http://sab.landtag.sachsen.de/dokumente/landtagskurier/SAB_PL_Lernposter_WEB091115.pdf","x")</f>
        <v>x</v>
      </c>
      <c r="AX184" s="111"/>
      <c r="AY184" s="111"/>
      <c r="AZ18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4" s="112" t="str">
        <f>HYPERLINK("http://wie-kann-ich-helfen.info/WoerterbuchAnalphabet_innen_%28c%29_Dagmar_Schmeelcke.pdf","x")</f>
        <v>x</v>
      </c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2" t="str">
        <f>HYPERLINK("http://www.goethe.de/lrn/prj/wnd/deu/lti/deindex.htm#13322010","x")</f>
        <v>x</v>
      </c>
      <c r="BS184" s="112"/>
      <c r="BT184" s="111"/>
      <c r="BU184" s="112" t="str">
        <f>HYPERLINK("https://s3-eu-west-1.amazonaws.com/lingolia/download/lingolia_daf.pdf","x")</f>
        <v>x</v>
      </c>
      <c r="BV184" s="112"/>
      <c r="BW184" s="112"/>
      <c r="BX184" s="112"/>
      <c r="BY184" s="112"/>
      <c r="BZ184" s="112" t="str">
        <f>HYPERLINK("http://www.hueber.de/shared/uebungen/schritte-plus","x")</f>
        <v>x</v>
      </c>
      <c r="CA184" s="112" t="str">
        <f>HYPERLINK("https://www.hueber.de/shared/uebungen/menschen-hier/ab/a1-1/menu.html","x")</f>
        <v>x</v>
      </c>
      <c r="CB184" s="112" t="str">
        <f>HYPERLINK("http://www.goethe-verlag.com/DE/","x")</f>
        <v>x</v>
      </c>
      <c r="CC184" s="112"/>
      <c r="CD184" s="112"/>
      <c r="CE184" s="111"/>
      <c r="CF184" s="112" t="str">
        <f>HYPERLINK("http://www.braunschweig.de/leben/frauen/hilfe/Ohne-Gewalt-leben.pdf","x")</f>
        <v>x</v>
      </c>
      <c r="CG184" s="112" t="str">
        <f>HYPERLINK("http://mifkjf.rlp.de/fileadmin/mifkjf/Frauen/Gewalt_gegen_Frauen/Downloads/Broschueren_Flyer/Flyer_Gewalt_polnisch.pdf","x")</f>
        <v>x</v>
      </c>
      <c r="CH184" s="112" t="str">
        <f>HYPERLINK("https://www.hilfetelefon.de/fileadmin/hilfetelefon_de/Materialien/Flyer/Infoflyer_Hilfetelefon_Gewalt_gegen_Frauen141105_b2.pdf","x")</f>
        <v>x</v>
      </c>
      <c r="CI184" s="112" t="str">
        <f>HYPERLINK("https://www.hilfetelefon.de/fileadmin/hilfetelefon_de/Materialien/weitere_werbemittel/Klappflyer_Vorder-_und_Rueckseite_opt2.pdf","x")</f>
        <v>x</v>
      </c>
      <c r="CJ184" s="112" t="str">
        <f>HYPERLINK("http://www.e-migrantinnen.de/index.php?de_wichtige-links","x")</f>
        <v>x</v>
      </c>
      <c r="CK184" s="112"/>
      <c r="CL184" s="112"/>
      <c r="CM184" s="112"/>
      <c r="CN184" s="112"/>
      <c r="CO184" s="112" t="str">
        <f>HYPERLINK("http://www.schwanger-und-viele-fragen.de/pl/","x")</f>
        <v>x</v>
      </c>
      <c r="CP184" s="112"/>
      <c r="CQ184" s="112" t="str">
        <f>HYPERLINK("https://www.hebammenverband.de/index.php?eID=tx_nawsecuredl&amp;u=0&amp;g=0&amp;t=1462395526&amp;hash=e973fb0d011e39e50c4cd4584c741d331502f40b&amp;file=fileadmin/user_upload/pdf/Beruf_Hebamme/Was_tun_Hebammen/DHV_Flyer_Was_tun_Hebammen_polnisch_web.pdf","x")</f>
        <v>x</v>
      </c>
      <c r="CR184" s="112"/>
      <c r="CS184" s="112"/>
      <c r="CT184" s="112" t="str">
        <f>HYPERLINK("http://www.profamilia.de/fileadmin/publikationen/Erwachsene/mehrsprachig/verhuetung_polnisch.pdf","x")</f>
        <v>x</v>
      </c>
      <c r="CU184" s="112"/>
      <c r="CV184" s="112"/>
      <c r="CW184" s="112" t="str">
        <f>HYPERLINK("http://www.profamilia.de/fileadmin/publikationen/Reihe_Koerper_und_Sexualtitaet/Bro_Schwangerschaftsabbruch_PL_151117.pdf","x")</f>
        <v>x</v>
      </c>
      <c r="CX184" s="112" t="str">
        <f>HYPERLINK("http://www.caritas-schwarzwald-alb-donau.de/68854.html","x")</f>
        <v>x</v>
      </c>
      <c r="CY184" s="112" t="str">
        <f>HYPERLINK("http://www.dgfpi.de/tl_files/download/medien/unwissen-macht-p.pdf","x")</f>
        <v>x</v>
      </c>
      <c r="CZ184" s="112"/>
      <c r="DA184" s="112"/>
      <c r="DB184" s="115"/>
      <c r="DC184" s="112"/>
      <c r="DD184" s="112"/>
      <c r="DE184" s="112" t="str">
        <f>HYPERLINK("http://fi-lohmar-siegburg.de/data/documents/130-37_Inklusion_im_Anfangsunterricht_-_Poster_mit_Situationsbildern.pdf","x")</f>
        <v>x</v>
      </c>
      <c r="DF184" s="115" t="str">
        <f>HYPERLINK("http://s3-eu-west-1.amazonaws.com/lingolia/calendar/2016/lingolia_2016_de.pdf","x")</f>
        <v>x</v>
      </c>
      <c r="DG184" s="112" t="str">
        <f>HYPERLINK("http://www.bibliomedia.ch/de/angebote/img/Wimmelbild.jpg","x")</f>
        <v>x</v>
      </c>
      <c r="DH184" s="112" t="str">
        <f>HYPERLINK("http://www.bibliomedia.ch/de/angebote/dokumente/Wimmelbild_Fehler.jpg","x")</f>
        <v>x</v>
      </c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2" t="str">
        <f>HYPERLINK("http://bildung.koeln.de/materialbibliothek/download.php?idx=e5ba7045a94c71b15ce8c649f927aefe","x")</f>
        <v>x</v>
      </c>
      <c r="DS184" s="112" t="str">
        <f>HYPERLINK("http://bildung.koeln.de/materialbibliothek/download.php?idx=e5ba7045a94c71b15ce8c649f927aefe","x")</f>
        <v>x</v>
      </c>
      <c r="DT184" s="112"/>
      <c r="DU184" s="112" t="str">
        <f>HYPERLINK("https://www.bmbf.de/pub/Kausa_Elternbroschuere_polnisch.pdf","x")</f>
        <v>x</v>
      </c>
      <c r="DV184" s="111"/>
      <c r="DW184" s="111"/>
      <c r="DX184" s="111"/>
      <c r="DY184" s="112" t="str">
        <f>HYPERLINK("http://www.bamf.de/SharedDocs/Anlagen/DE/Publikationen/Flyer/AnerkennungBerufsabschluss/anerkennung-berufsabschluss_pl.pdf?__blob=publicationFile","x")</f>
        <v>x</v>
      </c>
      <c r="DZ184" s="112" t="str">
        <f>HYPERLINK("http://www.bamf.de/SharedDocs/Anlagen/DE/Publikationen/Flyer/AnerkennungBerufsabschluss/anerkennung-berufsabschluss_ausland_pl.pdf?__blob=publicationFile","x")</f>
        <v>x</v>
      </c>
      <c r="EA184" s="112" t="str">
        <f>HYPERLINK("http://www.bamf.de/SharedDocs/Anlagen/DE/Publikationen/Broschueren/willkommen-in-deutschland-info-blaue-karte-eu_pl.pdf?__blob=publicationFile","x")</f>
        <v>x</v>
      </c>
      <c r="EB184" s="112" t="str">
        <f>HYPERLINK("http://www.bamf.de/SharedDocs/Anlagen/DE/Publikationen/Flyer/Berufsbezsprachf-ESF-BAMF/berufsbezsprachf-esf-bamf_pl.pdf?__blob=publicationFile","x")</f>
        <v>x</v>
      </c>
      <c r="EC184" s="111"/>
      <c r="ED184" s="111"/>
      <c r="EE184" s="111"/>
      <c r="EF184" s="111"/>
      <c r="EG184" s="111"/>
      <c r="EH184" s="111"/>
      <c r="EI184" s="112"/>
      <c r="EJ184" s="112"/>
      <c r="EK184" s="111"/>
      <c r="EL184" s="111"/>
      <c r="EM184" s="111"/>
      <c r="EN184" s="111"/>
      <c r="EO184" s="117" t="str">
        <f>HYPERLINK("http://www.medi-bild.de/pdf/anamnese/Welche_Sprache.pdf","x")</f>
        <v>x</v>
      </c>
      <c r="EP184" s="117" t="str">
        <f>HYPERLINK("http://www.medknowledge.de/migration/tipdoc/anamnesebogen/tipdoc_Anamnese_pol.pdf","x")</f>
        <v>x</v>
      </c>
      <c r="EQ184" s="111"/>
      <c r="ER184" s="111"/>
      <c r="ES184" s="111"/>
      <c r="ET184" s="111"/>
      <c r="EU184" s="111"/>
      <c r="EV184" s="112" t="str">
        <f>HYPERLINK("http://www.lak-rlp.de/fileadmin/redakteure/pdf/download/Piktogramme_Dosieretiketten_AoG.pdf","x")</f>
        <v>x</v>
      </c>
      <c r="EW184" s="112" t="str">
        <f>HYPERLINK("http://www.rki.de/DE/Content/Infekt/IfSG/Belehrungsbogen/belehrungsbogen_eltern_franzoesisch.pdf?__blob=publicationFile","x")</f>
        <v>x</v>
      </c>
      <c r="EX184" s="111"/>
      <c r="EY184" s="111"/>
      <c r="EZ184" s="111"/>
      <c r="FA184" s="111"/>
      <c r="FB184" s="111"/>
      <c r="FC184" s="112" t="str">
        <f>HYPERLINK("http://mige.ix-tech.de/index.php?id=241","x")</f>
        <v>x</v>
      </c>
      <c r="FD184" s="112" t="str">
        <f>HYPERLINK("http://sghanstedt.elbnetz.com/ueber-uns/","x")</f>
        <v>x</v>
      </c>
      <c r="FE184" s="111"/>
      <c r="FF184" s="111"/>
      <c r="FG184" s="111"/>
      <c r="FH184" s="111"/>
      <c r="FI184" s="112"/>
      <c r="FJ184" s="112" t="str">
        <f>HYPERLINK("http://www.rki.de/DE/Content/Infekt/Impfen/Materialien/Downloads-Impfkalender/Impfkalender_Polnisch.pdf?__blob=publicationFile","x")</f>
        <v>x</v>
      </c>
      <c r="FK184" s="112" t="str">
        <f>HYPERLINK("http://www.ethno-medizinisches-zentrum.de/images/PDF-Files/impfwegweiser_polnisch_2013_online.pdf","x")</f>
        <v>x</v>
      </c>
      <c r="FL184" s="112"/>
      <c r="FM184" s="112" t="str">
        <f>HYPERLINK("http://www.rki.de/DE/Content/Infekt/Impfen/Materialien/Glossar-Downloads/glossar-de-polnisch.pdf?__blob=publicationFile","x")</f>
        <v>x</v>
      </c>
      <c r="FN184" s="112"/>
      <c r="FO184" s="112" t="str">
        <f>HYPERLINK("http://www.rki.de/DE/Content/Infekt/Impfen/Materialien/Downloads-MMR/MMR-Impfinfo-polnisch.pdf?__blob=publicationFile","x")</f>
        <v>x</v>
      </c>
      <c r="FP184" s="111"/>
      <c r="FQ184" s="112" t="str">
        <f>HYPERLINK("http://www.rki.de/DE/Content/Infekt/Impfen/Materialien/Downloads_HepA/Aufklaerung_HAV-Impfung_Polnisch.pdf?__blob=publicationFile","x")</f>
        <v>x</v>
      </c>
      <c r="FR184" s="112" t="str">
        <f>HYPERLINK("http://www.rki.de/DE/Content/Infekt/Impfen/Materialien/Downloads_Pneumokokken/Aufklaerung_Pneumo-Impfung_Polnisch.pdf?__blob=publicationFile","x")</f>
        <v>x</v>
      </c>
      <c r="FS184" s="112" t="str">
        <f>HYPERLINK("http://www.rki.de/DE/Content/Infekt/Impfen/Materialien/Downloads-DTaPIPVHibHepB/DTaPIPVHibHepB-polnisch.pdf?__blob=publicationFile","x")</f>
        <v>x</v>
      </c>
      <c r="FT184" s="112" t="str">
        <f>HYPERLINK("http://www.rki.de/DE/Content/Infekt/Impfen/Materialien/Downloads-Varizellen/Varizellen-Impfinfo-polnisch.pdf;jsessionid=65B697F4EE7EDA8A1ED9E2C4CD6C74EC.2_cid363?__blob=publicationFile","x")</f>
        <v>x</v>
      </c>
      <c r="FU184" s="112" t="str">
        <f>HYPERLINK("http://www.rki.de/DE/Content/Infekt/Impfen/Materialien/Downloads-Tdap-IPV/Tdap-IPV-polnisch.pdf?__blob=publicationFile","x")</f>
        <v>x</v>
      </c>
      <c r="FV184" s="112" t="str">
        <f>HYPERLINK("http://www.rki.de/DE/Content/Infekt/Impfen/Materialien/Downloads-Influenza_nasal/Influenza_nasal-polnisch.pdf?__blob=publicationFile","x")</f>
        <v>x</v>
      </c>
      <c r="FW184" s="111"/>
      <c r="FX184" s="111"/>
      <c r="FY184" s="111"/>
      <c r="FZ184" s="111"/>
      <c r="GA184" s="111"/>
      <c r="GB184" s="111"/>
      <c r="GC184" s="112" t="str">
        <f>HYPERLINK("http://www.ethno-medizinisches-zentrum.de/images/PDF-Files/lf_diabete_polnisch.pdf","x")</f>
        <v>x</v>
      </c>
      <c r="GD184" s="111"/>
      <c r="GE184" s="111"/>
      <c r="GF184" s="111"/>
      <c r="GG184" s="111"/>
      <c r="GH184" s="111"/>
      <c r="GI184" s="111"/>
      <c r="GJ184" s="111"/>
      <c r="GK184" s="111"/>
      <c r="GL184" s="112" t="str">
        <f>HYPERLINK("http://www.rki.de/DE/Content/Infekt/Impfen/Materialien/Downloads-Influenza/Influenza-polnisch.pdf?__blob=publicationFile","x")</f>
        <v>x</v>
      </c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2" t="str">
        <f t="shared" si="628"/>
        <v>x</v>
      </c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2" t="str">
        <f>HYPERLINK("http://www.bkk-psychisch-gesund.de/fileadmin/user_upload/Dokumente/Versicherte/Broschueren/Wegweiser_Psychotherapie_polnisch.pdf","x")</f>
        <v>x</v>
      </c>
      <c r="HX184" s="112" t="str">
        <f>HYPERLINK("http://www.selfhelpfortrauma.org/","x")</f>
        <v>x</v>
      </c>
      <c r="HY184" s="112" t="str">
        <f>HYPERLINK("http://peacefulheart.se/wp-content/uploads/2014/12/Resolving-Yesterday-20141201-Self-Tapping.pdf","x")</f>
        <v>x</v>
      </c>
      <c r="HZ184" s="111"/>
      <c r="IA184" s="111"/>
      <c r="IB184" s="111"/>
      <c r="IC184" s="111"/>
      <c r="ID184" s="111"/>
      <c r="IE184" s="111"/>
      <c r="IF184" s="111"/>
      <c r="IG184" s="111"/>
      <c r="IH184" s="112" t="str">
        <f>HYPERLINK("http://www.caritas.de/hilfeundberatung/onlineberatung/suchtberatung/haeufiggestelltefragensucht/haeufiggestelltefragen-sucht","x")</f>
        <v>x</v>
      </c>
      <c r="II184" s="111"/>
      <c r="IJ184" s="112" t="str">
        <f>HYPERLINK("http://www.bamf.de/SharedDocs/Anlagen/DE/Publikationen/Flyer/Lassen-Sie-Sich-Beraten/lassen-sie-sich-beraten_pl.pdf?__blob=publicationFile","x")</f>
        <v>x</v>
      </c>
      <c r="IK184" s="111"/>
      <c r="IL184" s="111"/>
      <c r="IM184" s="112" t="str">
        <f>HYPERLINK("https://www.bamf.de/SharedDocs/Anlagen/DE/Publikationen/Broschueren/willkommen-in-deutschland_pl.pdf?__blob=publicationFile","x")</f>
        <v>x</v>
      </c>
      <c r="IN184" s="112"/>
      <c r="IO184" s="111"/>
      <c r="IP184" s="112" t="str">
        <f>HYPERLINK("http://www.bamf.de/SharedDocs/Anlagen/DE/Publikationen/Flyer/Lernen-Sie-Deutsch/lernen-sie-deutsch_pl.pdf?__blob=publicationFile","x")</f>
        <v>x</v>
      </c>
      <c r="IQ184" s="112"/>
      <c r="IR184" s="111"/>
      <c r="IS184" s="111"/>
      <c r="IT184" s="111"/>
      <c r="IU184" s="112"/>
      <c r="IV184" s="112"/>
      <c r="IW184" s="112"/>
      <c r="IX184" s="112"/>
      <c r="IY184" s="111"/>
      <c r="IZ184" s="111"/>
      <c r="JA184" s="111"/>
      <c r="JB184" s="112"/>
      <c r="JC184" s="111"/>
      <c r="JD184" s="112"/>
      <c r="JE184" s="112"/>
      <c r="JF184" s="112"/>
      <c r="JG184" s="112"/>
      <c r="JH184" s="111"/>
      <c r="JI184" s="112"/>
      <c r="JJ184" s="112"/>
      <c r="JK184" s="112"/>
      <c r="JL184" s="112" t="str">
        <f>HYPERLINK("https://www.arbeitsagentur.de/web/content/DE/Formulare/Detail/index.htm?dfContentId=L6019022DSTBAI485740","x")</f>
        <v>x</v>
      </c>
      <c r="JM184" s="112"/>
      <c r="JN184" s="112"/>
      <c r="JO184" s="112"/>
      <c r="JP184" s="112"/>
      <c r="JQ184" s="112" t="str">
        <f>HYPERLINK("http://www.ibla-germany.de/merkblaetter.php","x")</f>
        <v>x</v>
      </c>
      <c r="JR184" s="112"/>
      <c r="JS184" s="111"/>
      <c r="JT184" s="111"/>
      <c r="JU184" s="111"/>
      <c r="JV184" s="112"/>
      <c r="JW184" s="112"/>
      <c r="JX184" s="111"/>
      <c r="JY184" s="111"/>
      <c r="JZ184" s="111"/>
      <c r="KA184" s="111"/>
      <c r="KB184" s="111"/>
      <c r="KC184" s="112" t="str">
        <f>HYPERLINK("http://www.wedel.de/fileadmin/user_upload/media/pdf/Rathaus_und_Politik/20160118_PM_Broschuere.pdf","x")</f>
        <v>x</v>
      </c>
      <c r="KD184" s="112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2" t="str">
        <f>HYPERLINK("http://www.rki.de/DE/Content/Infekt/IfSG/Belehrungsbogen/belehrungsbogen_lebensmittel_polnisch.pdf?__blob=publicationFile","x")</f>
        <v>x</v>
      </c>
      <c r="MD184" s="111"/>
      <c r="ME184" s="111"/>
      <c r="MF184" s="111"/>
      <c r="MG184" s="111"/>
      <c r="MH184" s="112"/>
    </row>
    <row r="185" spans="1:346" x14ac:dyDescent="0.25">
      <c r="A185" s="101" t="s">
        <v>34</v>
      </c>
      <c r="B185" s="102"/>
      <c r="C185" s="102"/>
      <c r="D185" s="102"/>
      <c r="E185" s="102"/>
      <c r="F185" s="102"/>
      <c r="G185" s="102"/>
      <c r="H185" s="102"/>
      <c r="I185" s="102"/>
      <c r="J185" s="103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6"/>
      <c r="AV185" s="106"/>
      <c r="AW185" s="106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9"/>
      <c r="EP185" s="109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5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4"/>
      <c r="JK185" s="104"/>
      <c r="JL185" s="104"/>
      <c r="JM185" s="104"/>
      <c r="JN185" s="104"/>
      <c r="JO185" s="104"/>
      <c r="JP185" s="104"/>
      <c r="JQ185" s="104"/>
      <c r="JR185" s="104"/>
      <c r="JS185" s="104"/>
      <c r="JT185" s="104"/>
      <c r="JU185" s="104"/>
      <c r="JV185" s="104"/>
      <c r="JW185" s="104"/>
      <c r="JX185" s="104"/>
      <c r="JY185" s="104"/>
      <c r="JZ185" s="104"/>
      <c r="KA185" s="104"/>
      <c r="KB185" s="104"/>
      <c r="KC185" s="104"/>
      <c r="KD185" s="104"/>
      <c r="KE185" s="104"/>
      <c r="KF185" s="104"/>
      <c r="KG185" s="104"/>
      <c r="KH185" s="104"/>
      <c r="KI185" s="104"/>
      <c r="KJ185" s="104"/>
      <c r="KK185" s="104"/>
      <c r="KL185" s="104"/>
      <c r="KM185" s="104"/>
      <c r="KN185" s="104"/>
      <c r="KO185" s="104"/>
      <c r="KP185" s="104"/>
      <c r="KQ185" s="104"/>
      <c r="KR185" s="104"/>
      <c r="KS185" s="104"/>
      <c r="KT185" s="104"/>
      <c r="KU185" s="104"/>
      <c r="KV185" s="104"/>
      <c r="KW185" s="104"/>
      <c r="KX185" s="104"/>
      <c r="KY185" s="104"/>
      <c r="KZ185" s="104"/>
      <c r="LA185" s="104"/>
      <c r="LB185" s="104"/>
      <c r="LC185" s="104"/>
      <c r="LD185" s="104"/>
      <c r="LE185" s="104"/>
      <c r="LF185" s="104"/>
      <c r="LG185" s="104"/>
      <c r="LH185" s="104"/>
      <c r="LI185" s="104"/>
      <c r="LJ185" s="104"/>
      <c r="LK185" s="104"/>
      <c r="LL185" s="104"/>
      <c r="LM185" s="104"/>
      <c r="LN185" s="104"/>
      <c r="LO185" s="104"/>
      <c r="LP185" s="104"/>
      <c r="LQ185" s="104"/>
      <c r="LR185" s="104"/>
      <c r="LS185" s="104"/>
      <c r="LT185" s="104"/>
      <c r="LU185" s="104"/>
      <c r="LV185" s="104"/>
      <c r="LW185" s="104"/>
      <c r="LX185" s="104"/>
      <c r="LY185" s="104"/>
      <c r="LZ185" s="104"/>
      <c r="MA185" s="104"/>
      <c r="MB185" s="104"/>
      <c r="MC185" s="104"/>
      <c r="MD185" s="104"/>
      <c r="ME185" s="104"/>
      <c r="MF185" s="104"/>
      <c r="MG185" s="104"/>
      <c r="MH185" s="104"/>
    </row>
    <row r="186" spans="1:346" x14ac:dyDescent="0.25">
      <c r="A186" s="110" t="s">
        <v>34</v>
      </c>
      <c r="B186" s="101" t="s">
        <v>411</v>
      </c>
      <c r="C186" s="102"/>
      <c r="D186" s="102"/>
      <c r="E186" s="102"/>
      <c r="F186" s="102"/>
      <c r="G186" s="102"/>
      <c r="H186" s="102"/>
      <c r="I186" s="102"/>
      <c r="J186" s="103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2" t="str">
        <f>HYPERLINK("http://www.kub-berlin.org/formularprojekt/de/portugiesisch-antraege-und-anlagen-uebersetzungshilfen/","x")</f>
        <v>x</v>
      </c>
      <c r="AF186" s="111"/>
      <c r="AG186" s="111"/>
      <c r="AH186" s="111"/>
      <c r="AI186" s="111"/>
      <c r="AJ186" s="111"/>
      <c r="AK186" s="111"/>
      <c r="AL186" s="111"/>
      <c r="AM186" s="111"/>
      <c r="AN186" s="112"/>
      <c r="AO186" s="112"/>
      <c r="AP186" s="112"/>
      <c r="AQ186" s="112"/>
      <c r="AR186" s="112"/>
      <c r="AS186" s="112"/>
      <c r="AT186" s="112"/>
      <c r="AU186" s="113"/>
      <c r="AV186" s="114" t="str">
        <f t="shared" ref="AV186:AV189" si="895">HYPERLINK("http://sab.landtag.sachsen.de/dokumente/landtagskurier/SAB_DeutschLernen_DinA5_WEB141115.pdf","x")</f>
        <v>x</v>
      </c>
      <c r="AW186" s="114" t="str">
        <f t="shared" ref="AW186:AW189" si="896">HYPERLINK("http://sab.landtag.sachsen.de/dokumente/landtagskurier/SAB_PL_Lernposter_WEB091115.pdf","x")</f>
        <v>x</v>
      </c>
      <c r="AX186" s="111"/>
      <c r="AY186" s="111"/>
      <c r="AZ186" s="112" t="str">
        <f t="shared" ref="AZ186:AZ189" si="89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6" s="112" t="str">
        <f t="shared" ref="BA186:BA189" si="898">HYPERLINK("http://wie-kann-ich-helfen.info/WoerterbuchAnalphabet_innen_%28c%29_Dagmar_Schmeelcke.pdf","x")</f>
        <v>x</v>
      </c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 t="str">
        <f t="shared" ref="BR186:BR189" si="899">HYPERLINK("http://www.goethe.de/lrn/prj/wnd/deu/lti/deindex.htm#13322010","x")</f>
        <v>x</v>
      </c>
      <c r="BS186" s="112"/>
      <c r="BT186" s="111"/>
      <c r="BU186" s="112" t="str">
        <f t="shared" ref="BU186:BU189" si="900">HYPERLINK("https://s3-eu-west-1.amazonaws.com/lingolia/download/lingolia_daf.pdf","x")</f>
        <v>x</v>
      </c>
      <c r="BV186" s="112" t="str">
        <f t="shared" ref="BV186:BV189" si="901">HYPERLINK("http://www.welcomegrooves.de/wp-content/uploads/2015/11/welcomegrooves-de-portugiesisch.pdf","x")</f>
        <v>x</v>
      </c>
      <c r="BW186" s="112"/>
      <c r="BX186" s="112"/>
      <c r="BY186" s="112"/>
      <c r="BZ186" s="112" t="str">
        <f t="shared" ref="BZ186:BZ189" si="902">HYPERLINK("http://www.hueber.de/shared/uebungen/schritte-plus","x")</f>
        <v>x</v>
      </c>
      <c r="CA186" s="112" t="str">
        <f t="shared" ref="CA186:CA189" si="903">HYPERLINK("https://www.hueber.de/shared/uebungen/menschen-hier/ab/a1-1/menu.html","x")</f>
        <v>x</v>
      </c>
      <c r="CB186" s="112" t="str">
        <f t="shared" ref="CB186:CB189" si="904">HYPERLINK("http://www.goethe-verlag.com/DE/","x")</f>
        <v>x</v>
      </c>
      <c r="CC186" s="112"/>
      <c r="CD186" s="112"/>
      <c r="CE186" s="111"/>
      <c r="CF186" s="111"/>
      <c r="CG186" s="111"/>
      <c r="CH186" s="111"/>
      <c r="CI186" s="112" t="str">
        <f t="shared" ref="CI186:CI189" si="905">HYPERLINK("https://www.hilfetelefon.de/fileadmin/hilfetelefon_de/Materialien/weitere_werbemittel/Klappflyer_Vorder-_und_Rueckseite_opt2.pdf","x")</f>
        <v>x</v>
      </c>
      <c r="CJ186" s="112" t="str">
        <f t="shared" ref="CJ186:CJ189" si="906">HYPERLINK("http://www.e-migrantinnen.de/index.php?de_wichtige-links","x")</f>
        <v>x</v>
      </c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5"/>
      <c r="DC186" s="112"/>
      <c r="DD186" s="112"/>
      <c r="DE186" s="112" t="str">
        <f t="shared" ref="DE186:DE189" si="907">HYPERLINK("http://fi-lohmar-siegburg.de/data/documents/130-37_Inklusion_im_Anfangsunterricht_-_Poster_mit_Situationsbildern.pdf","x")</f>
        <v>x</v>
      </c>
      <c r="DF186" s="115" t="str">
        <f t="shared" ref="DF186:DF189" si="908">HYPERLINK("http://s3-eu-west-1.amazonaws.com/lingolia/calendar/2016/lingolia_2016_de.pdf","x")</f>
        <v>x</v>
      </c>
      <c r="DG186" s="112" t="str">
        <f t="shared" ref="DG186:DG189" si="909">HYPERLINK("http://www.bibliomedia.ch/de/angebote/img/Wimmelbild.jpg","x")</f>
        <v>x</v>
      </c>
      <c r="DH186" s="112" t="str">
        <f t="shared" ref="DH186:DH189" si="910">HYPERLINK("http://www.bibliomedia.ch/de/angebote/dokumente/Wimmelbild_Fehler.jpg","x")</f>
        <v>x</v>
      </c>
      <c r="DI186" s="112" t="str">
        <f t="shared" ref="DI186:DI189" si="911">HYPERLINK("http://www.bibliomedia.ch/de/angebote/dokumente/Glossar_portugiesisch.pdf","x")</f>
        <v>x</v>
      </c>
      <c r="DJ186" s="112"/>
      <c r="DK186" s="112"/>
      <c r="DL186" s="112"/>
      <c r="DM186" s="112"/>
      <c r="DN186" s="112"/>
      <c r="DO186" s="111"/>
      <c r="DP186" s="111"/>
      <c r="DQ186" s="111"/>
      <c r="DR186" s="112" t="str">
        <f>HYPERLINK("http://bildung.koeln.de/materialbibliothek/download.php?idx=de2686c222102377b8ae1e8183c8a22a","x")</f>
        <v>x</v>
      </c>
      <c r="DS186" s="112" t="str">
        <f>HYPERLINK("http://bildung.koeln.de/materialbibliothek/download.php?idx=035b9a2c186ac6facf2908441ea63b5a","x")</f>
        <v>x</v>
      </c>
      <c r="DT186" s="112"/>
      <c r="DU186" s="112" t="str">
        <f t="shared" ref="DU186:DU189" si="912">HYPERLINK("https://www.bmbf.de/pub/KAUSA_Elternratgeber_deutsch_portugiesisch.pdf","x")</f>
        <v>x</v>
      </c>
      <c r="DV186" s="111"/>
      <c r="DW186" s="111"/>
      <c r="DX186" s="111"/>
      <c r="DY186" s="111"/>
      <c r="DZ186" s="112" t="str">
        <f t="shared" ref="DZ186:DZ189" si="913">HYPERLINK("http://www.bamf.de/SharedDocs/Anlagen/DE/Publikationen/Flyer/AnerkennungBerufsabschluss/anerkennung-berufsabschluss_ausland_pt.pdf?__blob=publicationFile","x")</f>
        <v>x</v>
      </c>
      <c r="EA186" s="112"/>
      <c r="EB186" s="112" t="str">
        <f t="shared" ref="EB186:EB189" si="914">HYPERLINK("http://www.bamf.de/SharedDocs/Anlagen/DE/Publikationen/Flyer/Berufsbezsprachf-ESF-BAMF/berufsbezsprachf-esf-bamf_por.pdf?__blob=publicationFile","x")</f>
        <v>x</v>
      </c>
      <c r="EC186" s="111"/>
      <c r="ED186" s="111"/>
      <c r="EE186" s="111"/>
      <c r="EF186" s="111"/>
      <c r="EG186" s="111"/>
      <c r="EH186" s="111"/>
      <c r="EI186" s="112"/>
      <c r="EJ186" s="112"/>
      <c r="EK186" s="111"/>
      <c r="EL186" s="112" t="str">
        <f t="shared" ref="EL186:EL189" si="915">HYPERLINK("http://www.kvs-sachsen.de/fileadmin/img/Mitglieder/Asylbewerber/Allg-Informationen/Anlage_1_Portugiesisch_LEK.pdf","x")</f>
        <v>x</v>
      </c>
      <c r="EM186" s="111"/>
      <c r="EN186" s="111"/>
      <c r="EO186" s="117" t="str">
        <f t="shared" ref="EO186:EO189" si="916">HYPERLINK("http://www.medi-bild.de/pdf/anamnese/Welche_Sprache.pdf","x")</f>
        <v>x</v>
      </c>
      <c r="EP186" s="117" t="str">
        <f t="shared" ref="EP186:EP189" si="917">HYPERLINK("http://www.armut-gesundheit.de/fileadmin/redakteur/dokumente/Anamnesebogen%20-%20portugiesischnew.pdf","x")</f>
        <v>x</v>
      </c>
      <c r="EQ186" s="112" t="str">
        <f t="shared" ref="EQ186:EQ189" si="918">HYPERLINK("http://www.kvs-sachsen.de/fileadmin/img/Mitglieder/Asylbewerber/Allg-Informationen/Anlagen_2-1_2-2_Portugiesisch_LEK.pdf","x")</f>
        <v>x</v>
      </c>
      <c r="ER186" s="111"/>
      <c r="ES186" s="111"/>
      <c r="ET186" s="111"/>
      <c r="EU186" s="111"/>
      <c r="EV186" s="112" t="str">
        <f t="shared" ref="EV186:EV189" si="919">HYPERLINK("http://www.lak-rlp.de/fileadmin/redakteure/pdf/download/Piktogramme_Dosieretiketten_AoG.pdf","x")</f>
        <v>x</v>
      </c>
      <c r="EW186" s="111"/>
      <c r="EX186" s="111"/>
      <c r="EY186" s="111"/>
      <c r="EZ186" s="111"/>
      <c r="FA186" s="111"/>
      <c r="FB186" s="111"/>
      <c r="FC186" s="112" t="str">
        <f t="shared" ref="FC186:FC189" si="920">HYPERLINK("http://mige.ix-tech.de/index.php?id=241","x")</f>
        <v>x</v>
      </c>
      <c r="FD186" s="112" t="str">
        <f t="shared" ref="FD186:FD189" si="921">HYPERLINK("http://sghanstedt.elbnetz.com/ueber-uns/","x")</f>
        <v>x</v>
      </c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2" t="str">
        <f t="shared" ref="GJ186:GJ189" si="922">HYPERLINK("http://www.tipdoc.de/bus/pdf/hiv/HIV%20ESP_Webseite.pdf","x")</f>
        <v>x</v>
      </c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2" t="str">
        <f t="shared" si="628"/>
        <v>x</v>
      </c>
      <c r="HC186" s="111"/>
      <c r="HD186" s="111"/>
      <c r="HE186" s="111"/>
      <c r="HF186" s="111"/>
      <c r="HG186" s="111"/>
      <c r="HH186" s="111"/>
      <c r="HI186" s="111"/>
      <c r="HJ186" s="112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2" t="str">
        <f t="shared" ref="HX186:HX189" si="923">HYPERLINK("http://www.selfhelpfortrauma.org/","x")</f>
        <v>x</v>
      </c>
      <c r="HY186" s="112" t="str">
        <f t="shared" ref="HY186:HY189" si="924">HYPERLINK("http://peacefulheart.se/wp-content/uploads/2014/12/Resolving-Yesterday-20141201-Self-Tapping.pdf","x")</f>
        <v>x</v>
      </c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2" t="str">
        <f t="shared" ref="IJ186:IJ189" si="925">HYPERLINK("http://www.bamf.de/SharedDocs/Anlagen/DE/Publikationen/Flyer/Lassen-Sie-Sich-Beraten/lassen-sie-sich-beraten_pt.pdf?__blob=publicationFile","x")</f>
        <v>x</v>
      </c>
      <c r="IK186" s="111"/>
      <c r="IL186" s="111"/>
      <c r="IM186" s="112" t="str">
        <f t="shared" ref="IM186:IM189" si="926">HYPERLINK("https://www.bamf.de/SharedDocs/Anlagen/DE/Publikationen/Broschueren/willkommen-in-deutschland_pt.pdf?__blob=publicationFile","x")</f>
        <v>x</v>
      </c>
      <c r="IN186" s="112"/>
      <c r="IO186" s="111"/>
      <c r="IP186" s="112"/>
      <c r="IQ186" s="112"/>
      <c r="IR186" s="111"/>
      <c r="IS186" s="111"/>
      <c r="IT186" s="111"/>
      <c r="IU186" s="112"/>
      <c r="IV186" s="112"/>
      <c r="IW186" s="112" t="str">
        <f t="shared" ref="IW186:IW189" si="927">HYPERLINK("http://www.berlin.de/labo/willkommen-in-berlin/service/downloads/artikel.273193.php","x")</f>
        <v>x</v>
      </c>
      <c r="IX186" s="112" t="str">
        <f t="shared" ref="IX186:IX189" si="928">HYPERLINK("http://www.bamf.de/SharedDocs/Anlagen/DE/Publikationen/Broschueren/broschuere-eat-a4-pt-portugiesisch.pdf?__blob=publicationFile","x")</f>
        <v>x</v>
      </c>
      <c r="IY186" s="111"/>
      <c r="IZ186" s="111"/>
      <c r="JA186" s="111"/>
      <c r="JB186" s="112"/>
      <c r="JC186" s="111"/>
      <c r="JD186" s="112"/>
      <c r="JE186" s="112"/>
      <c r="JF186" s="112"/>
      <c r="JG186" s="112"/>
      <c r="JH186" s="111"/>
      <c r="JI186" s="112"/>
      <c r="JJ186" s="112"/>
      <c r="JK186" s="112" t="str">
        <f>HYPERLINK("http://www.kub-berlin.org/formularprojekt/de/portugiesisch-antraege-und-anlagen-uebersetzungshilfen/","x")</f>
        <v>x</v>
      </c>
      <c r="JL186" s="112" t="str">
        <f t="shared" ref="JL186:JL189" si="929">HYPERLINK("https://www.arbeitsagentur.de/web/content/DE/Formulare/Detail/index.htm?dfContentId=L6019022DSTBAI485740","x")</f>
        <v>x</v>
      </c>
      <c r="JM186" s="112"/>
      <c r="JN186" s="112"/>
      <c r="JO186" s="112"/>
      <c r="JP186" s="112"/>
      <c r="JQ186" s="112" t="str">
        <f t="shared" ref="JQ186:JQ189" si="930">HYPERLINK("http://www.ibla-germany.de/merkblaetter.php","x")</f>
        <v>x</v>
      </c>
      <c r="JR186" s="112"/>
      <c r="JS186" s="111"/>
      <c r="JT186" s="111"/>
      <c r="JU186" s="111"/>
      <c r="JV186" s="112"/>
      <c r="JW186" s="112"/>
      <c r="JX186" s="111"/>
      <c r="JY186" s="111"/>
      <c r="JZ186" s="111"/>
      <c r="KA186" s="111"/>
      <c r="KB186" s="111"/>
      <c r="KC186" s="111"/>
      <c r="KD186" s="111"/>
      <c r="KE186" s="111"/>
      <c r="KF186" s="111"/>
      <c r="KG186" s="111"/>
      <c r="KH186" s="111"/>
      <c r="KI186" s="111"/>
      <c r="KJ186" s="111"/>
      <c r="KK186" s="111"/>
      <c r="KL186" s="111"/>
      <c r="KM186" s="111"/>
      <c r="KN186" s="111"/>
      <c r="KO186" s="111"/>
      <c r="KP186" s="111"/>
      <c r="KQ186" s="111"/>
      <c r="KR186" s="111"/>
      <c r="KS186" s="111"/>
      <c r="KT186" s="111"/>
      <c r="KU186" s="111"/>
      <c r="KV186" s="111"/>
      <c r="KW186" s="111"/>
      <c r="KX186" s="111"/>
      <c r="KY186" s="111"/>
      <c r="KZ186" s="111"/>
      <c r="LA186" s="111"/>
      <c r="LB186" s="111"/>
      <c r="LC186" s="111"/>
      <c r="LD186" s="111"/>
      <c r="LE186" s="111"/>
      <c r="LF186" s="111"/>
      <c r="LG186" s="111"/>
      <c r="LH186" s="111"/>
      <c r="LI186" s="111"/>
      <c r="LJ186" s="111"/>
      <c r="LK186" s="111"/>
      <c r="LL186" s="111"/>
      <c r="LM186" s="111"/>
      <c r="LN186" s="111"/>
      <c r="LO186" s="111"/>
      <c r="LP186" s="111"/>
      <c r="LQ186" s="111"/>
      <c r="LR186" s="111"/>
      <c r="LS186" s="111"/>
      <c r="LT186" s="111"/>
      <c r="LU186" s="111"/>
      <c r="LV186" s="111"/>
      <c r="LW186" s="111"/>
      <c r="LX186" s="111"/>
      <c r="LY186" s="111"/>
      <c r="LZ186" s="111"/>
      <c r="MA186" s="111"/>
      <c r="MB186" s="111"/>
      <c r="MC186" s="111"/>
      <c r="MD186" s="111"/>
      <c r="ME186" s="111"/>
      <c r="MF186" s="111"/>
      <c r="MG186" s="111"/>
      <c r="MH186" s="111"/>
    </row>
    <row r="187" spans="1:346" x14ac:dyDescent="0.25">
      <c r="A187" s="110" t="s">
        <v>34</v>
      </c>
      <c r="B187" s="101" t="s">
        <v>80</v>
      </c>
      <c r="C187" s="102"/>
      <c r="D187" s="102"/>
      <c r="E187" s="102"/>
      <c r="F187" s="102"/>
      <c r="G187" s="102"/>
      <c r="H187" s="102"/>
      <c r="I187" s="102"/>
      <c r="J187" s="103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2" t="str">
        <f t="shared" ref="AE187:AE189" si="931">HYPERLINK("http://www.kub-berlin.org/formularprojekt/de/portugiesisch-antraege-und-anlagen-uebersetzungshilfen/","x")</f>
        <v>x</v>
      </c>
      <c r="AF187" s="111"/>
      <c r="AG187" s="111"/>
      <c r="AH187" s="111"/>
      <c r="AI187" s="111"/>
      <c r="AJ187" s="111"/>
      <c r="AK187" s="111"/>
      <c r="AL187" s="111"/>
      <c r="AM187" s="111"/>
      <c r="AN187" s="112"/>
      <c r="AO187" s="112"/>
      <c r="AP187" s="112"/>
      <c r="AQ187" s="112"/>
      <c r="AR187" s="112"/>
      <c r="AS187" s="112"/>
      <c r="AT187" s="112"/>
      <c r="AU187" s="113"/>
      <c r="AV187" s="114" t="str">
        <f t="shared" si="895"/>
        <v>x</v>
      </c>
      <c r="AW187" s="114" t="str">
        <f t="shared" si="896"/>
        <v>x</v>
      </c>
      <c r="AX187" s="111"/>
      <c r="AY187" s="111"/>
      <c r="AZ187" s="112" t="str">
        <f t="shared" si="897"/>
        <v>x</v>
      </c>
      <c r="BA187" s="112" t="str">
        <f t="shared" si="898"/>
        <v>x</v>
      </c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 t="str">
        <f t="shared" si="899"/>
        <v>x</v>
      </c>
      <c r="BS187" s="112"/>
      <c r="BT187" s="111"/>
      <c r="BU187" s="112" t="str">
        <f t="shared" si="900"/>
        <v>x</v>
      </c>
      <c r="BV187" s="112" t="str">
        <f>HYPERLINK("http://www.welcomegrooves.de/wp-content/uploads/2015/11/welcomegrooves-de-portugiesisch.pdf","x")</f>
        <v>x</v>
      </c>
      <c r="BW187" s="112"/>
      <c r="BX187" s="112"/>
      <c r="BY187" s="112"/>
      <c r="BZ187" s="112" t="str">
        <f t="shared" si="902"/>
        <v>x</v>
      </c>
      <c r="CA187" s="112" t="str">
        <f t="shared" si="903"/>
        <v>x</v>
      </c>
      <c r="CB187" s="112" t="str">
        <f t="shared" si="904"/>
        <v>x</v>
      </c>
      <c r="CC187" s="112"/>
      <c r="CD187" s="112"/>
      <c r="CE187" s="111"/>
      <c r="CF187" s="111"/>
      <c r="CG187" s="111"/>
      <c r="CH187" s="111"/>
      <c r="CI187" s="112" t="str">
        <f t="shared" si="905"/>
        <v>x</v>
      </c>
      <c r="CJ187" s="112" t="str">
        <f t="shared" si="906"/>
        <v>x</v>
      </c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5"/>
      <c r="DC187" s="112"/>
      <c r="DD187" s="112"/>
      <c r="DE187" s="112" t="str">
        <f t="shared" si="907"/>
        <v>x</v>
      </c>
      <c r="DF187" s="115" t="str">
        <f t="shared" si="908"/>
        <v>x</v>
      </c>
      <c r="DG187" s="112" t="str">
        <f t="shared" si="909"/>
        <v>x</v>
      </c>
      <c r="DH187" s="112" t="str">
        <f t="shared" si="910"/>
        <v>x</v>
      </c>
      <c r="DI187" s="112" t="str">
        <f>HYPERLINK("http://www.bibliomedia.ch/de/angebote/dokumente/Glossar_portugiesisch.pdf","x")</f>
        <v>x</v>
      </c>
      <c r="DJ187" s="112"/>
      <c r="DK187" s="112"/>
      <c r="DL187" s="112"/>
      <c r="DM187" s="112"/>
      <c r="DN187" s="112"/>
      <c r="DO187" s="111"/>
      <c r="DP187" s="111"/>
      <c r="DQ187" s="111"/>
      <c r="DR187" s="112" t="str">
        <f t="shared" ref="DR187:DR189" si="932">HYPERLINK("http://bildung.koeln.de/materialbibliothek/download.php?idx=de2686c222102377b8ae1e8183c8a22a","x")</f>
        <v>x</v>
      </c>
      <c r="DS187" s="112" t="str">
        <f t="shared" ref="DS187:DS189" si="933">HYPERLINK("http://bildung.koeln.de/materialbibliothek/download.php?idx=035b9a2c186ac6facf2908441ea63b5a","x")</f>
        <v>x</v>
      </c>
      <c r="DT187" s="112"/>
      <c r="DU187" s="112" t="str">
        <f>HYPERLINK("https://www.bmbf.de/pub/KAUSA_Elternratgeber_deutsch_portugiesisch.pdf","x")</f>
        <v>x</v>
      </c>
      <c r="DV187" s="111"/>
      <c r="DW187" s="111"/>
      <c r="DX187" s="111"/>
      <c r="DY187" s="111"/>
      <c r="DZ187" s="112" t="str">
        <f>HYPERLINK("http://www.bamf.de/SharedDocs/Anlagen/DE/Publikationen/Flyer/AnerkennungBerufsabschluss/anerkennung-berufsabschluss_ausland_pt.pdf?__blob=publicationFile","x")</f>
        <v>x</v>
      </c>
      <c r="EA187" s="112"/>
      <c r="EB187" s="112" t="str">
        <f>HYPERLINK("http://www.bamf.de/SharedDocs/Anlagen/DE/Publikationen/Flyer/Berufsbezsprachf-ESF-BAMF/berufsbezsprachf-esf-bamf_por.pdf?__blob=publicationFile","x")</f>
        <v>x</v>
      </c>
      <c r="EC187" s="111"/>
      <c r="ED187" s="111"/>
      <c r="EE187" s="111"/>
      <c r="EF187" s="111"/>
      <c r="EG187" s="111"/>
      <c r="EH187" s="111"/>
      <c r="EI187" s="112"/>
      <c r="EJ187" s="112"/>
      <c r="EK187" s="111"/>
      <c r="EL187" s="112" t="str">
        <f>HYPERLINK("http://www.kvs-sachsen.de/fileadmin/img/Mitglieder/Asylbewerber/Allg-Informationen/Anlage_1_Portugiesisch_LEK.pdf","x")</f>
        <v>x</v>
      </c>
      <c r="EM187" s="111"/>
      <c r="EN187" s="111"/>
      <c r="EO187" s="117" t="str">
        <f t="shared" si="916"/>
        <v>x</v>
      </c>
      <c r="EP187" s="117" t="str">
        <f>HYPERLINK("http://www.armut-gesundheit.de/fileadmin/redakteur/dokumente/Anamnesebogen%20-%20portugiesischnew.pdf","x")</f>
        <v>x</v>
      </c>
      <c r="EQ187" s="112" t="str">
        <f>HYPERLINK("http://www.kvs-sachsen.de/fileadmin/img/Mitglieder/Asylbewerber/Allg-Informationen/Anlagen_2-1_2-2_Portugiesisch_LEK.pdf","x")</f>
        <v>x</v>
      </c>
      <c r="ER187" s="111"/>
      <c r="ES187" s="111"/>
      <c r="ET187" s="111"/>
      <c r="EU187" s="111"/>
      <c r="EV187" s="112" t="str">
        <f t="shared" si="919"/>
        <v>x</v>
      </c>
      <c r="EW187" s="111"/>
      <c r="EX187" s="111"/>
      <c r="EY187" s="111"/>
      <c r="EZ187" s="111"/>
      <c r="FA187" s="111"/>
      <c r="FB187" s="111"/>
      <c r="FC187" s="112" t="str">
        <f t="shared" si="920"/>
        <v>x</v>
      </c>
      <c r="FD187" s="112" t="str">
        <f t="shared" si="921"/>
        <v>x</v>
      </c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2" t="str">
        <f t="shared" si="922"/>
        <v>x</v>
      </c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2" t="str">
        <f t="shared" si="628"/>
        <v>x</v>
      </c>
      <c r="HC187" s="111"/>
      <c r="HD187" s="111"/>
      <c r="HE187" s="111"/>
      <c r="HF187" s="111"/>
      <c r="HG187" s="111"/>
      <c r="HH187" s="111"/>
      <c r="HI187" s="111"/>
      <c r="HJ187" s="112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2" t="str">
        <f t="shared" si="923"/>
        <v>x</v>
      </c>
      <c r="HY187" s="112" t="str">
        <f t="shared" si="924"/>
        <v>x</v>
      </c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2" t="str">
        <f>HYPERLINK("http://www.bamf.de/SharedDocs/Anlagen/DE/Publikationen/Flyer/Lassen-Sie-Sich-Beraten/lassen-sie-sich-beraten_pt.pdf?__blob=publicationFile","x")</f>
        <v>x</v>
      </c>
      <c r="IK187" s="111"/>
      <c r="IL187" s="111"/>
      <c r="IM187" s="112" t="str">
        <f>HYPERLINK("https://www.bamf.de/SharedDocs/Anlagen/DE/Publikationen/Broschueren/willkommen-in-deutschland_pt.pdf?__blob=publicationFile","x")</f>
        <v>x</v>
      </c>
      <c r="IN187" s="112"/>
      <c r="IO187" s="111"/>
      <c r="IP187" s="112"/>
      <c r="IQ187" s="112"/>
      <c r="IR187" s="111"/>
      <c r="IS187" s="111"/>
      <c r="IT187" s="111"/>
      <c r="IU187" s="112"/>
      <c r="IV187" s="112"/>
      <c r="IW187" s="112" t="str">
        <f t="shared" si="927"/>
        <v>x</v>
      </c>
      <c r="IX187" s="112" t="str">
        <f>HYPERLINK("http://www.bamf.de/SharedDocs/Anlagen/DE/Publikationen/Broschueren/broschuere-eat-a4-pt-portugiesisch.pdf?__blob=publicationFile","x")</f>
        <v>x</v>
      </c>
      <c r="IY187" s="111"/>
      <c r="IZ187" s="111"/>
      <c r="JA187" s="111"/>
      <c r="JB187" s="112"/>
      <c r="JC187" s="111"/>
      <c r="JD187" s="112"/>
      <c r="JE187" s="112"/>
      <c r="JF187" s="112"/>
      <c r="JG187" s="112"/>
      <c r="JH187" s="111"/>
      <c r="JI187" s="112"/>
      <c r="JJ187" s="112"/>
      <c r="JK187" s="112" t="str">
        <f t="shared" ref="JK187:JK189" si="934">HYPERLINK("http://www.kub-berlin.org/formularprojekt/de/portugiesisch-antraege-und-anlagen-uebersetzungshilfen/","x")</f>
        <v>x</v>
      </c>
      <c r="JL187" s="112" t="str">
        <f t="shared" si="929"/>
        <v>x</v>
      </c>
      <c r="JM187" s="112"/>
      <c r="JN187" s="112"/>
      <c r="JO187" s="112"/>
      <c r="JP187" s="112"/>
      <c r="JQ187" s="112" t="str">
        <f t="shared" si="930"/>
        <v>x</v>
      </c>
      <c r="JR187" s="112"/>
      <c r="JS187" s="111"/>
      <c r="JT187" s="111"/>
      <c r="JU187" s="111"/>
      <c r="JV187" s="112"/>
      <c r="JW187" s="112"/>
      <c r="JX187" s="111"/>
      <c r="JY187" s="111"/>
      <c r="JZ187" s="111"/>
      <c r="KA187" s="111"/>
      <c r="KB187" s="111"/>
      <c r="KC187" s="111"/>
      <c r="KD187" s="111"/>
      <c r="KE187" s="111"/>
      <c r="KF187" s="111"/>
      <c r="KG187" s="111"/>
      <c r="KH187" s="111"/>
      <c r="KI187" s="111"/>
      <c r="KJ187" s="111"/>
      <c r="KK187" s="111"/>
      <c r="KL187" s="111"/>
      <c r="KM187" s="111"/>
      <c r="KN187" s="111"/>
      <c r="KO187" s="111"/>
      <c r="KP187" s="111"/>
      <c r="KQ187" s="111"/>
      <c r="KR187" s="111"/>
      <c r="KS187" s="111"/>
      <c r="KT187" s="111"/>
      <c r="KU187" s="111"/>
      <c r="KV187" s="111"/>
      <c r="KW187" s="111"/>
      <c r="KX187" s="111"/>
      <c r="KY187" s="111"/>
      <c r="KZ187" s="111"/>
      <c r="LA187" s="111"/>
      <c r="LB187" s="111"/>
      <c r="LC187" s="111"/>
      <c r="LD187" s="111"/>
      <c r="LE187" s="111"/>
      <c r="LF187" s="111"/>
      <c r="LG187" s="111"/>
      <c r="LH187" s="111"/>
      <c r="LI187" s="111"/>
      <c r="LJ187" s="111"/>
      <c r="LK187" s="111"/>
      <c r="LL187" s="111"/>
      <c r="LM187" s="111"/>
      <c r="LN187" s="111"/>
      <c r="LO187" s="111"/>
      <c r="LP187" s="111"/>
      <c r="LQ187" s="111"/>
      <c r="LR187" s="111"/>
      <c r="LS187" s="111"/>
      <c r="LT187" s="111"/>
      <c r="LU187" s="111"/>
      <c r="LV187" s="111"/>
      <c r="LW187" s="111"/>
      <c r="LX187" s="111"/>
      <c r="LY187" s="111"/>
      <c r="LZ187" s="111"/>
      <c r="MA187" s="111"/>
      <c r="MB187" s="111"/>
      <c r="MC187" s="111"/>
      <c r="MD187" s="111"/>
      <c r="ME187" s="111"/>
      <c r="MF187" s="111"/>
      <c r="MG187" s="111"/>
      <c r="MH187" s="111"/>
    </row>
    <row r="188" spans="1:346" x14ac:dyDescent="0.25">
      <c r="A188" s="110" t="s">
        <v>34</v>
      </c>
      <c r="B188" s="101" t="s">
        <v>79</v>
      </c>
      <c r="C188" s="102"/>
      <c r="D188" s="102"/>
      <c r="E188" s="102"/>
      <c r="F188" s="102"/>
      <c r="G188" s="102"/>
      <c r="H188" s="102"/>
      <c r="I188" s="102"/>
      <c r="J188" s="103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2" t="str">
        <f t="shared" si="931"/>
        <v>x</v>
      </c>
      <c r="AF188" s="111"/>
      <c r="AG188" s="111"/>
      <c r="AH188" s="111"/>
      <c r="AI188" s="111"/>
      <c r="AJ188" s="111"/>
      <c r="AK188" s="111"/>
      <c r="AL188" s="111"/>
      <c r="AM188" s="111"/>
      <c r="AN188" s="112"/>
      <c r="AO188" s="112"/>
      <c r="AP188" s="112"/>
      <c r="AQ188" s="112"/>
      <c r="AR188" s="112"/>
      <c r="AS188" s="112"/>
      <c r="AT188" s="112"/>
      <c r="AU188" s="113"/>
      <c r="AV188" s="114" t="str">
        <f t="shared" si="895"/>
        <v>x</v>
      </c>
      <c r="AW188" s="114" t="str">
        <f t="shared" si="896"/>
        <v>x</v>
      </c>
      <c r="AX188" s="111"/>
      <c r="AY188" s="111"/>
      <c r="AZ188" s="112" t="str">
        <f t="shared" si="897"/>
        <v>x</v>
      </c>
      <c r="BA188" s="112" t="str">
        <f t="shared" si="898"/>
        <v>x</v>
      </c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2" t="str">
        <f t="shared" si="899"/>
        <v>x</v>
      </c>
      <c r="BS188" s="112"/>
      <c r="BT188" s="111"/>
      <c r="BU188" s="112" t="str">
        <f t="shared" si="900"/>
        <v>x</v>
      </c>
      <c r="BV188" s="112" t="str">
        <f t="shared" si="901"/>
        <v>x</v>
      </c>
      <c r="BW188" s="112"/>
      <c r="BX188" s="112"/>
      <c r="BY188" s="112"/>
      <c r="BZ188" s="112" t="str">
        <f t="shared" si="902"/>
        <v>x</v>
      </c>
      <c r="CA188" s="112" t="str">
        <f t="shared" si="903"/>
        <v>x</v>
      </c>
      <c r="CB188" s="112" t="str">
        <f t="shared" si="904"/>
        <v>x</v>
      </c>
      <c r="CC188" s="112"/>
      <c r="CD188" s="112"/>
      <c r="CE188" s="111"/>
      <c r="CF188" s="111"/>
      <c r="CG188" s="111"/>
      <c r="CH188" s="111"/>
      <c r="CI188" s="112" t="str">
        <f t="shared" si="905"/>
        <v>x</v>
      </c>
      <c r="CJ188" s="112" t="str">
        <f t="shared" si="906"/>
        <v>x</v>
      </c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5"/>
      <c r="DC188" s="112"/>
      <c r="DD188" s="112"/>
      <c r="DE188" s="112" t="str">
        <f t="shared" si="907"/>
        <v>x</v>
      </c>
      <c r="DF188" s="115" t="str">
        <f t="shared" si="908"/>
        <v>x</v>
      </c>
      <c r="DG188" s="112" t="str">
        <f t="shared" si="909"/>
        <v>x</v>
      </c>
      <c r="DH188" s="112" t="str">
        <f t="shared" si="910"/>
        <v>x</v>
      </c>
      <c r="DI188" s="112" t="str">
        <f t="shared" si="911"/>
        <v>x</v>
      </c>
      <c r="DJ188" s="112"/>
      <c r="DK188" s="112"/>
      <c r="DL188" s="112"/>
      <c r="DM188" s="112"/>
      <c r="DN188" s="112"/>
      <c r="DO188" s="111"/>
      <c r="DP188" s="111"/>
      <c r="DQ188" s="111"/>
      <c r="DR188" s="112" t="str">
        <f t="shared" si="932"/>
        <v>x</v>
      </c>
      <c r="DS188" s="112" t="str">
        <f t="shared" si="933"/>
        <v>x</v>
      </c>
      <c r="DT188" s="112"/>
      <c r="DU188" s="112" t="str">
        <f t="shared" si="912"/>
        <v>x</v>
      </c>
      <c r="DV188" s="111"/>
      <c r="DW188" s="111"/>
      <c r="DX188" s="111"/>
      <c r="DY188" s="111"/>
      <c r="DZ188" s="112" t="str">
        <f t="shared" si="913"/>
        <v>x</v>
      </c>
      <c r="EA188" s="112"/>
      <c r="EB188" s="112" t="str">
        <f t="shared" si="914"/>
        <v>x</v>
      </c>
      <c r="EC188" s="111"/>
      <c r="ED188" s="111"/>
      <c r="EE188" s="111"/>
      <c r="EF188" s="111"/>
      <c r="EG188" s="111"/>
      <c r="EH188" s="111"/>
      <c r="EI188" s="112"/>
      <c r="EJ188" s="112"/>
      <c r="EK188" s="111"/>
      <c r="EL188" s="112" t="str">
        <f t="shared" si="915"/>
        <v>x</v>
      </c>
      <c r="EM188" s="111"/>
      <c r="EN188" s="111"/>
      <c r="EO188" s="117" t="str">
        <f t="shared" si="916"/>
        <v>x</v>
      </c>
      <c r="EP188" s="117" t="str">
        <f t="shared" si="917"/>
        <v>x</v>
      </c>
      <c r="EQ188" s="112" t="str">
        <f t="shared" si="918"/>
        <v>x</v>
      </c>
      <c r="ER188" s="111"/>
      <c r="ES188" s="111"/>
      <c r="ET188" s="111"/>
      <c r="EU188" s="111"/>
      <c r="EV188" s="112" t="str">
        <f t="shared" si="919"/>
        <v>x</v>
      </c>
      <c r="EW188" s="111"/>
      <c r="EX188" s="111"/>
      <c r="EY188" s="111"/>
      <c r="EZ188" s="111"/>
      <c r="FA188" s="111"/>
      <c r="FB188" s="111"/>
      <c r="FC188" s="112" t="str">
        <f t="shared" si="920"/>
        <v>x</v>
      </c>
      <c r="FD188" s="112" t="str">
        <f t="shared" si="921"/>
        <v>x</v>
      </c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2" t="str">
        <f t="shared" si="922"/>
        <v>x</v>
      </c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2" t="str">
        <f t="shared" si="628"/>
        <v>x</v>
      </c>
      <c r="HC188" s="111"/>
      <c r="HD188" s="111"/>
      <c r="HE188" s="111"/>
      <c r="HF188" s="111"/>
      <c r="HG188" s="111"/>
      <c r="HH188" s="111"/>
      <c r="HI188" s="111"/>
      <c r="HJ188" s="112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2" t="str">
        <f t="shared" si="923"/>
        <v>x</v>
      </c>
      <c r="HY188" s="112" t="str">
        <f t="shared" si="924"/>
        <v>x</v>
      </c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2" t="str">
        <f t="shared" si="925"/>
        <v>x</v>
      </c>
      <c r="IK188" s="111"/>
      <c r="IL188" s="111"/>
      <c r="IM188" s="112" t="str">
        <f t="shared" si="926"/>
        <v>x</v>
      </c>
      <c r="IN188" s="112"/>
      <c r="IO188" s="111"/>
      <c r="IP188" s="112"/>
      <c r="IQ188" s="112"/>
      <c r="IR188" s="111"/>
      <c r="IS188" s="111"/>
      <c r="IT188" s="111"/>
      <c r="IU188" s="112"/>
      <c r="IV188" s="112"/>
      <c r="IW188" s="112" t="str">
        <f t="shared" si="927"/>
        <v>x</v>
      </c>
      <c r="IX188" s="112" t="str">
        <f t="shared" si="928"/>
        <v>x</v>
      </c>
      <c r="IY188" s="111"/>
      <c r="IZ188" s="111"/>
      <c r="JA188" s="111"/>
      <c r="JB188" s="112"/>
      <c r="JC188" s="111"/>
      <c r="JD188" s="112"/>
      <c r="JE188" s="112"/>
      <c r="JF188" s="112"/>
      <c r="JG188" s="112"/>
      <c r="JH188" s="111"/>
      <c r="JI188" s="112"/>
      <c r="JJ188" s="112"/>
      <c r="JK188" s="112" t="str">
        <f t="shared" si="934"/>
        <v>x</v>
      </c>
      <c r="JL188" s="112" t="str">
        <f t="shared" si="929"/>
        <v>x</v>
      </c>
      <c r="JM188" s="112"/>
      <c r="JN188" s="112"/>
      <c r="JO188" s="112"/>
      <c r="JP188" s="112"/>
      <c r="JQ188" s="112" t="str">
        <f t="shared" si="930"/>
        <v>x</v>
      </c>
      <c r="JR188" s="112"/>
      <c r="JS188" s="111"/>
      <c r="JT188" s="111"/>
      <c r="JU188" s="111"/>
      <c r="JV188" s="112"/>
      <c r="JW188" s="112"/>
      <c r="JX188" s="111"/>
      <c r="JY188" s="111"/>
      <c r="JZ188" s="111"/>
      <c r="KA188" s="111"/>
      <c r="KB188" s="111"/>
      <c r="KC188" s="111"/>
      <c r="KD188" s="111"/>
      <c r="KE188" s="111"/>
      <c r="KF188" s="111"/>
      <c r="KG188" s="111"/>
      <c r="KH188" s="111"/>
      <c r="KI188" s="111"/>
      <c r="KJ188" s="111"/>
      <c r="KK188" s="111"/>
      <c r="KL188" s="111"/>
      <c r="KM188" s="111"/>
      <c r="KN188" s="111"/>
      <c r="KO188" s="111"/>
      <c r="KP188" s="111"/>
      <c r="KQ188" s="111"/>
      <c r="KR188" s="111"/>
      <c r="KS188" s="111"/>
      <c r="KT188" s="111"/>
      <c r="KU188" s="111"/>
      <c r="KV188" s="111"/>
      <c r="KW188" s="111"/>
      <c r="KX188" s="111"/>
      <c r="KY188" s="111"/>
      <c r="KZ188" s="111"/>
      <c r="LA188" s="111"/>
      <c r="LB188" s="111"/>
      <c r="LC188" s="111"/>
      <c r="LD188" s="111"/>
      <c r="LE188" s="111"/>
      <c r="LF188" s="111"/>
      <c r="LG188" s="111"/>
      <c r="LH188" s="111"/>
      <c r="LI188" s="111"/>
      <c r="LJ188" s="111"/>
      <c r="LK188" s="111"/>
      <c r="LL188" s="111"/>
      <c r="LM188" s="111"/>
      <c r="LN188" s="111"/>
      <c r="LO188" s="111"/>
      <c r="LP188" s="111"/>
      <c r="LQ188" s="111"/>
      <c r="LR188" s="111"/>
      <c r="LS188" s="111"/>
      <c r="LT188" s="111"/>
      <c r="LU188" s="111"/>
      <c r="LV188" s="111"/>
      <c r="LW188" s="111"/>
      <c r="LX188" s="111"/>
      <c r="LY188" s="111"/>
      <c r="LZ188" s="111"/>
      <c r="MA188" s="111"/>
      <c r="MB188" s="111"/>
      <c r="MC188" s="111"/>
      <c r="MD188" s="111"/>
      <c r="ME188" s="111"/>
      <c r="MF188" s="111"/>
      <c r="MG188" s="111"/>
      <c r="MH188" s="111"/>
    </row>
    <row r="189" spans="1:346" x14ac:dyDescent="0.25">
      <c r="A189" s="110" t="s">
        <v>34</v>
      </c>
      <c r="B189" s="101" t="s">
        <v>81</v>
      </c>
      <c r="C189" s="102"/>
      <c r="D189" s="102"/>
      <c r="E189" s="102"/>
      <c r="F189" s="102"/>
      <c r="G189" s="102"/>
      <c r="H189" s="102"/>
      <c r="I189" s="102"/>
      <c r="J189" s="103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2" t="str">
        <f t="shared" si="931"/>
        <v>x</v>
      </c>
      <c r="AF189" s="111"/>
      <c r="AG189" s="111"/>
      <c r="AH189" s="111"/>
      <c r="AI189" s="111"/>
      <c r="AJ189" s="111"/>
      <c r="AK189" s="111"/>
      <c r="AL189" s="111"/>
      <c r="AM189" s="111"/>
      <c r="AN189" s="112"/>
      <c r="AO189" s="112"/>
      <c r="AP189" s="112"/>
      <c r="AQ189" s="112"/>
      <c r="AR189" s="112"/>
      <c r="AS189" s="112"/>
      <c r="AT189" s="112"/>
      <c r="AU189" s="113"/>
      <c r="AV189" s="114" t="str">
        <f t="shared" si="895"/>
        <v>x</v>
      </c>
      <c r="AW189" s="114" t="str">
        <f t="shared" si="896"/>
        <v>x</v>
      </c>
      <c r="AX189" s="111"/>
      <c r="AY189" s="111"/>
      <c r="AZ189" s="112" t="str">
        <f t="shared" si="897"/>
        <v>x</v>
      </c>
      <c r="BA189" s="112" t="str">
        <f t="shared" si="898"/>
        <v>x</v>
      </c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2" t="str">
        <f t="shared" si="899"/>
        <v>x</v>
      </c>
      <c r="BS189" s="112"/>
      <c r="BT189" s="111"/>
      <c r="BU189" s="112" t="str">
        <f t="shared" si="900"/>
        <v>x</v>
      </c>
      <c r="BV189" s="112" t="str">
        <f t="shared" si="901"/>
        <v>x</v>
      </c>
      <c r="BW189" s="112"/>
      <c r="BX189" s="112"/>
      <c r="BY189" s="112"/>
      <c r="BZ189" s="112" t="str">
        <f t="shared" si="902"/>
        <v>x</v>
      </c>
      <c r="CA189" s="112" t="str">
        <f t="shared" si="903"/>
        <v>x</v>
      </c>
      <c r="CB189" s="112" t="str">
        <f t="shared" si="904"/>
        <v>x</v>
      </c>
      <c r="CC189" s="112"/>
      <c r="CD189" s="112"/>
      <c r="CE189" s="111"/>
      <c r="CF189" s="111"/>
      <c r="CG189" s="111"/>
      <c r="CH189" s="111"/>
      <c r="CI189" s="112" t="str">
        <f t="shared" si="905"/>
        <v>x</v>
      </c>
      <c r="CJ189" s="112" t="str">
        <f t="shared" si="906"/>
        <v>x</v>
      </c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5"/>
      <c r="DC189" s="112"/>
      <c r="DD189" s="112"/>
      <c r="DE189" s="112" t="str">
        <f t="shared" si="907"/>
        <v>x</v>
      </c>
      <c r="DF189" s="115" t="str">
        <f t="shared" si="908"/>
        <v>x</v>
      </c>
      <c r="DG189" s="112" t="str">
        <f t="shared" si="909"/>
        <v>x</v>
      </c>
      <c r="DH189" s="112" t="str">
        <f t="shared" si="910"/>
        <v>x</v>
      </c>
      <c r="DI189" s="112" t="str">
        <f t="shared" si="911"/>
        <v>x</v>
      </c>
      <c r="DJ189" s="112"/>
      <c r="DK189" s="112"/>
      <c r="DL189" s="112"/>
      <c r="DM189" s="112"/>
      <c r="DN189" s="112"/>
      <c r="DO189" s="111"/>
      <c r="DP189" s="111"/>
      <c r="DQ189" s="111"/>
      <c r="DR189" s="112" t="str">
        <f t="shared" si="932"/>
        <v>x</v>
      </c>
      <c r="DS189" s="112" t="str">
        <f t="shared" si="933"/>
        <v>x</v>
      </c>
      <c r="DT189" s="112"/>
      <c r="DU189" s="112" t="str">
        <f t="shared" si="912"/>
        <v>x</v>
      </c>
      <c r="DV189" s="111"/>
      <c r="DW189" s="111"/>
      <c r="DX189" s="111"/>
      <c r="DY189" s="111"/>
      <c r="DZ189" s="112" t="str">
        <f t="shared" si="913"/>
        <v>x</v>
      </c>
      <c r="EA189" s="112"/>
      <c r="EB189" s="112" t="str">
        <f t="shared" si="914"/>
        <v>x</v>
      </c>
      <c r="EC189" s="111"/>
      <c r="ED189" s="111"/>
      <c r="EE189" s="111"/>
      <c r="EF189" s="111"/>
      <c r="EG189" s="111"/>
      <c r="EH189" s="111"/>
      <c r="EI189" s="112"/>
      <c r="EJ189" s="112"/>
      <c r="EK189" s="111"/>
      <c r="EL189" s="112" t="str">
        <f t="shared" si="915"/>
        <v>x</v>
      </c>
      <c r="EM189" s="111"/>
      <c r="EN189" s="111"/>
      <c r="EO189" s="117" t="str">
        <f t="shared" si="916"/>
        <v>x</v>
      </c>
      <c r="EP189" s="117" t="str">
        <f t="shared" si="917"/>
        <v>x</v>
      </c>
      <c r="EQ189" s="112" t="str">
        <f t="shared" si="918"/>
        <v>x</v>
      </c>
      <c r="ER189" s="111"/>
      <c r="ES189" s="111"/>
      <c r="ET189" s="111"/>
      <c r="EU189" s="111"/>
      <c r="EV189" s="112" t="str">
        <f t="shared" si="919"/>
        <v>x</v>
      </c>
      <c r="EW189" s="111"/>
      <c r="EX189" s="111"/>
      <c r="EY189" s="111"/>
      <c r="EZ189" s="111"/>
      <c r="FA189" s="111"/>
      <c r="FB189" s="111"/>
      <c r="FC189" s="112" t="str">
        <f t="shared" si="920"/>
        <v>x</v>
      </c>
      <c r="FD189" s="112" t="str">
        <f t="shared" si="921"/>
        <v>x</v>
      </c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2" t="str">
        <f t="shared" si="922"/>
        <v>x</v>
      </c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2" t="str">
        <f t="shared" si="628"/>
        <v>x</v>
      </c>
      <c r="HC189" s="111"/>
      <c r="HD189" s="111"/>
      <c r="HE189" s="111"/>
      <c r="HF189" s="111"/>
      <c r="HG189" s="111"/>
      <c r="HH189" s="111"/>
      <c r="HI189" s="111"/>
      <c r="HJ189" s="112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2" t="str">
        <f t="shared" si="923"/>
        <v>x</v>
      </c>
      <c r="HY189" s="112" t="str">
        <f t="shared" si="924"/>
        <v>x</v>
      </c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2" t="str">
        <f t="shared" si="925"/>
        <v>x</v>
      </c>
      <c r="IK189" s="111"/>
      <c r="IL189" s="111"/>
      <c r="IM189" s="112" t="str">
        <f t="shared" si="926"/>
        <v>x</v>
      </c>
      <c r="IN189" s="112"/>
      <c r="IO189" s="111"/>
      <c r="IP189" s="112"/>
      <c r="IQ189" s="112"/>
      <c r="IR189" s="111"/>
      <c r="IS189" s="111"/>
      <c r="IT189" s="111"/>
      <c r="IU189" s="112"/>
      <c r="IV189" s="112"/>
      <c r="IW189" s="112" t="str">
        <f t="shared" si="927"/>
        <v>x</v>
      </c>
      <c r="IX189" s="112" t="str">
        <f t="shared" si="928"/>
        <v>x</v>
      </c>
      <c r="IY189" s="111"/>
      <c r="IZ189" s="111"/>
      <c r="JA189" s="111"/>
      <c r="JB189" s="112"/>
      <c r="JC189" s="111"/>
      <c r="JD189" s="112"/>
      <c r="JE189" s="112"/>
      <c r="JF189" s="112"/>
      <c r="JG189" s="112"/>
      <c r="JH189" s="111"/>
      <c r="JI189" s="112"/>
      <c r="JJ189" s="112"/>
      <c r="JK189" s="112" t="str">
        <f t="shared" si="934"/>
        <v>x</v>
      </c>
      <c r="JL189" s="112" t="str">
        <f t="shared" si="929"/>
        <v>x</v>
      </c>
      <c r="JM189" s="112"/>
      <c r="JN189" s="112"/>
      <c r="JO189" s="112"/>
      <c r="JP189" s="112"/>
      <c r="JQ189" s="112" t="str">
        <f t="shared" si="930"/>
        <v>x</v>
      </c>
      <c r="JR189" s="112"/>
      <c r="JS189" s="111"/>
      <c r="JT189" s="111"/>
      <c r="JU189" s="111"/>
      <c r="JV189" s="112"/>
      <c r="JW189" s="112"/>
      <c r="JX189" s="111"/>
      <c r="JY189" s="111"/>
      <c r="JZ189" s="111"/>
      <c r="KA189" s="111"/>
      <c r="KB189" s="111"/>
      <c r="KC189" s="111"/>
      <c r="KD189" s="111"/>
      <c r="KE189" s="111"/>
      <c r="KF189" s="111"/>
      <c r="KG189" s="111"/>
      <c r="KH189" s="111"/>
      <c r="KI189" s="111"/>
      <c r="KJ189" s="111"/>
      <c r="KK189" s="111"/>
      <c r="KL189" s="111"/>
      <c r="KM189" s="111"/>
      <c r="KN189" s="111"/>
      <c r="KO189" s="111"/>
      <c r="KP189" s="111"/>
      <c r="KQ189" s="111"/>
      <c r="KR189" s="111"/>
      <c r="KS189" s="111"/>
      <c r="KT189" s="111"/>
      <c r="KU189" s="111"/>
      <c r="KV189" s="111"/>
      <c r="KW189" s="111"/>
      <c r="KX189" s="111"/>
      <c r="KY189" s="111"/>
      <c r="KZ189" s="111"/>
      <c r="LA189" s="111"/>
      <c r="LB189" s="111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</row>
    <row r="190" spans="1:346" x14ac:dyDescent="0.25">
      <c r="A190" s="101" t="s">
        <v>491</v>
      </c>
      <c r="B190" s="102"/>
      <c r="C190" s="102"/>
      <c r="D190" s="102"/>
      <c r="E190" s="102"/>
      <c r="F190" s="102"/>
      <c r="G190" s="102"/>
      <c r="H190" s="102"/>
      <c r="I190" s="102"/>
      <c r="J190" s="103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6"/>
      <c r="AV190" s="106"/>
      <c r="AW190" s="106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9"/>
      <c r="EP190" s="109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5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4"/>
      <c r="JK190" s="104"/>
      <c r="JL190" s="104"/>
      <c r="JM190" s="104"/>
      <c r="JN190" s="104"/>
      <c r="JO190" s="104"/>
      <c r="JP190" s="104"/>
      <c r="JQ190" s="104"/>
      <c r="JR190" s="104"/>
      <c r="JS190" s="104"/>
      <c r="JT190" s="104"/>
      <c r="JU190" s="104"/>
      <c r="JV190" s="104"/>
      <c r="JW190" s="104"/>
      <c r="JX190" s="104"/>
      <c r="JY190" s="104"/>
      <c r="JZ190" s="104"/>
      <c r="KA190" s="104"/>
      <c r="KB190" s="104"/>
      <c r="KC190" s="104"/>
      <c r="KD190" s="104"/>
      <c r="KE190" s="104"/>
      <c r="KF190" s="104"/>
      <c r="KG190" s="104"/>
      <c r="KH190" s="104"/>
      <c r="KI190" s="104"/>
      <c r="KJ190" s="104"/>
      <c r="KK190" s="104"/>
      <c r="KL190" s="104"/>
      <c r="KM190" s="104"/>
      <c r="KN190" s="104"/>
      <c r="KO190" s="104"/>
      <c r="KP190" s="104"/>
      <c r="KQ190" s="104"/>
      <c r="KR190" s="104"/>
      <c r="KS190" s="104"/>
      <c r="KT190" s="104"/>
      <c r="KU190" s="104"/>
      <c r="KV190" s="104"/>
      <c r="KW190" s="104"/>
      <c r="KX190" s="104"/>
      <c r="KY190" s="104"/>
      <c r="KZ190" s="104"/>
      <c r="LA190" s="104"/>
      <c r="LB190" s="104"/>
      <c r="LC190" s="104"/>
      <c r="LD190" s="104"/>
      <c r="LE190" s="104"/>
      <c r="LF190" s="104"/>
      <c r="LG190" s="104"/>
      <c r="LH190" s="104"/>
      <c r="LI190" s="104"/>
      <c r="LJ190" s="104"/>
      <c r="LK190" s="104"/>
      <c r="LL190" s="104"/>
      <c r="LM190" s="104"/>
      <c r="LN190" s="104"/>
      <c r="LO190" s="104"/>
      <c r="LP190" s="104"/>
      <c r="LQ190" s="104"/>
      <c r="LR190" s="104"/>
      <c r="LS190" s="104"/>
      <c r="LT190" s="104"/>
      <c r="LU190" s="104"/>
      <c r="LV190" s="104"/>
      <c r="LW190" s="104"/>
      <c r="LX190" s="104"/>
      <c r="LY190" s="104"/>
      <c r="LZ190" s="104"/>
      <c r="MA190" s="104"/>
      <c r="MB190" s="104"/>
      <c r="MC190" s="104"/>
      <c r="MD190" s="104"/>
      <c r="ME190" s="104"/>
      <c r="MF190" s="104"/>
      <c r="MG190" s="104"/>
      <c r="MH190" s="104"/>
    </row>
    <row r="191" spans="1:346" x14ac:dyDescent="0.25">
      <c r="A191" s="110" t="s">
        <v>491</v>
      </c>
      <c r="B191" s="101" t="s">
        <v>90</v>
      </c>
      <c r="C191" s="102"/>
      <c r="D191" s="102"/>
      <c r="E191" s="102"/>
      <c r="F191" s="102"/>
      <c r="G191" s="102"/>
      <c r="H191" s="102"/>
      <c r="I191" s="102"/>
      <c r="J191" s="103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2"/>
      <c r="AO191" s="112"/>
      <c r="AP191" s="112"/>
      <c r="AQ191" s="112"/>
      <c r="AR191" s="112"/>
      <c r="AS191" s="112"/>
      <c r="AT191" s="112"/>
      <c r="AU191" s="113"/>
      <c r="AV191" s="114" t="str">
        <f>HYPERLINK("http://sab.landtag.sachsen.de/dokumente/landtagskurier/SAB_DeutschLernen_DinA5_WEB141115.pdf","x")</f>
        <v>x</v>
      </c>
      <c r="AW191" s="114" t="str">
        <f>HYPERLINK("http://sab.landtag.sachsen.de/dokumente/landtagskurier/SAB_PL_Lernposter_WEB091115.pdf","x")</f>
        <v>x</v>
      </c>
      <c r="AX191" s="111"/>
      <c r="AY191" s="111"/>
      <c r="AZ19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1" s="112" t="str">
        <f>HYPERLINK("http://wie-kann-ich-helfen.info/WoerterbuchAnalphabet_innen_%28c%29_Dagmar_Schmeelcke.pdf","x")</f>
        <v>x</v>
      </c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2" t="str">
        <f>HYPERLINK("http://www.goethe.de/lrn/prj/wnd/deu/lti/deindex.htm#13322010","x")</f>
        <v>x</v>
      </c>
      <c r="BS191" s="112"/>
      <c r="BT191" s="111"/>
      <c r="BU191" s="112" t="str">
        <f>HYPERLINK("https://s3-eu-west-1.amazonaws.com/lingolia/download/lingolia_daf.pdf","x")</f>
        <v>x</v>
      </c>
      <c r="BV191" s="112"/>
      <c r="BW191" s="112"/>
      <c r="BX191" s="112"/>
      <c r="BY191" s="112"/>
      <c r="BZ191" s="112" t="str">
        <f>HYPERLINK("http://www.hueber.de/shared/uebungen/schritte-plus","x")</f>
        <v>x</v>
      </c>
      <c r="CA191" s="112" t="str">
        <f>HYPERLINK("https://www.hueber.de/shared/uebungen/menschen-hier/ab/a1-1/menu.html","x")</f>
        <v>x</v>
      </c>
      <c r="CB191" s="112" t="str">
        <f>HYPERLINK("http://www.goethe-verlag.com/DE/","x")</f>
        <v>x</v>
      </c>
      <c r="CC191" s="112"/>
      <c r="CD191" s="112"/>
      <c r="CE191" s="111"/>
      <c r="CF191" s="111"/>
      <c r="CG191" s="111"/>
      <c r="CH191" s="111"/>
      <c r="CI191" s="112"/>
      <c r="CJ191" s="112" t="str">
        <f>HYPERLINK("http://www.e-migrantinnen.de/index.php?de_wichtige-links","x")</f>
        <v>x</v>
      </c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5"/>
      <c r="DC191" s="112"/>
      <c r="DD191" s="112"/>
      <c r="DE191" s="112" t="str">
        <f>HYPERLINK("http://fi-lohmar-siegburg.de/data/documents/130-37_Inklusion_im_Anfangsunterricht_-_Poster_mit_Situationsbildern.pdf","x")</f>
        <v>x</v>
      </c>
      <c r="DF191" s="115" t="str">
        <f>HYPERLINK("http://s3-eu-west-1.amazonaws.com/lingolia/calendar/2016/lingolia_2016_de.pdf","x")</f>
        <v>x</v>
      </c>
      <c r="DG191" s="112" t="str">
        <f>HYPERLINK("http://www.bibliomedia.ch/de/angebote/img/Wimmelbild.jpg","x")</f>
        <v>x</v>
      </c>
      <c r="DH191" s="112" t="str">
        <f t="shared" ref="DH191:DH192" si="935">HYPERLINK("http://www.bibliomedia.ch/de/angebote/dokumente/Wimmelbild_Fehler.jpg","x")</f>
        <v>x</v>
      </c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2"/>
      <c r="DU191" s="111"/>
      <c r="DV191" s="111"/>
      <c r="DW191" s="111"/>
      <c r="DX191" s="111"/>
      <c r="DY191" s="111"/>
      <c r="DZ191" s="111"/>
      <c r="EA191" s="112"/>
      <c r="EB191" s="112"/>
      <c r="EC191" s="111"/>
      <c r="ED191" s="111"/>
      <c r="EE191" s="111"/>
      <c r="EF191" s="111"/>
      <c r="EG191" s="111"/>
      <c r="EH191" s="111"/>
      <c r="EI191" s="112"/>
      <c r="EJ191" s="112"/>
      <c r="EK191" s="111"/>
      <c r="EL191" s="112" t="str">
        <f>HYPERLINK("http://www.kvs-sachsen.de/fileadmin/img/Mitglieder/Asylbewerber/Allg-Informationen/Anlage_1_Punjabi_LEK.pdf","x")</f>
        <v>x</v>
      </c>
      <c r="EM191" s="112"/>
      <c r="EN191" s="111"/>
      <c r="EO191" s="117"/>
      <c r="EP191" s="118"/>
      <c r="EQ191" s="112" t="str">
        <f>HYPERLINK("http://www.kvs-sachsen.de/fileadmin/img/Mitglieder/Asylbewerber/Allg-Informationen/Anlagen_2-1_2-2_Punjabi_LEK.pdf","x")</f>
        <v>x</v>
      </c>
      <c r="ER191" s="111"/>
      <c r="ES191" s="111"/>
      <c r="ET191" s="111"/>
      <c r="EU191" s="111"/>
      <c r="EV191" s="112" t="str">
        <f t="shared" ref="EV191:EV192" si="936">HYPERLINK("http://www.lak-rlp.de/fileadmin/redakteure/pdf/download/Piktogramme_Dosieretiketten_AoG.pdf","x")</f>
        <v>x</v>
      </c>
      <c r="EW191" s="111"/>
      <c r="EX191" s="111"/>
      <c r="EY191" s="111"/>
      <c r="EZ191" s="111"/>
      <c r="FA191" s="111"/>
      <c r="FB191" s="111"/>
      <c r="FC191" s="112" t="str">
        <f>HYPERLINK("http://mige.ix-tech.de/index.php?id=241","x")</f>
        <v>x</v>
      </c>
      <c r="FD191" s="112"/>
      <c r="FE191" s="111"/>
      <c r="FF191" s="111"/>
      <c r="FG191" s="111"/>
      <c r="FH191" s="111"/>
      <c r="FI191" s="112"/>
      <c r="FJ191" s="112"/>
      <c r="FK191" s="111"/>
      <c r="FL191" s="111"/>
      <c r="FM191" s="112"/>
      <c r="FN191" s="112"/>
      <c r="FO191" s="112"/>
      <c r="FP191" s="111"/>
      <c r="FQ191" s="112"/>
      <c r="FR191" s="112"/>
      <c r="FS191" s="112"/>
      <c r="FT191" s="112"/>
      <c r="FU191" s="112"/>
      <c r="FV191" s="112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2"/>
      <c r="GH191" s="111"/>
      <c r="GI191" s="111"/>
      <c r="GJ191" s="111"/>
      <c r="GK191" s="111"/>
      <c r="GL191" s="112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2" t="str">
        <f t="shared" ref="HB191:HB192" si="937">HYPERLINK("https://www.zahnaerzte-wl.de/images/_PDF-suche/KZV_ZÄK/piktogrammheft.pdf","x")</f>
        <v>x</v>
      </c>
      <c r="HC191" s="111"/>
      <c r="HD191" s="111"/>
      <c r="HE191" s="111"/>
      <c r="HF191" s="111"/>
      <c r="HG191" s="111"/>
      <c r="HH191" s="111"/>
      <c r="HI191" s="111"/>
      <c r="HJ191" s="112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2" t="str">
        <f>HYPERLINK("http://www.selfhelpfortrauma.org/","x")</f>
        <v>x</v>
      </c>
      <c r="HY191" s="112" t="str">
        <f>HYPERLINK("http://peacefulheart.se/wp-content/uploads/2014/12/Resolving-Yesterday-20141201-Self-Tapping.pdf","x")</f>
        <v>x</v>
      </c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2"/>
      <c r="IK191" s="111"/>
      <c r="IL191" s="111"/>
      <c r="IM191" s="111"/>
      <c r="IN191" s="111"/>
      <c r="IO191" s="111"/>
      <c r="IP191" s="112"/>
      <c r="IQ191" s="112"/>
      <c r="IR191" s="111"/>
      <c r="IS191" s="111"/>
      <c r="IT191" s="111"/>
      <c r="IU191" s="112"/>
      <c r="IV191" s="112"/>
      <c r="IW191" s="112"/>
      <c r="IX191" s="112"/>
      <c r="IY191" s="111"/>
      <c r="IZ191" s="111"/>
      <c r="JA191" s="111"/>
      <c r="JB191" s="112"/>
      <c r="JC191" s="111"/>
      <c r="JD191" s="112"/>
      <c r="JE191" s="112"/>
      <c r="JF191" s="112"/>
      <c r="JG191" s="112"/>
      <c r="JH191" s="111"/>
      <c r="JI191" s="112"/>
      <c r="JJ191" s="112"/>
      <c r="JK191" s="112"/>
      <c r="JL191" s="112"/>
      <c r="JM191" s="112"/>
      <c r="JN191" s="112"/>
      <c r="JO191" s="112"/>
      <c r="JP191" s="112"/>
      <c r="JQ191" s="112"/>
      <c r="JR191" s="112"/>
      <c r="JS191" s="112"/>
      <c r="JT191" s="111"/>
      <c r="JU191" s="111"/>
      <c r="JV191" s="112"/>
      <c r="JW191" s="112"/>
      <c r="JX191" s="111"/>
      <c r="JY191" s="111"/>
      <c r="JZ191" s="111"/>
      <c r="KA191" s="111"/>
      <c r="KB191" s="111"/>
      <c r="KC191" s="111"/>
      <c r="KD191" s="111"/>
      <c r="KE191" s="112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</row>
    <row r="192" spans="1:346" x14ac:dyDescent="0.25">
      <c r="A192" s="110" t="s">
        <v>491</v>
      </c>
      <c r="B192" s="101" t="s">
        <v>73</v>
      </c>
      <c r="C192" s="102"/>
      <c r="D192" s="102"/>
      <c r="E192" s="102"/>
      <c r="F192" s="102"/>
      <c r="G192" s="102"/>
      <c r="H192" s="102"/>
      <c r="I192" s="102"/>
      <c r="J192" s="103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2"/>
      <c r="AO192" s="112"/>
      <c r="AP192" s="112"/>
      <c r="AQ192" s="112"/>
      <c r="AR192" s="112"/>
      <c r="AS192" s="112"/>
      <c r="AT192" s="112"/>
      <c r="AU192" s="113"/>
      <c r="AV192" s="114" t="str">
        <f>HYPERLINK("http://sab.landtag.sachsen.de/dokumente/landtagskurier/SAB_DeutschLernen_DinA5_WEB141115.pdf","x")</f>
        <v>x</v>
      </c>
      <c r="AW192" s="114" t="str">
        <f>HYPERLINK("http://sab.landtag.sachsen.de/dokumente/landtagskurier/SAB_PL_Lernposter_WEB091115.pdf","x")</f>
        <v>x</v>
      </c>
      <c r="AX192" s="111"/>
      <c r="AY192" s="111"/>
      <c r="AZ19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2" s="112" t="str">
        <f>HYPERLINK("http://wie-kann-ich-helfen.info/WoerterbuchAnalphabet_innen_%28c%29_Dagmar_Schmeelcke.pdf","x")</f>
        <v>x</v>
      </c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2" t="str">
        <f>HYPERLINK("http://www.goethe.de/lrn/prj/wnd/deu/lti/deindex.htm#13322010","x")</f>
        <v>x</v>
      </c>
      <c r="BS192" s="112"/>
      <c r="BT192" s="111"/>
      <c r="BU192" s="112" t="str">
        <f>HYPERLINK("https://s3-eu-west-1.amazonaws.com/lingolia/download/lingolia_daf.pdf","x")</f>
        <v>x</v>
      </c>
      <c r="BV192" s="112"/>
      <c r="BW192" s="112"/>
      <c r="BX192" s="112"/>
      <c r="BY192" s="112"/>
      <c r="BZ192" s="112" t="str">
        <f>HYPERLINK("http://www.hueber.de/shared/uebungen/schritte-plus","x")</f>
        <v>x</v>
      </c>
      <c r="CA192" s="112" t="str">
        <f>HYPERLINK("https://www.hueber.de/shared/uebungen/menschen-hier/ab/a1-1/menu.html","x")</f>
        <v>x</v>
      </c>
      <c r="CB192" s="112" t="str">
        <f>HYPERLINK("http://www.goethe-verlag.com/DE/","x")</f>
        <v>x</v>
      </c>
      <c r="CC192" s="112"/>
      <c r="CD192" s="112"/>
      <c r="CE192" s="111"/>
      <c r="CF192" s="111"/>
      <c r="CG192" s="111"/>
      <c r="CH192" s="111"/>
      <c r="CI192" s="112"/>
      <c r="CJ192" s="112" t="str">
        <f>HYPERLINK("http://www.e-migrantinnen.de/index.php?de_wichtige-links","x")</f>
        <v>x</v>
      </c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5"/>
      <c r="DC192" s="112"/>
      <c r="DD192" s="112"/>
      <c r="DE192" s="112" t="str">
        <f>HYPERLINK("http://fi-lohmar-siegburg.de/data/documents/130-37_Inklusion_im_Anfangsunterricht_-_Poster_mit_Situationsbildern.pdf","x")</f>
        <v>x</v>
      </c>
      <c r="DF192" s="115" t="str">
        <f>HYPERLINK("http://s3-eu-west-1.amazonaws.com/lingolia/calendar/2016/lingolia_2016_de.pdf","x")</f>
        <v>x</v>
      </c>
      <c r="DG192" s="112" t="str">
        <f>HYPERLINK("http://www.bibliomedia.ch/de/angebote/img/Wimmelbild.jpg","x")</f>
        <v>x</v>
      </c>
      <c r="DH192" s="112" t="str">
        <f t="shared" si="935"/>
        <v>x</v>
      </c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2"/>
      <c r="DU192" s="111"/>
      <c r="DV192" s="111"/>
      <c r="DW192" s="111"/>
      <c r="DX192" s="111"/>
      <c r="DY192" s="111"/>
      <c r="DZ192" s="111"/>
      <c r="EA192" s="112"/>
      <c r="EB192" s="112"/>
      <c r="EC192" s="111"/>
      <c r="ED192" s="111"/>
      <c r="EE192" s="111"/>
      <c r="EF192" s="111"/>
      <c r="EG192" s="111"/>
      <c r="EH192" s="111"/>
      <c r="EI192" s="112"/>
      <c r="EJ192" s="112"/>
      <c r="EK192" s="111"/>
      <c r="EL192" s="112" t="str">
        <f>HYPERLINK("http://www.kvs-sachsen.de/fileadmin/img/Mitglieder/Asylbewerber/Allg-Informationen/Anlage_1_Punjabi_LEK.pdf","x")</f>
        <v>x</v>
      </c>
      <c r="EM192" s="112"/>
      <c r="EN192" s="111"/>
      <c r="EO192" s="117"/>
      <c r="EP192" s="118"/>
      <c r="EQ192" s="112" t="str">
        <f>HYPERLINK("http://www.kvs-sachsen.de/fileadmin/img/Mitglieder/Asylbewerber/Allg-Informationen/Anlagen_2-1_2-2_Punjabi_LEK.pdf","x")</f>
        <v>x</v>
      </c>
      <c r="ER192" s="111"/>
      <c r="ES192" s="111"/>
      <c r="ET192" s="111"/>
      <c r="EU192" s="111"/>
      <c r="EV192" s="112" t="str">
        <f t="shared" si="936"/>
        <v>x</v>
      </c>
      <c r="EW192" s="111"/>
      <c r="EX192" s="111"/>
      <c r="EY192" s="111"/>
      <c r="EZ192" s="111"/>
      <c r="FA192" s="111"/>
      <c r="FB192" s="111"/>
      <c r="FC192" s="112" t="str">
        <f>HYPERLINK("http://mige.ix-tech.de/index.php?id=241","x")</f>
        <v>x</v>
      </c>
      <c r="FD192" s="112"/>
      <c r="FE192" s="111"/>
      <c r="FF192" s="111"/>
      <c r="FG192" s="111"/>
      <c r="FH192" s="111"/>
      <c r="FI192" s="112"/>
      <c r="FJ192" s="112"/>
      <c r="FK192" s="111"/>
      <c r="FL192" s="111"/>
      <c r="FM192" s="112"/>
      <c r="FN192" s="112"/>
      <c r="FO192" s="112"/>
      <c r="FP192" s="111"/>
      <c r="FQ192" s="112"/>
      <c r="FR192" s="112"/>
      <c r="FS192" s="112"/>
      <c r="FT192" s="112"/>
      <c r="FU192" s="112"/>
      <c r="FV192" s="112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2"/>
      <c r="GH192" s="111"/>
      <c r="GI192" s="111"/>
      <c r="GJ192" s="111"/>
      <c r="GK192" s="111"/>
      <c r="GL192" s="112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2" t="str">
        <f t="shared" si="937"/>
        <v>x</v>
      </c>
      <c r="HC192" s="111"/>
      <c r="HD192" s="111"/>
      <c r="HE192" s="111"/>
      <c r="HF192" s="111"/>
      <c r="HG192" s="111"/>
      <c r="HH192" s="111"/>
      <c r="HI192" s="111"/>
      <c r="HJ192" s="112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2" t="str">
        <f>HYPERLINK("http://www.selfhelpfortrauma.org/","x")</f>
        <v>x</v>
      </c>
      <c r="HY192" s="112" t="str">
        <f>HYPERLINK("http://peacefulheart.se/wp-content/uploads/2014/12/Resolving-Yesterday-20141201-Self-Tapping.pdf","x")</f>
        <v>x</v>
      </c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2"/>
      <c r="IK192" s="111"/>
      <c r="IL192" s="111"/>
      <c r="IM192" s="111"/>
      <c r="IN192" s="111"/>
      <c r="IO192" s="111"/>
      <c r="IP192" s="112"/>
      <c r="IQ192" s="112"/>
      <c r="IR192" s="111"/>
      <c r="IS192" s="111"/>
      <c r="IT192" s="111"/>
      <c r="IU192" s="112"/>
      <c r="IV192" s="112"/>
      <c r="IW192" s="112"/>
      <c r="IX192" s="112"/>
      <c r="IY192" s="111"/>
      <c r="IZ192" s="111"/>
      <c r="JA192" s="111"/>
      <c r="JB192" s="112"/>
      <c r="JC192" s="111"/>
      <c r="JD192" s="112"/>
      <c r="JE192" s="112"/>
      <c r="JF192" s="112"/>
      <c r="JG192" s="112"/>
      <c r="JH192" s="111"/>
      <c r="JI192" s="112"/>
      <c r="JJ192" s="112"/>
      <c r="JK192" s="112"/>
      <c r="JL192" s="112"/>
      <c r="JM192" s="112"/>
      <c r="JN192" s="112"/>
      <c r="JO192" s="112"/>
      <c r="JP192" s="112"/>
      <c r="JQ192" s="112"/>
      <c r="JR192" s="112"/>
      <c r="JS192" s="112"/>
      <c r="JT192" s="111"/>
      <c r="JU192" s="111"/>
      <c r="JV192" s="112"/>
      <c r="JW192" s="112"/>
      <c r="JX192" s="111"/>
      <c r="JY192" s="111"/>
      <c r="JZ192" s="111"/>
      <c r="KA192" s="111"/>
      <c r="KB192" s="111"/>
      <c r="KC192" s="111"/>
      <c r="KD192" s="111"/>
      <c r="KE192" s="112"/>
      <c r="KF192" s="111"/>
      <c r="KG192" s="111"/>
      <c r="KH192" s="111"/>
      <c r="KI192" s="111"/>
      <c r="KJ192" s="111"/>
      <c r="KK192" s="111"/>
      <c r="KL192" s="111"/>
      <c r="KM192" s="111"/>
      <c r="KN192" s="111"/>
      <c r="KO192" s="111"/>
      <c r="KP192" s="111"/>
      <c r="KQ192" s="111"/>
      <c r="KR192" s="111"/>
      <c r="KS192" s="111"/>
      <c r="KT192" s="111"/>
      <c r="KU192" s="111"/>
      <c r="KV192" s="111"/>
      <c r="KW192" s="111"/>
      <c r="KX192" s="111"/>
      <c r="KY192" s="111"/>
      <c r="KZ192" s="111"/>
      <c r="LA192" s="111"/>
      <c r="LB192" s="111"/>
      <c r="LC192" s="111"/>
      <c r="LD192" s="111"/>
      <c r="LE192" s="111"/>
      <c r="LF192" s="111"/>
      <c r="LG192" s="111"/>
      <c r="LH192" s="111"/>
      <c r="LI192" s="111"/>
      <c r="LJ192" s="111"/>
      <c r="LK192" s="111"/>
      <c r="LL192" s="111"/>
      <c r="LM192" s="111"/>
      <c r="LN192" s="111"/>
      <c r="LO192" s="111"/>
      <c r="LP192" s="111"/>
      <c r="LQ192" s="111"/>
      <c r="LR192" s="111"/>
      <c r="LS192" s="111"/>
      <c r="LT192" s="111"/>
      <c r="LU192" s="111"/>
      <c r="LV192" s="111"/>
      <c r="LW192" s="111"/>
      <c r="LX192" s="111"/>
      <c r="LY192" s="111"/>
      <c r="LZ192" s="111"/>
      <c r="MA192" s="111"/>
      <c r="MB192" s="111"/>
      <c r="MC192" s="111"/>
      <c r="MD192" s="111"/>
      <c r="ME192" s="111"/>
      <c r="MF192" s="111"/>
      <c r="MG192" s="111"/>
      <c r="MH192" s="111"/>
    </row>
    <row r="193" spans="1:346" x14ac:dyDescent="0.25">
      <c r="A193" s="101" t="s">
        <v>153</v>
      </c>
      <c r="B193" s="102"/>
      <c r="C193" s="102"/>
      <c r="D193" s="102"/>
      <c r="E193" s="102"/>
      <c r="F193" s="102"/>
      <c r="G193" s="102"/>
      <c r="H193" s="102"/>
      <c r="I193" s="102"/>
      <c r="J193" s="103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6"/>
      <c r="AV193" s="106"/>
      <c r="AW193" s="106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9"/>
      <c r="EP193" s="109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5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4"/>
      <c r="JK193" s="104"/>
      <c r="JL193" s="104"/>
      <c r="JM193" s="104"/>
      <c r="JN193" s="104"/>
      <c r="JO193" s="104"/>
      <c r="JP193" s="104"/>
      <c r="JQ193" s="104"/>
      <c r="JR193" s="104"/>
      <c r="JS193" s="104"/>
      <c r="JT193" s="104"/>
      <c r="JU193" s="104"/>
      <c r="JV193" s="104"/>
      <c r="JW193" s="104"/>
      <c r="JX193" s="104"/>
      <c r="JY193" s="104"/>
      <c r="JZ193" s="104"/>
      <c r="KA193" s="104"/>
      <c r="KB193" s="104"/>
      <c r="KC193" s="104"/>
      <c r="KD193" s="104"/>
      <c r="KE193" s="104"/>
      <c r="KF193" s="104"/>
      <c r="KG193" s="104"/>
      <c r="KH193" s="104"/>
      <c r="KI193" s="104"/>
      <c r="KJ193" s="104"/>
      <c r="KK193" s="104"/>
      <c r="KL193" s="104"/>
      <c r="KM193" s="104"/>
      <c r="KN193" s="104"/>
      <c r="KO193" s="104"/>
      <c r="KP193" s="104"/>
      <c r="KQ193" s="104"/>
      <c r="KR193" s="104"/>
      <c r="KS193" s="104"/>
      <c r="KT193" s="104"/>
      <c r="KU193" s="104"/>
      <c r="KV193" s="104"/>
      <c r="KW193" s="104"/>
      <c r="KX193" s="104"/>
      <c r="KY193" s="104"/>
      <c r="KZ193" s="104"/>
      <c r="LA193" s="104"/>
      <c r="LB193" s="104"/>
      <c r="LC193" s="104"/>
      <c r="LD193" s="104"/>
      <c r="LE193" s="104"/>
      <c r="LF193" s="104"/>
      <c r="LG193" s="104"/>
      <c r="LH193" s="104"/>
      <c r="LI193" s="104"/>
      <c r="LJ193" s="104"/>
      <c r="LK193" s="104"/>
      <c r="LL193" s="104"/>
      <c r="LM193" s="104"/>
      <c r="LN193" s="104"/>
      <c r="LO193" s="104"/>
      <c r="LP193" s="104"/>
      <c r="LQ193" s="104"/>
      <c r="LR193" s="104"/>
      <c r="LS193" s="104"/>
      <c r="LT193" s="104"/>
      <c r="LU193" s="104"/>
      <c r="LV193" s="104"/>
      <c r="LW193" s="104"/>
      <c r="LX193" s="104"/>
      <c r="LY193" s="104"/>
      <c r="LZ193" s="104"/>
      <c r="MA193" s="104"/>
      <c r="MB193" s="104"/>
      <c r="MC193" s="104"/>
      <c r="MD193" s="104"/>
      <c r="ME193" s="104"/>
      <c r="MF193" s="104"/>
      <c r="MG193" s="104"/>
      <c r="MH193" s="104"/>
    </row>
    <row r="194" spans="1:346" x14ac:dyDescent="0.25">
      <c r="A194" s="110" t="s">
        <v>153</v>
      </c>
      <c r="B194" s="101" t="s">
        <v>72</v>
      </c>
      <c r="C194" s="102"/>
      <c r="D194" s="102"/>
      <c r="E194" s="102"/>
      <c r="F194" s="102"/>
      <c r="G194" s="102"/>
      <c r="H194" s="102"/>
      <c r="I194" s="102"/>
      <c r="J194" s="103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3"/>
      <c r="AV194" s="114" t="str">
        <f>HYPERLINK("http://sab.landtag.sachsen.de/dokumente/landtagskurier/SAB_DeutschLernen_DinA5_WEB141115.pdf","x")</f>
        <v>x</v>
      </c>
      <c r="AW194" s="114" t="str">
        <f>HYPERLINK("http://sab.landtag.sachsen.de/dokumente/landtagskurier/SAB_PL_Lernposter_WEB091115.pdf","x")</f>
        <v>x</v>
      </c>
      <c r="AX194" s="111"/>
      <c r="AY194" s="111"/>
      <c r="AZ19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4" s="112" t="str">
        <f>HYPERLINK("http://wie-kann-ich-helfen.info/WoerterbuchAnalphabet_innen_%28c%29_Dagmar_Schmeelcke.pdf","x")</f>
        <v>x</v>
      </c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2" t="str">
        <f>HYPERLINK("http://www.goethe.de/lrn/prj/wnd/deu/lti/deindex.htm#13322010","x")</f>
        <v>x</v>
      </c>
      <c r="BS194" s="112"/>
      <c r="BT194" s="111"/>
      <c r="BU194" s="112" t="str">
        <f>HYPERLINK("https://s3-eu-west-1.amazonaws.com/lingolia/download/lingolia_daf.pdf","x")</f>
        <v>x</v>
      </c>
      <c r="BV194" s="112"/>
      <c r="BW194" s="112"/>
      <c r="BX194" s="112"/>
      <c r="BY194" s="112"/>
      <c r="BZ194" s="112" t="str">
        <f>HYPERLINK("http://www.hueber.de/shared/uebungen/schritte-plus","x")</f>
        <v>x</v>
      </c>
      <c r="CA194" s="112" t="str">
        <f>HYPERLINK("https://www.hueber.de/shared/uebungen/menschen-hier/ab/a1-1/menu.html","x")</f>
        <v>x</v>
      </c>
      <c r="CB194" s="112" t="str">
        <f>HYPERLINK("http://www.goethe-verlag.com/DE/","x")</f>
        <v>x</v>
      </c>
      <c r="CC194" s="112"/>
      <c r="CD194" s="112"/>
      <c r="CE194" s="111"/>
      <c r="CF194" s="111"/>
      <c r="CG194" s="111"/>
      <c r="CH194" s="111"/>
      <c r="CI194" s="111"/>
      <c r="CJ194" s="112" t="str">
        <f>HYPERLINK("http://www.e-migrantinnen.de/index.php?de_wichtige-links","x")</f>
        <v>x</v>
      </c>
      <c r="CK194" s="112"/>
      <c r="CL194" s="112"/>
      <c r="CM194" s="112"/>
      <c r="CN194" s="112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2"/>
      <c r="CZ194" s="112"/>
      <c r="DA194" s="112"/>
      <c r="DB194" s="115"/>
      <c r="DC194" s="112"/>
      <c r="DD194" s="112"/>
      <c r="DE194" s="112" t="str">
        <f>HYPERLINK("http://fi-lohmar-siegburg.de/data/documents/130-37_Inklusion_im_Anfangsunterricht_-_Poster_mit_Situationsbildern.pdf","x")</f>
        <v>x</v>
      </c>
      <c r="DF194" s="115" t="str">
        <f>HYPERLINK("http://s3-eu-west-1.amazonaws.com/lingolia/calendar/2016/lingolia_2016_de.pdf","x")</f>
        <v>x</v>
      </c>
      <c r="DG194" s="112" t="str">
        <f>HYPERLINK("http://www.bibliomedia.ch/de/angebote/img/Wimmelbild.jpg","x")</f>
        <v>x</v>
      </c>
      <c r="DH194" s="112" t="str">
        <f>HYPERLINK("http://www.bibliomedia.ch/de/angebote/dokumente/Wimmelbild_Fehler.jpg","x")</f>
        <v>x</v>
      </c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2" t="str">
        <f>HYPERLINK("http://bildung.koeln.de/materialbibliothek/download.php?idx=ffca9a983564046e13193e94deeff609","x")</f>
        <v>x</v>
      </c>
      <c r="DS194" s="112" t="str">
        <f>HYPERLINK("http://bildung.koeln.de/materialbibliothek/download.php?idx=1a02e789389f6b5edac5f907fb9f00d3","x")</f>
        <v>x</v>
      </c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8"/>
      <c r="EP194" s="118"/>
      <c r="EQ194" s="111"/>
      <c r="ER194" s="111"/>
      <c r="ES194" s="111"/>
      <c r="ET194" s="111"/>
      <c r="EU194" s="111"/>
      <c r="EV194" s="112" t="str">
        <f t="shared" ref="EV194:EV198" si="938">HYPERLINK("http://www.lak-rlp.de/fileadmin/redakteure/pdf/download/Piktogramme_Dosieretiketten_AoG.pdf","x")</f>
        <v>x</v>
      </c>
      <c r="EW194" s="111"/>
      <c r="EX194" s="111"/>
      <c r="EY194" s="111"/>
      <c r="EZ194" s="111"/>
      <c r="FA194" s="111"/>
      <c r="FB194" s="111"/>
      <c r="FC194" s="112" t="str">
        <f>HYPERLINK("http://mige.ix-tech.de/index.php?id=241","x")</f>
        <v>x</v>
      </c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2" t="str">
        <f>HYPERLINK("https://www.zahnaerzte-wl.de/images/_PDF-suche/KZV_ZÄK/piktogrammheft.pdf","x")</f>
        <v>x</v>
      </c>
      <c r="HC194" s="112" t="str">
        <f>HYPERLINK("https://www.zahnaerzte-wl.de/images/_PDF-suche/KZV_ZÄK/ENDSTAND_Ankreuzbogen_Ich_verstehe.pdf","x")</f>
        <v>x</v>
      </c>
      <c r="HD194" s="112" t="str">
        <f>HYPERLINK("https://www.zahnaerzte-wl.de/images/_PDF-suche/KZV_ZÄK/Anschreiben_romani.pdf","x")</f>
        <v>x</v>
      </c>
      <c r="HE194" s="112" t="str">
        <f>HYPERLINK("https://www.zahnaerzte-wl.de/images/_PDF-suche/KZV_ZÄK/Fragebogen_romani.pdf","x")</f>
        <v>x</v>
      </c>
      <c r="HF194" s="112" t="str">
        <f>HYPERLINK("https://www.zahnaerzte-wl.de/images/_PDF-suche/KZV_ZÄK/Patientenerhebungsbogen_romani.pdf","x")</f>
        <v>x</v>
      </c>
      <c r="HG194" s="112"/>
      <c r="HH194" s="112"/>
      <c r="HI194" s="112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2" t="str">
        <f>HYPERLINK("http://www.selfhelpfortrauma.org/","x")</f>
        <v>x</v>
      </c>
      <c r="HY194" s="112" t="str">
        <f>HYPERLINK("http://peacefulheart.se/wp-content/uploads/2014/12/Resolving-Yesterday-20141201-Self-Tapping.pdf","x")</f>
        <v>x</v>
      </c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1"/>
      <c r="JF194" s="111"/>
      <c r="JG194" s="111"/>
      <c r="JH194" s="111"/>
      <c r="JI194" s="111"/>
      <c r="JJ194" s="111"/>
      <c r="JK194" s="111"/>
      <c r="JL194" s="111"/>
      <c r="JM194" s="111"/>
      <c r="JN194" s="111"/>
      <c r="JO194" s="111"/>
      <c r="JP194" s="111"/>
      <c r="JQ194" s="111"/>
      <c r="JR194" s="111"/>
      <c r="JS194" s="111"/>
      <c r="JT194" s="111"/>
      <c r="JU194" s="111"/>
      <c r="JV194" s="111"/>
      <c r="JW194" s="111"/>
      <c r="JX194" s="111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</row>
    <row r="195" spans="1:346" x14ac:dyDescent="0.25">
      <c r="A195" s="110" t="s">
        <v>153</v>
      </c>
      <c r="B195" s="101" t="s">
        <v>47</v>
      </c>
      <c r="C195" s="102"/>
      <c r="D195" s="102"/>
      <c r="E195" s="102"/>
      <c r="F195" s="102"/>
      <c r="G195" s="102"/>
      <c r="H195" s="102"/>
      <c r="I195" s="102"/>
      <c r="J195" s="103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3"/>
      <c r="AV195" s="114" t="str">
        <f>HYPERLINK("http://sab.landtag.sachsen.de/dokumente/landtagskurier/SAB_DeutschLernen_DinA5_WEB141115.pdf","x")</f>
        <v>x</v>
      </c>
      <c r="AW195" s="114" t="str">
        <f>HYPERLINK("http://sab.landtag.sachsen.de/dokumente/landtagskurier/SAB_PL_Lernposter_WEB091115.pdf","x")</f>
        <v>x</v>
      </c>
      <c r="AX195" s="111"/>
      <c r="AY195" s="111"/>
      <c r="AZ19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5" s="112" t="str">
        <f>HYPERLINK("http://wie-kann-ich-helfen.info/WoerterbuchAnalphabet_innen_%28c%29_Dagmar_Schmeelcke.pdf","x")</f>
        <v>x</v>
      </c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2" t="str">
        <f>HYPERLINK("http://www.goethe.de/lrn/prj/wnd/deu/lti/deindex.htm#13322010","x")</f>
        <v>x</v>
      </c>
      <c r="BS195" s="112"/>
      <c r="BT195" s="111"/>
      <c r="BU195" s="112" t="str">
        <f>HYPERLINK("https://s3-eu-west-1.amazonaws.com/lingolia/download/lingolia_daf.pdf","x")</f>
        <v>x</v>
      </c>
      <c r="BV195" s="112"/>
      <c r="BW195" s="112"/>
      <c r="BX195" s="112"/>
      <c r="BY195" s="112"/>
      <c r="BZ195" s="112" t="str">
        <f>HYPERLINK("http://www.hueber.de/shared/uebungen/schritte-plus","x")</f>
        <v>x</v>
      </c>
      <c r="CA195" s="112" t="str">
        <f>HYPERLINK("https://www.hueber.de/shared/uebungen/menschen-hier/ab/a1-1/menu.html","x")</f>
        <v>x</v>
      </c>
      <c r="CB195" s="112" t="str">
        <f>HYPERLINK("http://www.goethe-verlag.com/DE/","x")</f>
        <v>x</v>
      </c>
      <c r="CC195" s="112"/>
      <c r="CD195" s="112"/>
      <c r="CE195" s="111"/>
      <c r="CF195" s="111"/>
      <c r="CG195" s="111"/>
      <c r="CH195" s="111"/>
      <c r="CI195" s="111"/>
      <c r="CJ195" s="112" t="str">
        <f>HYPERLINK("http://www.e-migrantinnen.de/index.php?de_wichtige-links","x")</f>
        <v>x</v>
      </c>
      <c r="CK195" s="112"/>
      <c r="CL195" s="112"/>
      <c r="CM195" s="112"/>
      <c r="CN195" s="112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2"/>
      <c r="CZ195" s="112"/>
      <c r="DA195" s="112"/>
      <c r="DB195" s="115"/>
      <c r="DC195" s="112"/>
      <c r="DD195" s="112"/>
      <c r="DE195" s="112" t="str">
        <f>HYPERLINK("http://fi-lohmar-siegburg.de/data/documents/130-37_Inklusion_im_Anfangsunterricht_-_Poster_mit_Situationsbildern.pdf","x")</f>
        <v>x</v>
      </c>
      <c r="DF195" s="115" t="str">
        <f>HYPERLINK("http://s3-eu-west-1.amazonaws.com/lingolia/calendar/2016/lingolia_2016_de.pdf","x")</f>
        <v>x</v>
      </c>
      <c r="DG195" s="112" t="str">
        <f>HYPERLINK("http://www.bibliomedia.ch/de/angebote/img/Wimmelbild.jpg","x")</f>
        <v>x</v>
      </c>
      <c r="DH195" s="112" t="str">
        <f>HYPERLINK("http://www.bibliomedia.ch/de/angebote/dokumente/Wimmelbild_Fehler.jpg","x")</f>
        <v>x</v>
      </c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2" t="str">
        <f t="shared" ref="DR195:DR198" si="939">HYPERLINK("http://bildung.koeln.de/materialbibliothek/download.php?idx=ffca9a983564046e13193e94deeff609","x")</f>
        <v>x</v>
      </c>
      <c r="DS195" s="112" t="str">
        <f t="shared" ref="DS195:DS198" si="940">HYPERLINK("http://bildung.koeln.de/materialbibliothek/download.php?idx=1a02e789389f6b5edac5f907fb9f00d3","x")</f>
        <v>x</v>
      </c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8"/>
      <c r="EP195" s="118"/>
      <c r="EQ195" s="111"/>
      <c r="ER195" s="111"/>
      <c r="ES195" s="111"/>
      <c r="ET195" s="111"/>
      <c r="EU195" s="111"/>
      <c r="EV195" s="112" t="str">
        <f t="shared" si="938"/>
        <v>x</v>
      </c>
      <c r="EW195" s="111"/>
      <c r="EX195" s="111"/>
      <c r="EY195" s="111"/>
      <c r="EZ195" s="111"/>
      <c r="FA195" s="111"/>
      <c r="FB195" s="111"/>
      <c r="FC195" s="112" t="str">
        <f>HYPERLINK("http://mige.ix-tech.de/index.php?id=241","x")</f>
        <v>x</v>
      </c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2" t="str">
        <f>HYPERLINK("https://www.zahnaerzte-wl.de/images/_PDF-suche/KZV_ZÄK/piktogrammheft.pdf","x")</f>
        <v>x</v>
      </c>
      <c r="HC195" s="112" t="str">
        <f>HYPERLINK("https://www.zahnaerzte-wl.de/images/_PDF-suche/KZV_ZÄK/ENDSTAND_Ankreuzbogen_Ich_verstehe.pdf","x")</f>
        <v>x</v>
      </c>
      <c r="HD195" s="112" t="str">
        <f>HYPERLINK("https://www.zahnaerzte-wl.de/images/_PDF-suche/KZV_ZÄK/Anschreiben_romani.pdf","x")</f>
        <v>x</v>
      </c>
      <c r="HE195" s="112" t="str">
        <f>HYPERLINK("https://www.zahnaerzte-wl.de/images/_PDF-suche/KZV_ZÄK/Fragebogen_romani.pdf","x")</f>
        <v>x</v>
      </c>
      <c r="HF195" s="112" t="str">
        <f>HYPERLINK("https://www.zahnaerzte-wl.de/images/_PDF-suche/KZV_ZÄK/Patientenerhebungsbogen_romani.pdf","x")</f>
        <v>x</v>
      </c>
      <c r="HG195" s="112"/>
      <c r="HH195" s="112"/>
      <c r="HI195" s="112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2" t="str">
        <f>HYPERLINK("http://www.selfhelpfortrauma.org/","x")</f>
        <v>x</v>
      </c>
      <c r="HY195" s="112" t="str">
        <f>HYPERLINK("http://peacefulheart.se/wp-content/uploads/2014/12/Resolving-Yesterday-20141201-Self-Tapping.pdf","x")</f>
        <v>x</v>
      </c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1"/>
      <c r="IZ195" s="111"/>
      <c r="JA195" s="111"/>
      <c r="JB195" s="111"/>
      <c r="JC195" s="111"/>
      <c r="JD195" s="111"/>
      <c r="JE195" s="111"/>
      <c r="JF195" s="111"/>
      <c r="JG195" s="111"/>
      <c r="JH195" s="111"/>
      <c r="JI195" s="111"/>
      <c r="JJ195" s="111"/>
      <c r="JK195" s="111"/>
      <c r="JL195" s="111"/>
      <c r="JM195" s="111"/>
      <c r="JN195" s="111"/>
      <c r="JO195" s="111"/>
      <c r="JP195" s="111"/>
      <c r="JQ195" s="111"/>
      <c r="JR195" s="111"/>
      <c r="JS195" s="111"/>
      <c r="JT195" s="111"/>
      <c r="JU195" s="111"/>
      <c r="JV195" s="111"/>
      <c r="JW195" s="111"/>
      <c r="JX195" s="111"/>
      <c r="JY195" s="111"/>
      <c r="JZ195" s="111"/>
      <c r="KA195" s="111"/>
      <c r="KB195" s="111"/>
      <c r="KC195" s="111"/>
      <c r="KD195" s="111"/>
      <c r="KE195" s="111"/>
      <c r="KF195" s="111"/>
      <c r="KG195" s="111"/>
      <c r="KH195" s="111"/>
      <c r="KI195" s="111"/>
      <c r="KJ195" s="111"/>
      <c r="KK195" s="111"/>
      <c r="KL195" s="111"/>
      <c r="KM195" s="111"/>
      <c r="KN195" s="111"/>
      <c r="KO195" s="111"/>
      <c r="KP195" s="111"/>
      <c r="KQ195" s="111"/>
      <c r="KR195" s="111"/>
      <c r="KS195" s="111"/>
      <c r="KT195" s="111"/>
      <c r="KU195" s="111"/>
      <c r="KV195" s="111"/>
      <c r="KW195" s="111"/>
      <c r="KX195" s="111"/>
      <c r="KY195" s="111"/>
      <c r="KZ195" s="111"/>
      <c r="LA195" s="111"/>
      <c r="LB195" s="111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1"/>
      <c r="ME195" s="111"/>
      <c r="MF195" s="111"/>
      <c r="MG195" s="111"/>
      <c r="MH195" s="111"/>
    </row>
    <row r="196" spans="1:346" x14ac:dyDescent="0.25">
      <c r="A196" s="110" t="s">
        <v>153</v>
      </c>
      <c r="B196" s="101" t="s">
        <v>78</v>
      </c>
      <c r="C196" s="102"/>
      <c r="D196" s="102"/>
      <c r="E196" s="102"/>
      <c r="F196" s="102"/>
      <c r="G196" s="102"/>
      <c r="H196" s="102"/>
      <c r="I196" s="102"/>
      <c r="J196" s="103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3"/>
      <c r="AV196" s="114" t="str">
        <f>HYPERLINK("http://sab.landtag.sachsen.de/dokumente/landtagskurier/SAB_DeutschLernen_DinA5_WEB141115.pdf","x")</f>
        <v>x</v>
      </c>
      <c r="AW196" s="114" t="str">
        <f>HYPERLINK("http://sab.landtag.sachsen.de/dokumente/landtagskurier/SAB_PL_Lernposter_WEB091115.pdf","x")</f>
        <v>x</v>
      </c>
      <c r="AX196" s="111"/>
      <c r="AY196" s="111"/>
      <c r="AZ19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6" s="112" t="str">
        <f>HYPERLINK("http://wie-kann-ich-helfen.info/WoerterbuchAnalphabet_innen_%28c%29_Dagmar_Schmeelcke.pdf","x")</f>
        <v>x</v>
      </c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2" t="str">
        <f>HYPERLINK("http://www.goethe.de/lrn/prj/wnd/deu/lti/deindex.htm#13322010","x")</f>
        <v>x</v>
      </c>
      <c r="BS196" s="112"/>
      <c r="BT196" s="111"/>
      <c r="BU196" s="112" t="str">
        <f>HYPERLINK("https://s3-eu-west-1.amazonaws.com/lingolia/download/lingolia_daf.pdf","x")</f>
        <v>x</v>
      </c>
      <c r="BV196" s="112"/>
      <c r="BW196" s="112"/>
      <c r="BX196" s="112"/>
      <c r="BY196" s="112"/>
      <c r="BZ196" s="112" t="str">
        <f>HYPERLINK("http://www.hueber.de/shared/uebungen/schritte-plus","x")</f>
        <v>x</v>
      </c>
      <c r="CA196" s="112" t="str">
        <f>HYPERLINK("https://www.hueber.de/shared/uebungen/menschen-hier/ab/a1-1/menu.html","x")</f>
        <v>x</v>
      </c>
      <c r="CB196" s="112" t="str">
        <f>HYPERLINK("http://www.goethe-verlag.com/DE/","x")</f>
        <v>x</v>
      </c>
      <c r="CC196" s="112"/>
      <c r="CD196" s="112"/>
      <c r="CE196" s="111"/>
      <c r="CF196" s="111"/>
      <c r="CG196" s="111"/>
      <c r="CH196" s="111"/>
      <c r="CI196" s="111"/>
      <c r="CJ196" s="112" t="str">
        <f>HYPERLINK("http://www.e-migrantinnen.de/index.php?de_wichtige-links","x")</f>
        <v>x</v>
      </c>
      <c r="CK196" s="112"/>
      <c r="CL196" s="112"/>
      <c r="CM196" s="112"/>
      <c r="CN196" s="112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2"/>
      <c r="CZ196" s="112"/>
      <c r="DA196" s="112"/>
      <c r="DB196" s="115"/>
      <c r="DC196" s="112"/>
      <c r="DD196" s="112"/>
      <c r="DE196" s="112" t="str">
        <f>HYPERLINK("http://fi-lohmar-siegburg.de/data/documents/130-37_Inklusion_im_Anfangsunterricht_-_Poster_mit_Situationsbildern.pdf","x")</f>
        <v>x</v>
      </c>
      <c r="DF196" s="115" t="str">
        <f>HYPERLINK("http://s3-eu-west-1.amazonaws.com/lingolia/calendar/2016/lingolia_2016_de.pdf","x")</f>
        <v>x</v>
      </c>
      <c r="DG196" s="112" t="str">
        <f>HYPERLINK("http://www.bibliomedia.ch/de/angebote/img/Wimmelbild.jpg","x")</f>
        <v>x</v>
      </c>
      <c r="DH196" s="112" t="str">
        <f>HYPERLINK("http://www.bibliomedia.ch/de/angebote/dokumente/Wimmelbild_Fehler.jpg","x")</f>
        <v>x</v>
      </c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2" t="str">
        <f t="shared" si="939"/>
        <v>x</v>
      </c>
      <c r="DS196" s="112" t="str">
        <f t="shared" si="940"/>
        <v>x</v>
      </c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8"/>
      <c r="EP196" s="118"/>
      <c r="EQ196" s="111"/>
      <c r="ER196" s="111"/>
      <c r="ES196" s="111"/>
      <c r="ET196" s="111"/>
      <c r="EU196" s="111"/>
      <c r="EV196" s="112" t="str">
        <f t="shared" si="938"/>
        <v>x</v>
      </c>
      <c r="EW196" s="111"/>
      <c r="EX196" s="111"/>
      <c r="EY196" s="111"/>
      <c r="EZ196" s="111"/>
      <c r="FA196" s="111"/>
      <c r="FB196" s="111"/>
      <c r="FC196" s="112" t="str">
        <f>HYPERLINK("http://mige.ix-tech.de/index.php?id=241","x")</f>
        <v>x</v>
      </c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2" t="str">
        <f>HYPERLINK("https://www.zahnaerzte-wl.de/images/_PDF-suche/KZV_ZÄK/piktogrammheft.pdf","x")</f>
        <v>x</v>
      </c>
      <c r="HC196" s="112" t="str">
        <f>HYPERLINK("https://www.zahnaerzte-wl.de/images/_PDF-suche/KZV_ZÄK/ENDSTAND_Ankreuzbogen_Ich_verstehe.pdf","x")</f>
        <v>x</v>
      </c>
      <c r="HD196" s="112" t="str">
        <f>HYPERLINK("https://www.zahnaerzte-wl.de/images/_PDF-suche/KZV_ZÄK/Anschreiben_romani.pdf","x")</f>
        <v>x</v>
      </c>
      <c r="HE196" s="112" t="str">
        <f>HYPERLINK("https://www.zahnaerzte-wl.de/images/_PDF-suche/KZV_ZÄK/Fragebogen_romani.pdf","x")</f>
        <v>x</v>
      </c>
      <c r="HF196" s="112" t="str">
        <f>HYPERLINK("https://www.zahnaerzte-wl.de/images/_PDF-suche/KZV_ZÄK/Patientenerhebungsbogen_romani.pdf","x")</f>
        <v>x</v>
      </c>
      <c r="HG196" s="112"/>
      <c r="HH196" s="112"/>
      <c r="HI196" s="112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2" t="str">
        <f>HYPERLINK("http://www.selfhelpfortrauma.org/","x")</f>
        <v>x</v>
      </c>
      <c r="HY196" s="112" t="str">
        <f>HYPERLINK("http://peacefulheart.se/wp-content/uploads/2014/12/Resolving-Yesterday-20141201-Self-Tapping.pdf","x")</f>
        <v>x</v>
      </c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1"/>
      <c r="JS196" s="111"/>
      <c r="JT196" s="111"/>
      <c r="JU196" s="111"/>
      <c r="JV196" s="111"/>
      <c r="JW196" s="111"/>
      <c r="JX196" s="111"/>
      <c r="JY196" s="111"/>
      <c r="JZ196" s="111"/>
      <c r="KA196" s="111"/>
      <c r="KB196" s="111"/>
      <c r="KC196" s="111"/>
      <c r="KD196" s="111"/>
      <c r="KE196" s="111"/>
      <c r="KF196" s="111"/>
      <c r="KG196" s="111"/>
      <c r="KH196" s="111"/>
      <c r="KI196" s="111"/>
      <c r="KJ196" s="111"/>
      <c r="KK196" s="111"/>
      <c r="KL196" s="111"/>
      <c r="KM196" s="111"/>
      <c r="KN196" s="111"/>
      <c r="KO196" s="111"/>
      <c r="KP196" s="111"/>
      <c r="KQ196" s="111"/>
      <c r="KR196" s="111"/>
      <c r="KS196" s="111"/>
      <c r="KT196" s="111"/>
      <c r="KU196" s="111"/>
      <c r="KV196" s="111"/>
      <c r="KW196" s="111"/>
      <c r="KX196" s="111"/>
      <c r="KY196" s="111"/>
      <c r="KZ196" s="111"/>
      <c r="LA196" s="111"/>
      <c r="LB196" s="111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</row>
    <row r="197" spans="1:346" x14ac:dyDescent="0.25">
      <c r="A197" s="110" t="s">
        <v>153</v>
      </c>
      <c r="B197" s="101" t="s">
        <v>58</v>
      </c>
      <c r="C197" s="102"/>
      <c r="D197" s="102"/>
      <c r="E197" s="102"/>
      <c r="F197" s="102"/>
      <c r="G197" s="102"/>
      <c r="H197" s="102"/>
      <c r="I197" s="102"/>
      <c r="J197" s="103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3"/>
      <c r="AV197" s="114" t="str">
        <f>HYPERLINK("http://sab.landtag.sachsen.de/dokumente/landtagskurier/SAB_DeutschLernen_DinA5_WEB141115.pdf","x")</f>
        <v>x</v>
      </c>
      <c r="AW197" s="114" t="str">
        <f>HYPERLINK("http://sab.landtag.sachsen.de/dokumente/landtagskurier/SAB_PL_Lernposter_WEB091115.pdf","x")</f>
        <v>x</v>
      </c>
      <c r="AX197" s="111"/>
      <c r="AY197" s="111"/>
      <c r="AZ19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7" s="112" t="str">
        <f>HYPERLINK("http://wie-kann-ich-helfen.info/WoerterbuchAnalphabet_innen_%28c%29_Dagmar_Schmeelcke.pdf","x")</f>
        <v>x</v>
      </c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2" t="str">
        <f>HYPERLINK("http://www.goethe.de/lrn/prj/wnd/deu/lti/deindex.htm#13322010","x")</f>
        <v>x</v>
      </c>
      <c r="BS197" s="112"/>
      <c r="BT197" s="111"/>
      <c r="BU197" s="112" t="str">
        <f>HYPERLINK("https://s3-eu-west-1.amazonaws.com/lingolia/download/lingolia_daf.pdf","x")</f>
        <v>x</v>
      </c>
      <c r="BV197" s="112"/>
      <c r="BW197" s="112"/>
      <c r="BX197" s="112"/>
      <c r="BY197" s="112"/>
      <c r="BZ197" s="112" t="str">
        <f>HYPERLINK("http://www.hueber.de/shared/uebungen/schritte-plus","x")</f>
        <v>x</v>
      </c>
      <c r="CA197" s="112" t="str">
        <f>HYPERLINK("https://www.hueber.de/shared/uebungen/menschen-hier/ab/a1-1/menu.html","x")</f>
        <v>x</v>
      </c>
      <c r="CB197" s="112" t="str">
        <f>HYPERLINK("http://www.goethe-verlag.com/DE/","x")</f>
        <v>x</v>
      </c>
      <c r="CC197" s="112"/>
      <c r="CD197" s="112"/>
      <c r="CE197" s="111"/>
      <c r="CF197" s="111"/>
      <c r="CG197" s="111"/>
      <c r="CH197" s="111"/>
      <c r="CI197" s="111"/>
      <c r="CJ197" s="112" t="str">
        <f>HYPERLINK("http://www.e-migrantinnen.de/index.php?de_wichtige-links","x")</f>
        <v>x</v>
      </c>
      <c r="CK197" s="112"/>
      <c r="CL197" s="112"/>
      <c r="CM197" s="112"/>
      <c r="CN197" s="112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2"/>
      <c r="CZ197" s="112"/>
      <c r="DA197" s="112"/>
      <c r="DB197" s="115"/>
      <c r="DC197" s="112"/>
      <c r="DD197" s="112"/>
      <c r="DE197" s="112" t="str">
        <f>HYPERLINK("http://fi-lohmar-siegburg.de/data/documents/130-37_Inklusion_im_Anfangsunterricht_-_Poster_mit_Situationsbildern.pdf","x")</f>
        <v>x</v>
      </c>
      <c r="DF197" s="115" t="str">
        <f>HYPERLINK("http://s3-eu-west-1.amazonaws.com/lingolia/calendar/2016/lingolia_2016_de.pdf","x")</f>
        <v>x</v>
      </c>
      <c r="DG197" s="112" t="str">
        <f>HYPERLINK("http://www.bibliomedia.ch/de/angebote/img/Wimmelbild.jpg","x")</f>
        <v>x</v>
      </c>
      <c r="DH197" s="112" t="str">
        <f>HYPERLINK("http://www.bibliomedia.ch/de/angebote/dokumente/Wimmelbild_Fehler.jpg","x")</f>
        <v>x</v>
      </c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2" t="str">
        <f t="shared" si="939"/>
        <v>x</v>
      </c>
      <c r="DS197" s="112" t="str">
        <f t="shared" si="940"/>
        <v>x</v>
      </c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8"/>
      <c r="EP197" s="118"/>
      <c r="EQ197" s="111"/>
      <c r="ER197" s="111"/>
      <c r="ES197" s="111"/>
      <c r="ET197" s="111"/>
      <c r="EU197" s="111"/>
      <c r="EV197" s="112" t="str">
        <f t="shared" si="938"/>
        <v>x</v>
      </c>
      <c r="EW197" s="111"/>
      <c r="EX197" s="111"/>
      <c r="EY197" s="111"/>
      <c r="EZ197" s="111"/>
      <c r="FA197" s="111"/>
      <c r="FB197" s="111"/>
      <c r="FC197" s="112" t="str">
        <f>HYPERLINK("http://mige.ix-tech.de/index.php?id=241","x")</f>
        <v>x</v>
      </c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  <c r="FW197" s="111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2" t="str">
        <f>HYPERLINK("https://www.zahnaerzte-wl.de/images/_PDF-suche/KZV_ZÄK/piktogrammheft.pdf","x")</f>
        <v>x</v>
      </c>
      <c r="HC197" s="112" t="str">
        <f>HYPERLINK("https://www.zahnaerzte-wl.de/images/_PDF-suche/KZV_ZÄK/ENDSTAND_Ankreuzbogen_Ich_verstehe.pdf","x")</f>
        <v>x</v>
      </c>
      <c r="HD197" s="112" t="str">
        <f>HYPERLINK("https://www.zahnaerzte-wl.de/images/_PDF-suche/KZV_ZÄK/Anschreiben_romani.pdf","x")</f>
        <v>x</v>
      </c>
      <c r="HE197" s="112" t="str">
        <f>HYPERLINK("https://www.zahnaerzte-wl.de/images/_PDF-suche/KZV_ZÄK/Fragebogen_romani.pdf","x")</f>
        <v>x</v>
      </c>
      <c r="HF197" s="112" t="str">
        <f>HYPERLINK("https://www.zahnaerzte-wl.de/images/_PDF-suche/KZV_ZÄK/Patientenerhebungsbogen_romani.pdf","x")</f>
        <v>x</v>
      </c>
      <c r="HG197" s="112"/>
      <c r="HH197" s="112"/>
      <c r="HI197" s="112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2" t="str">
        <f>HYPERLINK("http://www.selfhelpfortrauma.org/","x")</f>
        <v>x</v>
      </c>
      <c r="HY197" s="112" t="str">
        <f>HYPERLINK("http://peacefulheart.se/wp-content/uploads/2014/12/Resolving-Yesterday-20141201-Self-Tapping.pdf","x")</f>
        <v>x</v>
      </c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1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1"/>
      <c r="JS197" s="111"/>
      <c r="JT197" s="111"/>
      <c r="JU197" s="111"/>
      <c r="JV197" s="111"/>
      <c r="JW197" s="111"/>
      <c r="JX197" s="111"/>
      <c r="JY197" s="111"/>
      <c r="JZ197" s="111"/>
      <c r="KA197" s="111"/>
      <c r="KB197" s="111"/>
      <c r="KC197" s="111"/>
      <c r="KD197" s="111"/>
      <c r="KE197" s="111"/>
      <c r="KF197" s="111"/>
      <c r="KG197" s="111"/>
      <c r="KH197" s="111"/>
      <c r="KI197" s="111"/>
      <c r="KJ197" s="111"/>
      <c r="KK197" s="111"/>
      <c r="KL197" s="111"/>
      <c r="KM197" s="111"/>
      <c r="KN197" s="111"/>
      <c r="KO197" s="111"/>
      <c r="KP197" s="111"/>
      <c r="KQ197" s="111"/>
      <c r="KR197" s="111"/>
      <c r="KS197" s="111"/>
      <c r="KT197" s="111"/>
      <c r="KU197" s="111"/>
      <c r="KV197" s="111"/>
      <c r="KW197" s="111"/>
      <c r="KX197" s="111"/>
      <c r="KY197" s="111"/>
      <c r="KZ197" s="111"/>
      <c r="LA197" s="111"/>
      <c r="LB197" s="111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</row>
    <row r="198" spans="1:346" x14ac:dyDescent="0.25">
      <c r="A198" s="110" t="s">
        <v>153</v>
      </c>
      <c r="B198" s="101" t="s">
        <v>131</v>
      </c>
      <c r="C198" s="102"/>
      <c r="D198" s="102"/>
      <c r="E198" s="102"/>
      <c r="F198" s="102"/>
      <c r="G198" s="102"/>
      <c r="H198" s="102"/>
      <c r="I198" s="102"/>
      <c r="J198" s="103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3"/>
      <c r="AV198" s="114" t="str">
        <f>HYPERLINK("http://sab.landtag.sachsen.de/dokumente/landtagskurier/SAB_DeutschLernen_DinA5_WEB141115.pdf","x")</f>
        <v>x</v>
      </c>
      <c r="AW198" s="114" t="str">
        <f>HYPERLINK("http://sab.landtag.sachsen.de/dokumente/landtagskurier/SAB_PL_Lernposter_WEB091115.pdf","x")</f>
        <v>x</v>
      </c>
      <c r="AX198" s="111"/>
      <c r="AY198" s="111"/>
      <c r="AZ19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8" s="112" t="str">
        <f>HYPERLINK("http://wie-kann-ich-helfen.info/WoerterbuchAnalphabet_innen_%28c%29_Dagmar_Schmeelcke.pdf","x")</f>
        <v>x</v>
      </c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2" t="str">
        <f>HYPERLINK("http://www.goethe.de/lrn/prj/wnd/deu/lti/deindex.htm#13322010","x")</f>
        <v>x</v>
      </c>
      <c r="BS198" s="112"/>
      <c r="BT198" s="111"/>
      <c r="BU198" s="112" t="str">
        <f>HYPERLINK("https://s3-eu-west-1.amazonaws.com/lingolia/download/lingolia_daf.pdf","x")</f>
        <v>x</v>
      </c>
      <c r="BV198" s="112"/>
      <c r="BW198" s="112"/>
      <c r="BX198" s="112"/>
      <c r="BY198" s="112"/>
      <c r="BZ198" s="112" t="str">
        <f>HYPERLINK("http://www.hueber.de/shared/uebungen/schritte-plus","x")</f>
        <v>x</v>
      </c>
      <c r="CA198" s="112" t="str">
        <f>HYPERLINK("https://www.hueber.de/shared/uebungen/menschen-hier/ab/a1-1/menu.html","x")</f>
        <v>x</v>
      </c>
      <c r="CB198" s="112" t="str">
        <f>HYPERLINK("http://www.goethe-verlag.com/DE/","x")</f>
        <v>x</v>
      </c>
      <c r="CC198" s="112"/>
      <c r="CD198" s="112"/>
      <c r="CE198" s="111"/>
      <c r="CF198" s="111"/>
      <c r="CG198" s="111"/>
      <c r="CH198" s="111"/>
      <c r="CI198" s="111"/>
      <c r="CJ198" s="112" t="str">
        <f>HYPERLINK("http://www.e-migrantinnen.de/index.php?de_wichtige-links","x")</f>
        <v>x</v>
      </c>
      <c r="CK198" s="112"/>
      <c r="CL198" s="112"/>
      <c r="CM198" s="112"/>
      <c r="CN198" s="112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2"/>
      <c r="CZ198" s="112"/>
      <c r="DA198" s="112"/>
      <c r="DB198" s="115"/>
      <c r="DC198" s="112"/>
      <c r="DD198" s="112"/>
      <c r="DE198" s="112" t="str">
        <f>HYPERLINK("http://fi-lohmar-siegburg.de/data/documents/130-37_Inklusion_im_Anfangsunterricht_-_Poster_mit_Situationsbildern.pdf","x")</f>
        <v>x</v>
      </c>
      <c r="DF198" s="115" t="str">
        <f>HYPERLINK("http://s3-eu-west-1.amazonaws.com/lingolia/calendar/2016/lingolia_2016_de.pdf","x")</f>
        <v>x</v>
      </c>
      <c r="DG198" s="112" t="str">
        <f>HYPERLINK("http://www.bibliomedia.ch/de/angebote/img/Wimmelbild.jpg","x")</f>
        <v>x</v>
      </c>
      <c r="DH198" s="112" t="str">
        <f>HYPERLINK("http://www.bibliomedia.ch/de/angebote/dokumente/Wimmelbild_Fehler.jpg","x")</f>
        <v>x</v>
      </c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2" t="str">
        <f t="shared" si="939"/>
        <v>x</v>
      </c>
      <c r="DS198" s="112" t="str">
        <f t="shared" si="940"/>
        <v>x</v>
      </c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2"/>
      <c r="EM198" s="111"/>
      <c r="EN198" s="111"/>
      <c r="EO198" s="118"/>
      <c r="EP198" s="118"/>
      <c r="EQ198" s="111"/>
      <c r="ER198" s="111"/>
      <c r="ES198" s="111"/>
      <c r="ET198" s="111"/>
      <c r="EU198" s="111"/>
      <c r="EV198" s="112" t="str">
        <f t="shared" si="938"/>
        <v>x</v>
      </c>
      <c r="EW198" s="111"/>
      <c r="EX198" s="111"/>
      <c r="EY198" s="111"/>
      <c r="EZ198" s="111"/>
      <c r="FA198" s="111"/>
      <c r="FB198" s="111"/>
      <c r="FC198" s="112" t="str">
        <f>HYPERLINK("http://mige.ix-tech.de/index.php?id=241","x")</f>
        <v>x</v>
      </c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2" t="str">
        <f>HYPERLINK("https://www.zahnaerzte-wl.de/images/_PDF-suche/KZV_ZÄK/piktogrammheft.pdf","x")</f>
        <v>x</v>
      </c>
      <c r="HC198" s="112" t="str">
        <f>HYPERLINK("https://www.zahnaerzte-wl.de/images/_PDF-suche/KZV_ZÄK/ENDSTAND_Ankreuzbogen_Ich_verstehe.pdf","x")</f>
        <v>x</v>
      </c>
      <c r="HD198" s="112" t="str">
        <f>HYPERLINK("https://www.zahnaerzte-wl.de/images/_PDF-suche/KZV_ZÄK/Anschreiben_romani.pdf","x")</f>
        <v>x</v>
      </c>
      <c r="HE198" s="112" t="str">
        <f>HYPERLINK("https://www.zahnaerzte-wl.de/images/_PDF-suche/KZV_ZÄK/Fragebogen_romani.pdf","x")</f>
        <v>x</v>
      </c>
      <c r="HF198" s="112" t="str">
        <f>HYPERLINK("https://www.zahnaerzte-wl.de/images/_PDF-suche/KZV_ZÄK/Patientenerhebungsbogen_romani.pdf","x")</f>
        <v>x</v>
      </c>
      <c r="HG198" s="112"/>
      <c r="HH198" s="112"/>
      <c r="HI198" s="112"/>
      <c r="HJ198" s="112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2" t="str">
        <f>HYPERLINK("http://www.selfhelpfortrauma.org/","x")</f>
        <v>x</v>
      </c>
      <c r="HY198" s="112" t="str">
        <f>HYPERLINK("http://peacefulheart.se/wp-content/uploads/2014/12/Resolving-Yesterday-20141201-Self-Tapping.pdf","x")</f>
        <v>x</v>
      </c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1"/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</row>
    <row r="199" spans="1:346" x14ac:dyDescent="0.25">
      <c r="A199" s="101" t="s">
        <v>18</v>
      </c>
      <c r="B199" s="102"/>
      <c r="C199" s="102"/>
      <c r="D199" s="102"/>
      <c r="E199" s="102"/>
      <c r="F199" s="102"/>
      <c r="G199" s="102"/>
      <c r="H199" s="102"/>
      <c r="I199" s="102"/>
      <c r="J199" s="103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6"/>
      <c r="AV199" s="106"/>
      <c r="AW199" s="106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9"/>
      <c r="EP199" s="109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5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4"/>
      <c r="JJ199" s="104"/>
      <c r="JK199" s="104"/>
      <c r="JL199" s="104"/>
      <c r="JM199" s="104"/>
      <c r="JN199" s="104"/>
      <c r="JO199" s="104"/>
      <c r="JP199" s="104"/>
      <c r="JQ199" s="104"/>
      <c r="JR199" s="104"/>
      <c r="JS199" s="104"/>
      <c r="JT199" s="104"/>
      <c r="JU199" s="104"/>
      <c r="JV199" s="104"/>
      <c r="JW199" s="104"/>
      <c r="JX199" s="104"/>
      <c r="JY199" s="104"/>
      <c r="JZ199" s="104"/>
      <c r="KA199" s="104"/>
      <c r="KB199" s="104"/>
      <c r="KC199" s="104"/>
      <c r="KD199" s="104"/>
      <c r="KE199" s="104"/>
      <c r="KF199" s="104"/>
      <c r="KG199" s="104"/>
      <c r="KH199" s="104"/>
      <c r="KI199" s="104"/>
      <c r="KJ199" s="104"/>
      <c r="KK199" s="104"/>
      <c r="KL199" s="104"/>
      <c r="KM199" s="104"/>
      <c r="KN199" s="104"/>
      <c r="KO199" s="104"/>
      <c r="KP199" s="104"/>
      <c r="KQ199" s="104"/>
      <c r="KR199" s="104"/>
      <c r="KS199" s="104"/>
      <c r="KT199" s="104"/>
      <c r="KU199" s="104"/>
      <c r="KV199" s="104"/>
      <c r="KW199" s="104"/>
      <c r="KX199" s="104"/>
      <c r="KY199" s="104"/>
      <c r="KZ199" s="104"/>
      <c r="LA199" s="104"/>
      <c r="LB199" s="104"/>
      <c r="LC199" s="104"/>
      <c r="LD199" s="104"/>
      <c r="LE199" s="104"/>
      <c r="LF199" s="104"/>
      <c r="LG199" s="104"/>
      <c r="LH199" s="104"/>
      <c r="LI199" s="104"/>
      <c r="LJ199" s="104"/>
      <c r="LK199" s="104"/>
      <c r="LL199" s="104"/>
      <c r="LM199" s="104"/>
      <c r="LN199" s="104"/>
      <c r="LO199" s="104"/>
      <c r="LP199" s="104"/>
      <c r="LQ199" s="104"/>
      <c r="LR199" s="104"/>
      <c r="LS199" s="104"/>
      <c r="LT199" s="104"/>
      <c r="LU199" s="104"/>
      <c r="LV199" s="104"/>
      <c r="LW199" s="104"/>
      <c r="LX199" s="104"/>
      <c r="LY199" s="104"/>
      <c r="LZ199" s="104"/>
      <c r="MA199" s="104"/>
      <c r="MB199" s="104"/>
      <c r="MC199" s="104"/>
      <c r="MD199" s="104"/>
      <c r="ME199" s="104"/>
      <c r="MF199" s="104"/>
      <c r="MG199" s="104"/>
      <c r="MH199" s="104"/>
    </row>
    <row r="200" spans="1:346" x14ac:dyDescent="0.25">
      <c r="A200" s="110" t="s">
        <v>18</v>
      </c>
      <c r="B200" s="101" t="s">
        <v>58</v>
      </c>
      <c r="C200" s="102"/>
      <c r="D200" s="102"/>
      <c r="E200" s="102"/>
      <c r="F200" s="102"/>
      <c r="G200" s="102"/>
      <c r="H200" s="102"/>
      <c r="I200" s="102"/>
      <c r="J200" s="103"/>
      <c r="K200" s="111"/>
      <c r="L200" s="111"/>
      <c r="M200" s="111"/>
      <c r="N200" s="111"/>
      <c r="O200" s="112" t="str">
        <f>HYPERLINK("https://willkommensteamelmshorn.files.wordpress.com/2015/11/sortieranleitung_pinneberg_2015_rumacc88nisch.pdf","x")</f>
        <v>x</v>
      </c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2"/>
      <c r="AO200" s="112"/>
      <c r="AP200" s="112"/>
      <c r="AQ200" s="112"/>
      <c r="AR200" s="112"/>
      <c r="AS200" s="112"/>
      <c r="AT200" s="112"/>
      <c r="AU200" s="113"/>
      <c r="AV200" s="114" t="str">
        <f t="shared" ref="AV200:AV202" si="941">HYPERLINK("http://sab.landtag.sachsen.de/dokumente/landtagskurier/SAB_DeutschLernen_DinA5_WEB141115.pdf","x")</f>
        <v>x</v>
      </c>
      <c r="AW200" s="114" t="str">
        <f t="shared" ref="AW200:AW202" si="942">HYPERLINK("http://sab.landtag.sachsen.de/dokumente/landtagskurier/SAB_PL_Lernposter_WEB091115.pdf","x")</f>
        <v>x</v>
      </c>
      <c r="AX200" s="111"/>
      <c r="AY200" s="111"/>
      <c r="AZ200" s="112" t="str">
        <f t="shared" ref="AZ200:AZ202" si="943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0" s="112" t="str">
        <f t="shared" ref="BA200:BA202" si="944">HYPERLINK("http://wie-kann-ich-helfen.info/WoerterbuchAnalphabet_innen_%28c%29_Dagmar_Schmeelcke.pdf","x")</f>
        <v>x</v>
      </c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2" t="str">
        <f t="shared" ref="BL200:BL202" si="945">HYPERLINK("http://www.frnrw.de/images/Aus_den_Initiativen/Ehrenamtler/2015/Dictionary_x10_print-2.pdf","x")</f>
        <v>x</v>
      </c>
      <c r="BM200" s="111"/>
      <c r="BN200" s="111"/>
      <c r="BO200" s="111"/>
      <c r="BP200" s="111"/>
      <c r="BQ200" s="111"/>
      <c r="BR200" s="112" t="str">
        <f t="shared" ref="BR200:BR202" si="946">HYPERLINK("http://www.goethe.de/lrn/prj/wnd/deu/lti/deindex.htm#13322010","x")</f>
        <v>x</v>
      </c>
      <c r="BS200" s="112"/>
      <c r="BT200" s="111"/>
      <c r="BU200" s="112" t="str">
        <f t="shared" ref="BU200:BU202" si="947">HYPERLINK("https://s3-eu-west-1.amazonaws.com/lingolia/download/lingolia_daf.pdf","x")</f>
        <v>x</v>
      </c>
      <c r="BV200" s="112" t="str">
        <f>HYPERLINK("http://www.welcomegrooves.de/wp-content/uploads/2015/10/welcomegrooves_DE-RUMAENISCH.pdf","x")</f>
        <v>x</v>
      </c>
      <c r="BW200" s="112"/>
      <c r="BX200" s="112"/>
      <c r="BY200" s="112"/>
      <c r="BZ200" s="112" t="str">
        <f t="shared" ref="BZ200:BZ202" si="948">HYPERLINK("http://www.hueber.de/shared/uebungen/schritte-plus","x")</f>
        <v>x</v>
      </c>
      <c r="CA200" s="112" t="str">
        <f t="shared" ref="CA200:CA202" si="949">HYPERLINK("https://www.hueber.de/shared/uebungen/menschen-hier/ab/a1-1/menu.html","x")</f>
        <v>x</v>
      </c>
      <c r="CB200" s="112" t="str">
        <f t="shared" ref="CB200:CB202" si="950">HYPERLINK("http://www.goethe-verlag.com/DE/","x")</f>
        <v>x</v>
      </c>
      <c r="CC200" s="112"/>
      <c r="CD200" s="112"/>
      <c r="CE200" s="111"/>
      <c r="CF200" s="111"/>
      <c r="CG200" s="112"/>
      <c r="CH200" s="112" t="str">
        <f>HYPERLINK("https://www.hilfetelefon.de/fileadmin/hilfetelefon_de/Materialien/Flyer/Infoflyer_Hilfetelefon_Gewalt_gegen_Frauen141105_b2.pdf","x")</f>
        <v>x</v>
      </c>
      <c r="CI200" s="112" t="str">
        <f t="shared" ref="CI200:CI202" si="951">HYPERLINK("https://www.hilfetelefon.de/fileadmin/hilfetelefon_de/Materialien/weitere_werbemittel/Klappflyer_Vorder-_und_Rueckseite_opt2.pdf","x")</f>
        <v>x</v>
      </c>
      <c r="CJ200" s="112" t="str">
        <f t="shared" ref="CJ200:CJ202" si="952">HYPERLINK("http://www.e-migrantinnen.de/index.php?de_wichtige-links","x")</f>
        <v>x</v>
      </c>
      <c r="CK200" s="112" t="str">
        <f t="shared" ref="CK200:CK202" si="953">HYPERLINK("http://www.frauenberatungsstelle.de/pdf/Migrantinnen-beraten-Migrantinnen.pdf","x")</f>
        <v>x</v>
      </c>
      <c r="CL200" s="112"/>
      <c r="CM200" s="112"/>
      <c r="CN200" s="112"/>
      <c r="CO200" s="112" t="str">
        <f>HYPERLINK("http://www.schwanger-und-viele-fragen.de/ro/","x")</f>
        <v>x</v>
      </c>
      <c r="CP200" s="112"/>
      <c r="CQ200" s="112"/>
      <c r="CR200" s="112"/>
      <c r="CS200" s="112"/>
      <c r="CT200" s="112" t="str">
        <f>HYPERLINK("http://www.profamilia.de/fileadmin/publikationen/Erwachsene/mehrsprachig/Bro_Verhuetung_rum_141016.pdf","x")</f>
        <v>x</v>
      </c>
      <c r="CU200" s="112"/>
      <c r="CV200" s="112"/>
      <c r="CW200" s="112"/>
      <c r="CX200" s="112"/>
      <c r="CY200" s="112"/>
      <c r="CZ200" s="112"/>
      <c r="DA200" s="112"/>
      <c r="DB200" s="115"/>
      <c r="DC200" s="112"/>
      <c r="DD200" s="112"/>
      <c r="DE200" s="112" t="str">
        <f t="shared" ref="DE200:DE202" si="954">HYPERLINK("http://fi-lohmar-siegburg.de/data/documents/130-37_Inklusion_im_Anfangsunterricht_-_Poster_mit_Situationsbildern.pdf","x")</f>
        <v>x</v>
      </c>
      <c r="DF200" s="115" t="str">
        <f t="shared" ref="DF200:DF202" si="955">HYPERLINK("http://s3-eu-west-1.amazonaws.com/lingolia/calendar/2016/lingolia_2016_de.pdf","x")</f>
        <v>x</v>
      </c>
      <c r="DG200" s="112" t="str">
        <f t="shared" ref="DG200:DG202" si="956">HYPERLINK("http://www.bibliomedia.ch/de/angebote/img/Wimmelbild.jpg","x")</f>
        <v>x</v>
      </c>
      <c r="DH200" s="112" t="str">
        <f t="shared" ref="DH200:DH202" si="957">HYPERLINK("http://www.bibliomedia.ch/de/angebote/dokumente/Wimmelbild_Fehler.jpg","x")</f>
        <v>x</v>
      </c>
      <c r="DI200" s="112"/>
      <c r="DJ200" s="112"/>
      <c r="DK200" s="112"/>
      <c r="DL200" s="112"/>
      <c r="DM200" s="112"/>
      <c r="DN200" s="112"/>
      <c r="DO200" s="111"/>
      <c r="DP200" s="112" t="str">
        <f>HYPERLINK("http://tipdoc.de/bus/grafik/kinder-tip/SCHULTIP_give_BulgRoSRB.pdf","x")</f>
        <v>x</v>
      </c>
      <c r="DQ200" s="112" t="str">
        <f>HYPERLINK("https://broschueren.nordrheinwestfalendirekt.de/broschuerenservice/msw/ro-das-schulsystem-in-nordrhein-westfalen-einfach-und-schnell-erklaert/1904","x")</f>
        <v>x</v>
      </c>
      <c r="DR200" s="112" t="str">
        <f>HYPERLINK("http://bildung.koeln.de/materialbibliothek/download.php?idx=02e5214477df5fdc5798bedc8e8fd9ad","x")</f>
        <v>x</v>
      </c>
      <c r="DS200" s="112" t="str">
        <f>HYPERLINK("http://bildung.koeln.de/materialbibliothek/download.php?idx=640f7d9e84c1690234be794b70c7776c","x")</f>
        <v>x</v>
      </c>
      <c r="DT200" s="112"/>
      <c r="DU200" s="112" t="str">
        <f>HYPERLINK("https://www.bmbf.de/pub/Kausa_Elternratgeber_deutsch_rumaenisch.pdf","x")</f>
        <v>x</v>
      </c>
      <c r="DV200" s="111"/>
      <c r="DW200" s="111"/>
      <c r="DX200" s="111"/>
      <c r="DY200" s="111"/>
      <c r="DZ200" s="112" t="str">
        <f>HYPERLINK("http://www.bamf.de/SharedDocs/Anlagen/DE/Publikationen/Flyer/AnerkennungBerufsabschluss/anerkennung-berufsabschluss_ausland_ro.pdf?__blob=publicationFile","x")</f>
        <v>x</v>
      </c>
      <c r="EA200" s="112"/>
      <c r="EB200" s="112"/>
      <c r="EC200" s="111"/>
      <c r="ED200" s="111"/>
      <c r="EE200" s="111"/>
      <c r="EF200" s="111"/>
      <c r="EG200" s="111"/>
      <c r="EH200" s="111"/>
      <c r="EI200" s="112"/>
      <c r="EJ200" s="112"/>
      <c r="EK200" s="111"/>
      <c r="EL200" s="112" t="str">
        <f>HYPERLINK("http://www.kvs-sachsen.de/fileadmin/img/Mitglieder/Asylbewerber/Allg-Informationen/Anlage_1__Rumaenisch_LEK.pdf","x")</f>
        <v>x</v>
      </c>
      <c r="EM200" s="111"/>
      <c r="EN200" s="111"/>
      <c r="EO200" s="117" t="str">
        <f t="shared" ref="EO200:EO202" si="958">HYPERLINK("http://www.medi-bild.de/pdf/anamnese/Welche_Sprache.pdf","x")</f>
        <v>x</v>
      </c>
      <c r="EP200" s="117" t="str">
        <f>HYPERLINK("http://www.armut-gesundheit.de/fileadmin/redakteur/dokumente/Anamnesebogen%20-%20rum%C3%A4nischnew.pdf","x")</f>
        <v>x</v>
      </c>
      <c r="EQ200" s="112" t="str">
        <f>HYPERLINK("http://www.kvs-sachsen.de/fileadmin/img/Mitglieder/Asylbewerber/Allg-Informationen/Anlagen_2-1_2-2_Rumaenisch_LEK.pdf","x")</f>
        <v>x</v>
      </c>
      <c r="ER200" s="111"/>
      <c r="ES200" s="111"/>
      <c r="ET200" s="111"/>
      <c r="EU200" s="111"/>
      <c r="EV200" s="112" t="str">
        <f t="shared" ref="EV200:EV202" si="959">HYPERLINK("http://www.lak-rlp.de/fileadmin/redakteure/pdf/download/Piktogramme_Dosieretiketten_AoG.pdf","x")</f>
        <v>x</v>
      </c>
      <c r="EW200" s="111"/>
      <c r="EX200" s="111"/>
      <c r="EY200" s="111"/>
      <c r="EZ200" s="111"/>
      <c r="FA200" s="111"/>
      <c r="FB200" s="111"/>
      <c r="FC200" s="112" t="str">
        <f t="shared" ref="FC200:FC202" si="960">HYPERLINK("http://mige.ix-tech.de/index.php?id=241","x")</f>
        <v>x</v>
      </c>
      <c r="FD200" s="112" t="str">
        <f t="shared" ref="FD200:FD202" si="961">HYPERLINK("http://sghanstedt.elbnetz.com/ueber-uns/","x")</f>
        <v>x</v>
      </c>
      <c r="FE200" s="111"/>
      <c r="FF200" s="112" t="str">
        <f t="shared" ref="FF200:FF202" si="962">HYPERLINK("http://www.tipdoc.de/grafik/asyl/Gesundheitsheft_Asyl.pdf","x")</f>
        <v>x</v>
      </c>
      <c r="FG200" s="111"/>
      <c r="FH200" s="111"/>
      <c r="FI200" s="112"/>
      <c r="FJ200" s="112" t="str">
        <f>HYPERLINK("http://www.rki.de/DE/Content/Infekt/Impfen/Materialien/Downloads-Impfkalender/Impfkalender_Rumaenisch.pdf?__blob=publicationFile","x")</f>
        <v>x</v>
      </c>
      <c r="FK200" s="112" t="str">
        <f>HYPERLINK("http://www.ethno-medizinisches-zentrum.de/images/PDF-Files/impfwegweiser_rumanisch_2013_online.pdf","x")</f>
        <v>x</v>
      </c>
      <c r="FL200" s="112"/>
      <c r="FM200" s="112" t="str">
        <f>HYPERLINK("http://www.rki.de/DE/Content/Infekt/Impfen/Materialien/Glossar-Downloads/glossar-de-rumaenisch.pdf?__blob=publicationFile","x")</f>
        <v>x</v>
      </c>
      <c r="FN200" s="112"/>
      <c r="FO200" s="112" t="str">
        <f>HYPERLINK("http://www.rki.de/DE/Content/Infekt/Impfen/Materialien/Downloads-MMR/MMR-Impfinfo-rumaenisch.pdf?__blob=publicationFile","x")</f>
        <v>x</v>
      </c>
      <c r="FP200" s="111"/>
      <c r="FQ200" s="112" t="str">
        <f>HYPERLINK("http://www.rki.de/DE/Content/Infekt/Impfen/Materialien/Downloads_HepA/Aufklaerung_HAV-Impfung_Rumaenisch.pdf?__blob=publicationFile","x")</f>
        <v>x</v>
      </c>
      <c r="FR200" s="112" t="str">
        <f>HYPERLINK("http://www.rki.de/DE/Content/Infekt/Impfen/Materialien/Downloads_Pneumokokken/Aufklaerung_Pneumo-Impfung_Rumaenisch.pdf?__blob=publicationFile","x")</f>
        <v>x</v>
      </c>
      <c r="FS200" s="112" t="str">
        <f>HYPERLINK("http://www.rki.de/DE/Content/Infekt/Impfen/Materialien/Downloads-DTaPIPVHibHepB/DTaPIPVHibHepB-rumaenisch.pdf?__blob=publicationFile","x")</f>
        <v>x</v>
      </c>
      <c r="FT200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0" s="112" t="str">
        <f>HYPERLINK("http://www.rki.de/DE/Content/Infekt/Impfen/Materialien/Downloads-Tdap-IPV/Tdap-IPV-rumaenisch.pdf?__blob=publicationFile","x")</f>
        <v>x</v>
      </c>
      <c r="FV200" s="112" t="str">
        <f>HYPERLINK("http://www.rki.de/DE/Content/Infekt/Impfen/Materialien/Downloads-Influenza_nasal/Influenza_nasal-rumaenisch.pdf?__blob=publicationFile","x")</f>
        <v>x</v>
      </c>
      <c r="FW200" s="111"/>
      <c r="FX200" s="111"/>
      <c r="FY200" s="111"/>
      <c r="FZ200" s="111"/>
      <c r="GA200" s="111"/>
      <c r="GB200" s="111"/>
      <c r="GC200" s="112" t="str">
        <f>HYPERLINK("http://www.ethno-medizinisches-zentrum.de/images/PDF-Files/lf_diabete_rumanish.pdf","x")</f>
        <v>x</v>
      </c>
      <c r="GD200" s="111"/>
      <c r="GE200" s="111"/>
      <c r="GF200" s="111"/>
      <c r="GG200" s="111"/>
      <c r="GH200" s="111"/>
      <c r="GI200" s="111"/>
      <c r="GJ200" s="111"/>
      <c r="GK200" s="111"/>
      <c r="GL200" s="112" t="str">
        <f>HYPERLINK("http://www.rki.de/DE/Content/Infekt/Impfen/Materialien/Downloads-Influenza/Influenza-rumaenisch.pdf?__blob=publicationFile","x")</f>
        <v>x</v>
      </c>
      <c r="GM200" s="111"/>
      <c r="GN200" s="111"/>
      <c r="GO200" s="112" t="str">
        <f>HYPERLINK("http://www.tipdoc.de/grafik/pdf/kopflaeuse/Kopflaeuse_RUMAEN.pdf","x")</f>
        <v>x</v>
      </c>
      <c r="GP200" s="112"/>
      <c r="GQ200" s="112" t="str">
        <f>HYPERLINK("http://www.tipdoc.com/bus/pdf/kraetze/tipdoc_Scabies_RUMAEN.pdf","x")</f>
        <v>x</v>
      </c>
      <c r="GR200" s="112" t="str">
        <f>HYPERLINK("http://www.tipdoc.com/bus/pdf/MagenDarmHaende/MagenDarmHaende_RUMAEN.pdf","x")</f>
        <v>x</v>
      </c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2" t="str">
        <f t="shared" si="628"/>
        <v>x</v>
      </c>
      <c r="HC200" s="111"/>
      <c r="HD200" s="111"/>
      <c r="HE200" s="111"/>
      <c r="HF200" s="111"/>
      <c r="HG200" s="111"/>
      <c r="HH200" s="111"/>
      <c r="HI200" s="111"/>
      <c r="HJ200" s="112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2" t="str">
        <f t="shared" ref="HX200:HX202" si="963">HYPERLINK("http://www.selfhelpfortrauma.org/","x")</f>
        <v>x</v>
      </c>
      <c r="HY200" s="112" t="str">
        <f t="shared" ref="HY200:HY202" si="964">HYPERLINK("http://peacefulheart.se/wp-content/uploads/2014/12/Resolving-Yesterday-20141201-Self-Tapping.pdf","x")</f>
        <v>x</v>
      </c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2"/>
      <c r="IK200" s="111"/>
      <c r="IL200" s="111"/>
      <c r="IM200" s="112" t="str">
        <f>HYPERLINK("https://www.bamf.de/SharedDocs/Anlagen/DE/Publikationen/Broschueren/willkommen-in-deutschland_ro.pdf?__blob=publicationFile","x")</f>
        <v>x</v>
      </c>
      <c r="IN200" s="112"/>
      <c r="IO200" s="111"/>
      <c r="IP200" s="112" t="str">
        <f>HYPERLINK("http://www.bamf.de/SharedDocs/Anlagen/DE/Publikationen/Flyer/Lernen-Sie-Deutsch/lernen-sie-deutsch_ro.pdf?__blob=publicationFile","x")</f>
        <v>x</v>
      </c>
      <c r="IQ200" s="112"/>
      <c r="IR200" s="111"/>
      <c r="IS200" s="111"/>
      <c r="IT200" s="111"/>
      <c r="IU200" s="112"/>
      <c r="IV200" s="112"/>
      <c r="IW200" s="112"/>
      <c r="IX200" s="112"/>
      <c r="IY200" s="111"/>
      <c r="IZ200" s="111"/>
      <c r="JA200" s="111"/>
      <c r="JB200" s="112"/>
      <c r="JC200" s="111"/>
      <c r="JD200" s="112"/>
      <c r="JE200" s="112"/>
      <c r="JF200" s="112"/>
      <c r="JG200" s="112"/>
      <c r="JH200" s="111"/>
      <c r="JI200" s="112"/>
      <c r="JJ200" s="112"/>
      <c r="JK200" s="112"/>
      <c r="JL200" s="112" t="str">
        <f t="shared" ref="JL200:JL202" si="965">HYPERLINK("https://www.arbeitsagentur.de/web/content/DE/Formulare/Detail/index.htm?dfContentId=L6019022DSTBAI485740","x")</f>
        <v>x</v>
      </c>
      <c r="JM200" s="112"/>
      <c r="JN200" s="112"/>
      <c r="JO200" s="112"/>
      <c r="JP200" s="112"/>
      <c r="JQ200" s="112" t="str">
        <f t="shared" ref="JQ200:JQ202" si="966">HYPERLINK("http://www.ibla-germany.de/merkblaetter.php","x")</f>
        <v>x</v>
      </c>
      <c r="JR200" s="112"/>
      <c r="JS200" s="111"/>
      <c r="JT200" s="111"/>
      <c r="JU200" s="111"/>
      <c r="JV200" s="112"/>
      <c r="JW200" s="112"/>
      <c r="JX200" s="111"/>
      <c r="JY200" s="111"/>
      <c r="JZ200" s="111"/>
      <c r="KA200" s="111"/>
      <c r="KB200" s="111"/>
      <c r="KC200" s="111"/>
      <c r="KD200" s="111"/>
      <c r="KE200" s="111"/>
      <c r="KF200" s="111"/>
      <c r="KG200" s="111"/>
      <c r="KH200" s="111"/>
      <c r="KI200" s="111"/>
      <c r="KJ200" s="111"/>
      <c r="KK200" s="111"/>
      <c r="KL200" s="111"/>
      <c r="KM200" s="111"/>
      <c r="KN200" s="111"/>
      <c r="KO200" s="111"/>
      <c r="KP200" s="111"/>
      <c r="KQ200" s="111"/>
      <c r="KR200" s="111"/>
      <c r="KS200" s="111"/>
      <c r="KT200" s="111"/>
      <c r="KU200" s="111"/>
      <c r="KV200" s="111"/>
      <c r="KW200" s="111"/>
      <c r="KX200" s="111"/>
      <c r="KY200" s="111"/>
      <c r="KZ200" s="111"/>
      <c r="LA200" s="111"/>
      <c r="LB200" s="111"/>
      <c r="LC200" s="111"/>
      <c r="LD200" s="111"/>
      <c r="LE200" s="111"/>
      <c r="LF200" s="111"/>
      <c r="LG200" s="111"/>
      <c r="LH200" s="111"/>
      <c r="LI200" s="111"/>
      <c r="LJ200" s="111"/>
      <c r="LK200" s="111"/>
      <c r="LL200" s="111"/>
      <c r="LM200" s="111"/>
      <c r="LN200" s="111"/>
      <c r="LO200" s="111"/>
      <c r="LP200" s="111"/>
      <c r="LQ200" s="111"/>
      <c r="LR200" s="111"/>
      <c r="LS200" s="111"/>
      <c r="LT200" s="111"/>
      <c r="LU200" s="111"/>
      <c r="LV200" s="111"/>
      <c r="LW200" s="111"/>
      <c r="LX200" s="111"/>
      <c r="LY200" s="111"/>
      <c r="LZ200" s="111"/>
      <c r="MA200" s="111"/>
      <c r="MB200" s="111"/>
      <c r="MC200" s="111"/>
      <c r="MD200" s="111"/>
      <c r="ME200" s="111"/>
      <c r="MF200" s="111"/>
      <c r="MG200" s="111"/>
      <c r="MH200" s="111"/>
    </row>
    <row r="201" spans="1:346" x14ac:dyDescent="0.25">
      <c r="A201" s="110" t="s">
        <v>18</v>
      </c>
      <c r="B201" s="101" t="s">
        <v>82</v>
      </c>
      <c r="C201" s="102"/>
      <c r="D201" s="102"/>
      <c r="E201" s="102"/>
      <c r="F201" s="102"/>
      <c r="G201" s="102"/>
      <c r="H201" s="102"/>
      <c r="I201" s="102"/>
      <c r="J201" s="103"/>
      <c r="K201" s="111"/>
      <c r="L201" s="111"/>
      <c r="M201" s="111"/>
      <c r="N201" s="111"/>
      <c r="O201" s="112" t="str">
        <f t="shared" ref="O201:O202" si="967">HYPERLINK("https://willkommensteamelmshorn.files.wordpress.com/2015/11/sortieranleitung_pinneberg_2015_rumacc88nisch.pdf","x")</f>
        <v>x</v>
      </c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2"/>
      <c r="AO201" s="112"/>
      <c r="AP201" s="112"/>
      <c r="AQ201" s="112"/>
      <c r="AR201" s="112"/>
      <c r="AS201" s="112"/>
      <c r="AT201" s="112"/>
      <c r="AU201" s="113"/>
      <c r="AV201" s="114" t="str">
        <f t="shared" si="941"/>
        <v>x</v>
      </c>
      <c r="AW201" s="114" t="str">
        <f t="shared" si="942"/>
        <v>x</v>
      </c>
      <c r="AX201" s="111"/>
      <c r="AY201" s="111"/>
      <c r="AZ201" s="112" t="str">
        <f t="shared" si="943"/>
        <v>x</v>
      </c>
      <c r="BA201" s="112" t="str">
        <f t="shared" si="944"/>
        <v>x</v>
      </c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2" t="str">
        <f t="shared" si="945"/>
        <v>x</v>
      </c>
      <c r="BM201" s="111"/>
      <c r="BN201" s="111"/>
      <c r="BO201" s="111"/>
      <c r="BP201" s="111"/>
      <c r="BQ201" s="111"/>
      <c r="BR201" s="112" t="str">
        <f t="shared" si="946"/>
        <v>x</v>
      </c>
      <c r="BS201" s="112"/>
      <c r="BT201" s="111"/>
      <c r="BU201" s="112" t="str">
        <f t="shared" si="947"/>
        <v>x</v>
      </c>
      <c r="BV201" s="112" t="str">
        <f>HYPERLINK("http://www.welcomegrooves.de/wp-content/uploads/2015/10/welcomegrooves_DE-RUMAENISCH.pdf","x")</f>
        <v>x</v>
      </c>
      <c r="BW201" s="112"/>
      <c r="BX201" s="112"/>
      <c r="BY201" s="112"/>
      <c r="BZ201" s="112" t="str">
        <f t="shared" si="948"/>
        <v>x</v>
      </c>
      <c r="CA201" s="112" t="str">
        <f t="shared" si="949"/>
        <v>x</v>
      </c>
      <c r="CB201" s="112" t="str">
        <f t="shared" si="950"/>
        <v>x</v>
      </c>
      <c r="CC201" s="112"/>
      <c r="CD201" s="112"/>
      <c r="CE201" s="111"/>
      <c r="CF201" s="111"/>
      <c r="CG201" s="112"/>
      <c r="CH201" s="112" t="str">
        <f>HYPERLINK("https://www.hilfetelefon.de/fileadmin/hilfetelefon_de/Materialien/Flyer/Infoflyer_Hilfetelefon_Gewalt_gegen_Frauen141105_b2.pdf","x")</f>
        <v>x</v>
      </c>
      <c r="CI201" s="112" t="str">
        <f t="shared" si="951"/>
        <v>x</v>
      </c>
      <c r="CJ201" s="112" t="str">
        <f t="shared" si="952"/>
        <v>x</v>
      </c>
      <c r="CK201" s="112" t="str">
        <f t="shared" si="953"/>
        <v>x</v>
      </c>
      <c r="CL201" s="112"/>
      <c r="CM201" s="112"/>
      <c r="CN201" s="112"/>
      <c r="CO201" s="112" t="str">
        <f t="shared" ref="CO201:CO202" si="968">HYPERLINK("http://www.schwanger-und-viele-fragen.de/ro/","x")</f>
        <v>x</v>
      </c>
      <c r="CP201" s="112"/>
      <c r="CQ201" s="112"/>
      <c r="CR201" s="112"/>
      <c r="CS201" s="112"/>
      <c r="CT201" s="112" t="str">
        <f t="shared" ref="CT201:CT202" si="969">HYPERLINK("http://www.profamilia.de/fileadmin/publikationen/Erwachsene/mehrsprachig/Bro_Verhuetung_rum_141016.pdf","x")</f>
        <v>x</v>
      </c>
      <c r="CU201" s="112"/>
      <c r="CV201" s="112"/>
      <c r="CW201" s="112"/>
      <c r="CX201" s="112"/>
      <c r="CY201" s="112"/>
      <c r="CZ201" s="112"/>
      <c r="DA201" s="112"/>
      <c r="DB201" s="115"/>
      <c r="DC201" s="112"/>
      <c r="DD201" s="112"/>
      <c r="DE201" s="112" t="str">
        <f t="shared" si="954"/>
        <v>x</v>
      </c>
      <c r="DF201" s="115" t="str">
        <f t="shared" si="955"/>
        <v>x</v>
      </c>
      <c r="DG201" s="112" t="str">
        <f t="shared" si="956"/>
        <v>x</v>
      </c>
      <c r="DH201" s="112" t="str">
        <f t="shared" si="957"/>
        <v>x</v>
      </c>
      <c r="DI201" s="112"/>
      <c r="DJ201" s="112"/>
      <c r="DK201" s="112"/>
      <c r="DL201" s="112"/>
      <c r="DM201" s="112"/>
      <c r="DN201" s="112"/>
      <c r="DO201" s="111"/>
      <c r="DP201" s="112" t="str">
        <f>HYPERLINK("http://tipdoc.de/bus/grafik/kinder-tip/SCHULTIP_give_BulgRoSRB.pdf","x")</f>
        <v>x</v>
      </c>
      <c r="DQ201" s="112" t="str">
        <f>HYPERLINK("https://broschueren.nordrheinwestfalendirekt.de/broschuerenservice/msw/ro-das-schulsystem-in-nordrhein-westfalen-einfach-und-schnell-erklaert/1904","x")</f>
        <v>x</v>
      </c>
      <c r="DR201" s="112" t="str">
        <f t="shared" ref="DR201:DR202" si="970">HYPERLINK("http://bildung.koeln.de/materialbibliothek/download.php?idx=02e5214477df5fdc5798bedc8e8fd9ad","x")</f>
        <v>x</v>
      </c>
      <c r="DS201" s="112" t="str">
        <f t="shared" ref="DS201:DS202" si="971">HYPERLINK("http://bildung.koeln.de/materialbibliothek/download.php?idx=640f7d9e84c1690234be794b70c7776c","x")</f>
        <v>x</v>
      </c>
      <c r="DT201" s="112"/>
      <c r="DU201" s="112" t="str">
        <f>HYPERLINK("https://www.bmbf.de/pub/Kausa_Elternratgeber_deutsch_rumaenisch.pdf","x")</f>
        <v>x</v>
      </c>
      <c r="DV201" s="111"/>
      <c r="DW201" s="111"/>
      <c r="DX201" s="111"/>
      <c r="DY201" s="111"/>
      <c r="DZ201" s="112" t="str">
        <f>HYPERLINK("http://www.bamf.de/SharedDocs/Anlagen/DE/Publikationen/Flyer/AnerkennungBerufsabschluss/anerkennung-berufsabschluss_ausland_ro.pdf?__blob=publicationFile","x")</f>
        <v>x</v>
      </c>
      <c r="EA201" s="112"/>
      <c r="EB201" s="112"/>
      <c r="EC201" s="111"/>
      <c r="ED201" s="111"/>
      <c r="EE201" s="111"/>
      <c r="EF201" s="111"/>
      <c r="EG201" s="111"/>
      <c r="EH201" s="111"/>
      <c r="EI201" s="112"/>
      <c r="EJ201" s="112"/>
      <c r="EK201" s="111"/>
      <c r="EL201" s="112" t="str">
        <f>HYPERLINK("http://www.kvs-sachsen.de/fileadmin/img/Mitglieder/Asylbewerber/Allg-Informationen/Anlage_1__Rumaenisch_LEK.pdf","x")</f>
        <v>x</v>
      </c>
      <c r="EM201" s="111"/>
      <c r="EN201" s="111"/>
      <c r="EO201" s="117" t="str">
        <f t="shared" si="958"/>
        <v>x</v>
      </c>
      <c r="EP201" s="117" t="str">
        <f>HYPERLINK("http://www.armut-gesundheit.de/fileadmin/redakteur/dokumente/Anamnesebogen%20-%20rum%C3%A4nischnew.pdf","x")</f>
        <v>x</v>
      </c>
      <c r="EQ201" s="112" t="str">
        <f>HYPERLINK("http://www.kvs-sachsen.de/fileadmin/img/Mitglieder/Asylbewerber/Allg-Informationen/Anlagen_2-1_2-2_Rumaenisch_LEK.pdf","x")</f>
        <v>x</v>
      </c>
      <c r="ER201" s="111"/>
      <c r="ES201" s="111"/>
      <c r="ET201" s="111"/>
      <c r="EU201" s="111"/>
      <c r="EV201" s="112" t="str">
        <f t="shared" si="959"/>
        <v>x</v>
      </c>
      <c r="EW201" s="111"/>
      <c r="EX201" s="111"/>
      <c r="EY201" s="111"/>
      <c r="EZ201" s="111"/>
      <c r="FA201" s="111"/>
      <c r="FB201" s="111"/>
      <c r="FC201" s="112" t="str">
        <f t="shared" si="960"/>
        <v>x</v>
      </c>
      <c r="FD201" s="112" t="str">
        <f t="shared" si="961"/>
        <v>x</v>
      </c>
      <c r="FE201" s="111"/>
      <c r="FF201" s="112" t="str">
        <f t="shared" si="962"/>
        <v>x</v>
      </c>
      <c r="FG201" s="111"/>
      <c r="FH201" s="111"/>
      <c r="FI201" s="112"/>
      <c r="FJ201" s="112" t="str">
        <f>HYPERLINK("http://www.rki.de/DE/Content/Infekt/Impfen/Materialien/Downloads-Impfkalender/Impfkalender_Rumaenisch.pdf?__blob=publicationFile","x")</f>
        <v>x</v>
      </c>
      <c r="FK201" s="112" t="str">
        <f>HYPERLINK("http://www.ethno-medizinisches-zentrum.de/images/PDF-Files/impfwegweiser_rumanisch_2013_online.pdf","x")</f>
        <v>x</v>
      </c>
      <c r="FL201" s="112"/>
      <c r="FM201" s="112" t="str">
        <f>HYPERLINK("http://www.rki.de/DE/Content/Infekt/Impfen/Materialien/Glossar-Downloads/glossar-de-rumaenisch.pdf?__blob=publicationFile","x")</f>
        <v>x</v>
      </c>
      <c r="FN201" s="112"/>
      <c r="FO201" s="112" t="str">
        <f>HYPERLINK("http://www.rki.de/DE/Content/Infekt/Impfen/Materialien/Downloads-MMR/MMR-Impfinfo-rumaenisch.pdf?__blob=publicationFile","x")</f>
        <v>x</v>
      </c>
      <c r="FP201" s="111"/>
      <c r="FQ201" s="112" t="str">
        <f>HYPERLINK("http://www.rki.de/DE/Content/Infekt/Impfen/Materialien/Downloads_HepA/Aufklaerung_HAV-Impfung_Rumaenisch.pdf?__blob=publicationFile","x")</f>
        <v>x</v>
      </c>
      <c r="FR201" s="112" t="str">
        <f>HYPERLINK("http://www.rki.de/DE/Content/Infekt/Impfen/Materialien/Downloads_Pneumokokken/Aufklaerung_Pneumo-Impfung_Rumaenisch.pdf?__blob=publicationFile","x")</f>
        <v>x</v>
      </c>
      <c r="FS201" s="112" t="str">
        <f>HYPERLINK("http://www.rki.de/DE/Content/Infekt/Impfen/Materialien/Downloads-DTaPIPVHibHepB/DTaPIPVHibHepB-rumaenisch.pdf?__blob=publicationFile","x")</f>
        <v>x</v>
      </c>
      <c r="FT201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1" s="112" t="str">
        <f>HYPERLINK("http://www.rki.de/DE/Content/Infekt/Impfen/Materialien/Downloads-Tdap-IPV/Tdap-IPV-rumaenisch.pdf?__blob=publicationFile","x")</f>
        <v>x</v>
      </c>
      <c r="FV201" s="112" t="str">
        <f>HYPERLINK("http://www.rki.de/DE/Content/Infekt/Impfen/Materialien/Downloads-Influenza_nasal/Influenza_nasal-rumaenisch.pdf?__blob=publicationFile","x")</f>
        <v>x</v>
      </c>
      <c r="FW201" s="111"/>
      <c r="FX201" s="111"/>
      <c r="FY201" s="111"/>
      <c r="FZ201" s="111"/>
      <c r="GA201" s="111"/>
      <c r="GB201" s="111"/>
      <c r="GC201" s="112" t="str">
        <f>HYPERLINK("http://www.ethno-medizinisches-zentrum.de/images/PDF-Files/lf_diabete_rumanish.pdf","x")</f>
        <v>x</v>
      </c>
      <c r="GD201" s="111"/>
      <c r="GE201" s="111"/>
      <c r="GF201" s="111"/>
      <c r="GG201" s="111"/>
      <c r="GH201" s="111"/>
      <c r="GI201" s="111"/>
      <c r="GJ201" s="111"/>
      <c r="GK201" s="111"/>
      <c r="GL201" s="112" t="str">
        <f>HYPERLINK("http://www.rki.de/DE/Content/Infekt/Impfen/Materialien/Downloads-Influenza/Influenza-rumaenisch.pdf?__blob=publicationFile","x")</f>
        <v>x</v>
      </c>
      <c r="GM201" s="111"/>
      <c r="GN201" s="111"/>
      <c r="GO201" s="112" t="str">
        <f>HYPERLINK("http://www.tipdoc.de/grafik/pdf/kopflaeuse/Kopflaeuse_RUMAEN.pdf","x")</f>
        <v>x</v>
      </c>
      <c r="GP201" s="112"/>
      <c r="GQ201" s="112" t="str">
        <f>HYPERLINK("http://www.tipdoc.com/bus/pdf/kraetze/tipdoc_Scabies_RUMAEN.pdf","x")</f>
        <v>x</v>
      </c>
      <c r="GR201" s="112" t="str">
        <f>HYPERLINK("http://www.tipdoc.com/bus/pdf/MagenDarmHaende/MagenDarmHaende_RUMAEN.pdf","x")</f>
        <v>x</v>
      </c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2" t="str">
        <f t="shared" si="628"/>
        <v>x</v>
      </c>
      <c r="HC201" s="111"/>
      <c r="HD201" s="111"/>
      <c r="HE201" s="111"/>
      <c r="HF201" s="111"/>
      <c r="HG201" s="111"/>
      <c r="HH201" s="111"/>
      <c r="HI201" s="111"/>
      <c r="HJ201" s="112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2" t="str">
        <f t="shared" si="963"/>
        <v>x</v>
      </c>
      <c r="HY201" s="112" t="str">
        <f t="shared" si="964"/>
        <v>x</v>
      </c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2"/>
      <c r="IK201" s="111"/>
      <c r="IL201" s="111"/>
      <c r="IM201" s="112" t="str">
        <f>HYPERLINK("https://www.bamf.de/SharedDocs/Anlagen/DE/Publikationen/Broschueren/willkommen-in-deutschland_ro.pdf?__blob=publicationFile","x")</f>
        <v>x</v>
      </c>
      <c r="IN201" s="112"/>
      <c r="IO201" s="111"/>
      <c r="IP201" s="112" t="str">
        <f>HYPERLINK("http://www.bamf.de/SharedDocs/Anlagen/DE/Publikationen/Flyer/Lernen-Sie-Deutsch/lernen-sie-deutsch_ro.pdf?__blob=publicationFile","x")</f>
        <v>x</v>
      </c>
      <c r="IQ201" s="112"/>
      <c r="IR201" s="111"/>
      <c r="IS201" s="111"/>
      <c r="IT201" s="111"/>
      <c r="IU201" s="112"/>
      <c r="IV201" s="112"/>
      <c r="IW201" s="112"/>
      <c r="IX201" s="112"/>
      <c r="IY201" s="111"/>
      <c r="IZ201" s="111"/>
      <c r="JA201" s="111"/>
      <c r="JB201" s="112"/>
      <c r="JC201" s="111"/>
      <c r="JD201" s="112"/>
      <c r="JE201" s="112"/>
      <c r="JF201" s="112"/>
      <c r="JG201" s="112"/>
      <c r="JH201" s="111"/>
      <c r="JI201" s="112"/>
      <c r="JJ201" s="112"/>
      <c r="JK201" s="112"/>
      <c r="JL201" s="112" t="str">
        <f t="shared" si="965"/>
        <v>x</v>
      </c>
      <c r="JM201" s="112"/>
      <c r="JN201" s="112"/>
      <c r="JO201" s="112"/>
      <c r="JP201" s="112"/>
      <c r="JQ201" s="112" t="str">
        <f t="shared" si="966"/>
        <v>x</v>
      </c>
      <c r="JR201" s="112"/>
      <c r="JS201" s="111"/>
      <c r="JT201" s="111"/>
      <c r="JU201" s="111"/>
      <c r="JV201" s="112"/>
      <c r="JW201" s="112"/>
      <c r="JX201" s="111"/>
      <c r="JY201" s="111"/>
      <c r="JZ201" s="111"/>
      <c r="KA201" s="111"/>
      <c r="KB201" s="111"/>
      <c r="KC201" s="111"/>
      <c r="KD201" s="111"/>
      <c r="KE201" s="111"/>
      <c r="KF201" s="111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</row>
    <row r="202" spans="1:346" x14ac:dyDescent="0.25">
      <c r="A202" s="110" t="s">
        <v>18</v>
      </c>
      <c r="B202" s="101" t="s">
        <v>76</v>
      </c>
      <c r="C202" s="102"/>
      <c r="D202" s="102"/>
      <c r="E202" s="102"/>
      <c r="F202" s="102"/>
      <c r="G202" s="102"/>
      <c r="H202" s="102"/>
      <c r="I202" s="102"/>
      <c r="J202" s="103"/>
      <c r="K202" s="111"/>
      <c r="L202" s="111"/>
      <c r="M202" s="111"/>
      <c r="N202" s="111"/>
      <c r="O202" s="112" t="str">
        <f t="shared" si="967"/>
        <v>x</v>
      </c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2"/>
      <c r="AO202" s="112"/>
      <c r="AP202" s="112"/>
      <c r="AQ202" s="112"/>
      <c r="AR202" s="112"/>
      <c r="AS202" s="112"/>
      <c r="AT202" s="112"/>
      <c r="AU202" s="113"/>
      <c r="AV202" s="114" t="str">
        <f t="shared" si="941"/>
        <v>x</v>
      </c>
      <c r="AW202" s="114" t="str">
        <f t="shared" si="942"/>
        <v>x</v>
      </c>
      <c r="AX202" s="111"/>
      <c r="AY202" s="111"/>
      <c r="AZ202" s="112" t="str">
        <f t="shared" si="943"/>
        <v>x</v>
      </c>
      <c r="BA202" s="112" t="str">
        <f t="shared" si="944"/>
        <v>x</v>
      </c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2" t="str">
        <f t="shared" si="945"/>
        <v>x</v>
      </c>
      <c r="BM202" s="111"/>
      <c r="BN202" s="111"/>
      <c r="BO202" s="111"/>
      <c r="BP202" s="111"/>
      <c r="BQ202" s="111"/>
      <c r="BR202" s="112" t="str">
        <f t="shared" si="946"/>
        <v>x</v>
      </c>
      <c r="BS202" s="112"/>
      <c r="BT202" s="111"/>
      <c r="BU202" s="112" t="str">
        <f t="shared" si="947"/>
        <v>x</v>
      </c>
      <c r="BV202" s="112" t="str">
        <f>HYPERLINK("http://www.welcomegrooves.de/wp-content/uploads/2015/10/welcomegrooves_DE-RUMAENISCH.pdf","x")</f>
        <v>x</v>
      </c>
      <c r="BW202" s="112"/>
      <c r="BX202" s="112"/>
      <c r="BY202" s="112"/>
      <c r="BZ202" s="112" t="str">
        <f t="shared" si="948"/>
        <v>x</v>
      </c>
      <c r="CA202" s="112" t="str">
        <f t="shared" si="949"/>
        <v>x</v>
      </c>
      <c r="CB202" s="112" t="str">
        <f t="shared" si="950"/>
        <v>x</v>
      </c>
      <c r="CC202" s="112"/>
      <c r="CD202" s="112"/>
      <c r="CE202" s="111"/>
      <c r="CF202" s="111"/>
      <c r="CG202" s="112"/>
      <c r="CH202" s="112" t="str">
        <f>HYPERLINK("https://www.hilfetelefon.de/fileadmin/hilfetelefon_de/Materialien/Flyer/Infoflyer_Hilfetelefon_Gewalt_gegen_Frauen141105_b2.pdf","x")</f>
        <v>x</v>
      </c>
      <c r="CI202" s="112" t="str">
        <f t="shared" si="951"/>
        <v>x</v>
      </c>
      <c r="CJ202" s="112" t="str">
        <f t="shared" si="952"/>
        <v>x</v>
      </c>
      <c r="CK202" s="112" t="str">
        <f t="shared" si="953"/>
        <v>x</v>
      </c>
      <c r="CL202" s="112"/>
      <c r="CM202" s="112"/>
      <c r="CN202" s="112"/>
      <c r="CO202" s="112" t="str">
        <f t="shared" si="968"/>
        <v>x</v>
      </c>
      <c r="CP202" s="112"/>
      <c r="CQ202" s="112"/>
      <c r="CR202" s="112"/>
      <c r="CS202" s="112"/>
      <c r="CT202" s="112" t="str">
        <f t="shared" si="969"/>
        <v>x</v>
      </c>
      <c r="CU202" s="112"/>
      <c r="CV202" s="112"/>
      <c r="CW202" s="112"/>
      <c r="CX202" s="112"/>
      <c r="CY202" s="112"/>
      <c r="CZ202" s="112"/>
      <c r="DA202" s="112"/>
      <c r="DB202" s="115"/>
      <c r="DC202" s="112"/>
      <c r="DD202" s="112"/>
      <c r="DE202" s="112" t="str">
        <f t="shared" si="954"/>
        <v>x</v>
      </c>
      <c r="DF202" s="115" t="str">
        <f t="shared" si="955"/>
        <v>x</v>
      </c>
      <c r="DG202" s="112" t="str">
        <f t="shared" si="956"/>
        <v>x</v>
      </c>
      <c r="DH202" s="112" t="str">
        <f t="shared" si="957"/>
        <v>x</v>
      </c>
      <c r="DI202" s="112"/>
      <c r="DJ202" s="112"/>
      <c r="DK202" s="112"/>
      <c r="DL202" s="112"/>
      <c r="DM202" s="112"/>
      <c r="DN202" s="112"/>
      <c r="DO202" s="111"/>
      <c r="DP202" s="112" t="str">
        <f>HYPERLINK("http://tipdoc.de/bus/grafik/kinder-tip/SCHULTIP_give_BulgRoSRB.pdf","x")</f>
        <v>x</v>
      </c>
      <c r="DQ202" s="112" t="str">
        <f>HYPERLINK("https://broschueren.nordrheinwestfalendirekt.de/broschuerenservice/msw/ro-das-schulsystem-in-nordrhein-westfalen-einfach-und-schnell-erklaert/1904","x")</f>
        <v>x</v>
      </c>
      <c r="DR202" s="112" t="str">
        <f t="shared" si="970"/>
        <v>x</v>
      </c>
      <c r="DS202" s="112" t="str">
        <f t="shared" si="971"/>
        <v>x</v>
      </c>
      <c r="DT202" s="112"/>
      <c r="DU202" s="112" t="str">
        <f>HYPERLINK("https://www.bmbf.de/pub/Kausa_Elternratgeber_deutsch_rumaenisch.pdf","x")</f>
        <v>x</v>
      </c>
      <c r="DV202" s="111"/>
      <c r="DW202" s="111"/>
      <c r="DX202" s="111"/>
      <c r="DY202" s="111"/>
      <c r="DZ202" s="112" t="str">
        <f>HYPERLINK("http://www.bamf.de/SharedDocs/Anlagen/DE/Publikationen/Flyer/AnerkennungBerufsabschluss/anerkennung-berufsabschluss_ausland_ro.pdf?__blob=publicationFile","x")</f>
        <v>x</v>
      </c>
      <c r="EA202" s="112"/>
      <c r="EB202" s="112"/>
      <c r="EC202" s="111"/>
      <c r="ED202" s="111"/>
      <c r="EE202" s="111"/>
      <c r="EF202" s="111"/>
      <c r="EG202" s="111"/>
      <c r="EH202" s="111"/>
      <c r="EI202" s="112"/>
      <c r="EJ202" s="112"/>
      <c r="EK202" s="111"/>
      <c r="EL202" s="112" t="str">
        <f>HYPERLINK("http://www.kvs-sachsen.de/fileadmin/img/Mitglieder/Asylbewerber/Allg-Informationen/Anlage_1__Rumaenisch_LEK.pdf","x")</f>
        <v>x</v>
      </c>
      <c r="EM202" s="111"/>
      <c r="EN202" s="111"/>
      <c r="EO202" s="117" t="str">
        <f t="shared" si="958"/>
        <v>x</v>
      </c>
      <c r="EP202" s="117" t="str">
        <f>HYPERLINK("http://www.armut-gesundheit.de/fileadmin/redakteur/dokumente/Anamnesebogen%20-%20rum%C3%A4nischnew.pdf","x")</f>
        <v>x</v>
      </c>
      <c r="EQ202" s="112" t="str">
        <f>HYPERLINK("http://www.kvs-sachsen.de/fileadmin/img/Mitglieder/Asylbewerber/Allg-Informationen/Anlagen_2-1_2-2_Rumaenisch_LEK.pdf","x")</f>
        <v>x</v>
      </c>
      <c r="ER202" s="111"/>
      <c r="ES202" s="111"/>
      <c r="ET202" s="111"/>
      <c r="EU202" s="111"/>
      <c r="EV202" s="112" t="str">
        <f t="shared" si="959"/>
        <v>x</v>
      </c>
      <c r="EW202" s="111"/>
      <c r="EX202" s="111"/>
      <c r="EY202" s="111"/>
      <c r="EZ202" s="111"/>
      <c r="FA202" s="111"/>
      <c r="FB202" s="111"/>
      <c r="FC202" s="112" t="str">
        <f t="shared" si="960"/>
        <v>x</v>
      </c>
      <c r="FD202" s="112" t="str">
        <f t="shared" si="961"/>
        <v>x</v>
      </c>
      <c r="FE202" s="111"/>
      <c r="FF202" s="112" t="str">
        <f t="shared" si="962"/>
        <v>x</v>
      </c>
      <c r="FG202" s="111"/>
      <c r="FH202" s="111"/>
      <c r="FI202" s="112"/>
      <c r="FJ202" s="112" t="str">
        <f>HYPERLINK("http://www.rki.de/DE/Content/Infekt/Impfen/Materialien/Downloads-Impfkalender/Impfkalender_Rumaenisch.pdf?__blob=publicationFile","x")</f>
        <v>x</v>
      </c>
      <c r="FK202" s="112" t="str">
        <f>HYPERLINK("http://www.ethno-medizinisches-zentrum.de/images/PDF-Files/impfwegweiser_rumanisch_2013_online.pdf","x")</f>
        <v>x</v>
      </c>
      <c r="FL202" s="112"/>
      <c r="FM202" s="112" t="str">
        <f>HYPERLINK("http://www.rki.de/DE/Content/Infekt/Impfen/Materialien/Glossar-Downloads/glossar-de-rumaenisch.pdf?__blob=publicationFile","x")</f>
        <v>x</v>
      </c>
      <c r="FN202" s="112"/>
      <c r="FO202" s="112" t="str">
        <f>HYPERLINK("http://www.rki.de/DE/Content/Infekt/Impfen/Materialien/Downloads-MMR/MMR-Impfinfo-rumaenisch.pdf?__blob=publicationFile","x")</f>
        <v>x</v>
      </c>
      <c r="FP202" s="111"/>
      <c r="FQ202" s="112" t="str">
        <f>HYPERLINK("http://www.rki.de/DE/Content/Infekt/Impfen/Materialien/Downloads_HepA/Aufklaerung_HAV-Impfung_Rumaenisch.pdf?__blob=publicationFile","x")</f>
        <v>x</v>
      </c>
      <c r="FR202" s="112" t="str">
        <f>HYPERLINK("http://www.rki.de/DE/Content/Infekt/Impfen/Materialien/Downloads_Pneumokokken/Aufklaerung_Pneumo-Impfung_Rumaenisch.pdf?__blob=publicationFile","x")</f>
        <v>x</v>
      </c>
      <c r="FS202" s="112" t="str">
        <f>HYPERLINK("http://www.rki.de/DE/Content/Infekt/Impfen/Materialien/Downloads-DTaPIPVHibHepB/DTaPIPVHibHepB-rumaenisch.pdf?__blob=publicationFile","x")</f>
        <v>x</v>
      </c>
      <c r="FT202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2" s="112" t="str">
        <f>HYPERLINK("http://www.rki.de/DE/Content/Infekt/Impfen/Materialien/Downloads-Tdap-IPV/Tdap-IPV-rumaenisch.pdf?__blob=publicationFile","x")</f>
        <v>x</v>
      </c>
      <c r="FV202" s="112" t="str">
        <f>HYPERLINK("http://www.rki.de/DE/Content/Infekt/Impfen/Materialien/Downloads-Influenza_nasal/Influenza_nasal-rumaenisch.pdf?__blob=publicationFile","x")</f>
        <v>x</v>
      </c>
      <c r="FW202" s="111"/>
      <c r="FX202" s="111"/>
      <c r="FY202" s="111"/>
      <c r="FZ202" s="111"/>
      <c r="GA202" s="111"/>
      <c r="GB202" s="111"/>
      <c r="GC202" s="112" t="str">
        <f>HYPERLINK("http://www.ethno-medizinisches-zentrum.de/images/PDF-Files/lf_diabete_rumanish.pdf","x")</f>
        <v>x</v>
      </c>
      <c r="GD202" s="111"/>
      <c r="GE202" s="111"/>
      <c r="GF202" s="111"/>
      <c r="GG202" s="111"/>
      <c r="GH202" s="111"/>
      <c r="GI202" s="111"/>
      <c r="GJ202" s="111"/>
      <c r="GK202" s="111"/>
      <c r="GL202" s="112" t="str">
        <f>HYPERLINK("http://www.rki.de/DE/Content/Infekt/Impfen/Materialien/Downloads-Influenza/Influenza-rumaenisch.pdf?__blob=publicationFile","x")</f>
        <v>x</v>
      </c>
      <c r="GM202" s="111"/>
      <c r="GN202" s="111"/>
      <c r="GO202" s="112" t="str">
        <f>HYPERLINK("http://www.tipdoc.de/grafik/pdf/kopflaeuse/Kopflaeuse_RUMAEN.pdf","x")</f>
        <v>x</v>
      </c>
      <c r="GP202" s="112"/>
      <c r="GQ202" s="112" t="str">
        <f>HYPERLINK("http://www.tipdoc.com/bus/pdf/kraetze/tipdoc_Scabies_RUMAEN.pdf","x")</f>
        <v>x</v>
      </c>
      <c r="GR202" s="112" t="str">
        <f>HYPERLINK("http://www.tipdoc.com/bus/pdf/MagenDarmHaende/MagenDarmHaende_RUMAEN.pdf","x")</f>
        <v>x</v>
      </c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2" t="str">
        <f t="shared" si="628"/>
        <v>x</v>
      </c>
      <c r="HC202" s="111"/>
      <c r="HD202" s="111"/>
      <c r="HE202" s="111"/>
      <c r="HF202" s="111"/>
      <c r="HG202" s="111"/>
      <c r="HH202" s="111"/>
      <c r="HI202" s="111"/>
      <c r="HJ202" s="112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2" t="str">
        <f t="shared" si="963"/>
        <v>x</v>
      </c>
      <c r="HY202" s="112" t="str">
        <f t="shared" si="964"/>
        <v>x</v>
      </c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2"/>
      <c r="IK202" s="111"/>
      <c r="IL202" s="111"/>
      <c r="IM202" s="112" t="str">
        <f>HYPERLINK("https://www.bamf.de/SharedDocs/Anlagen/DE/Publikationen/Broschueren/willkommen-in-deutschland_ro.pdf?__blob=publicationFile","x")</f>
        <v>x</v>
      </c>
      <c r="IN202" s="112"/>
      <c r="IO202" s="111"/>
      <c r="IP202" s="112" t="str">
        <f>HYPERLINK("http://www.bamf.de/SharedDocs/Anlagen/DE/Publikationen/Flyer/Lernen-Sie-Deutsch/lernen-sie-deutsch_ro.pdf?__blob=publicationFile","x")</f>
        <v>x</v>
      </c>
      <c r="IQ202" s="112"/>
      <c r="IR202" s="111"/>
      <c r="IS202" s="111"/>
      <c r="IT202" s="111"/>
      <c r="IU202" s="112"/>
      <c r="IV202" s="112"/>
      <c r="IW202" s="112"/>
      <c r="IX202" s="112"/>
      <c r="IY202" s="111"/>
      <c r="IZ202" s="111"/>
      <c r="JA202" s="111"/>
      <c r="JB202" s="112"/>
      <c r="JC202" s="111"/>
      <c r="JD202" s="112"/>
      <c r="JE202" s="112"/>
      <c r="JF202" s="112"/>
      <c r="JG202" s="112"/>
      <c r="JH202" s="111"/>
      <c r="JI202" s="112"/>
      <c r="JJ202" s="112"/>
      <c r="JK202" s="112"/>
      <c r="JL202" s="112" t="str">
        <f t="shared" si="965"/>
        <v>x</v>
      </c>
      <c r="JM202" s="112"/>
      <c r="JN202" s="112"/>
      <c r="JO202" s="112"/>
      <c r="JP202" s="112"/>
      <c r="JQ202" s="112" t="str">
        <f t="shared" si="966"/>
        <v>x</v>
      </c>
      <c r="JR202" s="112"/>
      <c r="JS202" s="111"/>
      <c r="JT202" s="111"/>
      <c r="JU202" s="111"/>
      <c r="JV202" s="112"/>
      <c r="JW202" s="112"/>
      <c r="JX202" s="111"/>
      <c r="JY202" s="111"/>
      <c r="JZ202" s="111"/>
      <c r="KA202" s="111"/>
      <c r="KB202" s="111"/>
      <c r="KC202" s="111"/>
      <c r="KD202" s="111"/>
      <c r="KE202" s="111"/>
      <c r="KF202" s="111"/>
      <c r="KG202" s="111"/>
      <c r="KH202" s="111"/>
      <c r="KI202" s="111"/>
      <c r="KJ202" s="111"/>
      <c r="KK202" s="111"/>
      <c r="KL202" s="111"/>
      <c r="KM202" s="111"/>
      <c r="KN202" s="111"/>
      <c r="KO202" s="111"/>
      <c r="KP202" s="111"/>
      <c r="KQ202" s="111"/>
      <c r="KR202" s="111"/>
      <c r="KS202" s="111"/>
      <c r="KT202" s="111"/>
      <c r="KU202" s="111"/>
      <c r="KV202" s="111"/>
      <c r="KW202" s="111"/>
      <c r="KX202" s="111"/>
      <c r="KY202" s="111"/>
      <c r="KZ202" s="111"/>
      <c r="LA202" s="111"/>
      <c r="LB202" s="111"/>
      <c r="LC202" s="111"/>
      <c r="LD202" s="111"/>
      <c r="LE202" s="111"/>
      <c r="LF202" s="111"/>
      <c r="LG202" s="111"/>
      <c r="LH202" s="111"/>
      <c r="LI202" s="111"/>
      <c r="LJ202" s="111"/>
      <c r="LK202" s="111"/>
      <c r="LL202" s="111"/>
      <c r="LM202" s="111"/>
      <c r="LN202" s="111"/>
      <c r="LO202" s="111"/>
      <c r="LP202" s="111"/>
      <c r="LQ202" s="111"/>
      <c r="LR202" s="111"/>
      <c r="LS202" s="111"/>
      <c r="LT202" s="111"/>
      <c r="LU202" s="111"/>
      <c r="LV202" s="111"/>
      <c r="LW202" s="111"/>
      <c r="LX202" s="111"/>
      <c r="LY202" s="111"/>
      <c r="LZ202" s="111"/>
      <c r="MA202" s="111"/>
      <c r="MB202" s="111"/>
      <c r="MC202" s="111"/>
      <c r="MD202" s="111"/>
      <c r="ME202" s="111"/>
      <c r="MF202" s="111"/>
      <c r="MG202" s="111"/>
      <c r="MH202" s="111"/>
    </row>
    <row r="203" spans="1:346" x14ac:dyDescent="0.25">
      <c r="A203" s="101" t="s">
        <v>7</v>
      </c>
      <c r="B203" s="102"/>
      <c r="C203" s="102"/>
      <c r="D203" s="102"/>
      <c r="E203" s="102"/>
      <c r="F203" s="102"/>
      <c r="G203" s="102"/>
      <c r="H203" s="102"/>
      <c r="I203" s="102"/>
      <c r="J203" s="103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6"/>
      <c r="AV203" s="106"/>
      <c r="AW203" s="106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9"/>
      <c r="EP203" s="109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5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4"/>
      <c r="JK203" s="104"/>
      <c r="JL203" s="104"/>
      <c r="JM203" s="104"/>
      <c r="JN203" s="104"/>
      <c r="JO203" s="104"/>
      <c r="JP203" s="104"/>
      <c r="JQ203" s="104"/>
      <c r="JR203" s="104"/>
      <c r="JS203" s="104"/>
      <c r="JT203" s="104"/>
      <c r="JU203" s="104"/>
      <c r="JV203" s="104"/>
      <c r="JW203" s="104"/>
      <c r="JX203" s="104"/>
      <c r="JY203" s="104"/>
      <c r="JZ203" s="104"/>
      <c r="KA203" s="104"/>
      <c r="KB203" s="104"/>
      <c r="KC203" s="104"/>
      <c r="KD203" s="104"/>
      <c r="KE203" s="104"/>
      <c r="KF203" s="104"/>
      <c r="KG203" s="104"/>
      <c r="KH203" s="104"/>
      <c r="KI203" s="104"/>
      <c r="KJ203" s="104"/>
      <c r="KK203" s="104"/>
      <c r="KL203" s="104"/>
      <c r="KM203" s="104"/>
      <c r="KN203" s="104"/>
      <c r="KO203" s="104"/>
      <c r="KP203" s="104"/>
      <c r="KQ203" s="104"/>
      <c r="KR203" s="104"/>
      <c r="KS203" s="104"/>
      <c r="KT203" s="104"/>
      <c r="KU203" s="104"/>
      <c r="KV203" s="104"/>
      <c r="KW203" s="104"/>
      <c r="KX203" s="104"/>
      <c r="KY203" s="104"/>
      <c r="KZ203" s="104"/>
      <c r="LA203" s="104"/>
      <c r="LB203" s="104"/>
      <c r="LC203" s="104"/>
      <c r="LD203" s="104"/>
      <c r="LE203" s="104"/>
      <c r="LF203" s="104"/>
      <c r="LG203" s="104"/>
      <c r="LH203" s="104"/>
      <c r="LI203" s="104"/>
      <c r="LJ203" s="104"/>
      <c r="LK203" s="104"/>
      <c r="LL203" s="104"/>
      <c r="LM203" s="104"/>
      <c r="LN203" s="104"/>
      <c r="LO203" s="104"/>
      <c r="LP203" s="104"/>
      <c r="LQ203" s="104"/>
      <c r="LR203" s="104"/>
      <c r="LS203" s="104"/>
      <c r="LT203" s="104"/>
      <c r="LU203" s="104"/>
      <c r="LV203" s="104"/>
      <c r="LW203" s="104"/>
      <c r="LX203" s="104"/>
      <c r="LY203" s="104"/>
      <c r="LZ203" s="104"/>
      <c r="MA203" s="104"/>
      <c r="MB203" s="104"/>
      <c r="MC203" s="104"/>
      <c r="MD203" s="104"/>
      <c r="ME203" s="104"/>
      <c r="MF203" s="104"/>
      <c r="MG203" s="104"/>
      <c r="MH203" s="104"/>
    </row>
    <row r="204" spans="1:346" x14ac:dyDescent="0.25">
      <c r="A204" s="110" t="s">
        <v>7</v>
      </c>
      <c r="B204" s="101" t="s">
        <v>86</v>
      </c>
      <c r="C204" s="102"/>
      <c r="D204" s="102"/>
      <c r="E204" s="102"/>
      <c r="F204" s="102"/>
      <c r="G204" s="102"/>
      <c r="H204" s="102"/>
      <c r="I204" s="102"/>
      <c r="J204" s="103"/>
      <c r="K204" s="111"/>
      <c r="L204" s="111"/>
      <c r="M204" s="112" t="str">
        <f t="shared" ref="M204" si="972">HYPERLINK("http://www.ag-fluechtlingshilfe-wetterau.de/uploads/infos/170.pdf","x")</f>
        <v>x</v>
      </c>
      <c r="N204" s="112"/>
      <c r="O204" s="112" t="str">
        <f>HYPERLINK("https://willkommensteamelmshorn.files.wordpress.com/2015/11/sortieranleitung_pinneberg_2015_russisch.pdf","x")</f>
        <v>x</v>
      </c>
      <c r="P204" s="112"/>
      <c r="Q204" s="112"/>
      <c r="R204" s="112"/>
      <c r="S204" s="112"/>
      <c r="T204" s="112"/>
      <c r="U204" s="112"/>
      <c r="V204" s="111"/>
      <c r="W204" s="112"/>
      <c r="X204" s="111"/>
      <c r="Y204" s="111"/>
      <c r="Z204" s="111"/>
      <c r="AA204" s="111"/>
      <c r="AB204" s="111"/>
      <c r="AC204" s="112" t="str">
        <f t="shared" ref="AC204:AC215" si="973">HYPERLINK("http://www.rundfunkbeitrag.de/e175/e1634/Informationsflyer_Buerginnen_und_Buerger_russisch.pdf","x")</f>
        <v>x</v>
      </c>
      <c r="AD204" s="111"/>
      <c r="AE204" s="112" t="str">
        <f>HYPERLINK("http://www.kub-berlin.org/formularprojekt/de/russisch-antraege-und-anlagen/","x")</f>
        <v>x</v>
      </c>
      <c r="AF204" s="111"/>
      <c r="AG204" s="112" t="str">
        <f t="shared" ref="AG204" si="974">HYPERLINK("http://sghanstedt.elbnetz.com/ueber-uns/","x")</f>
        <v>x</v>
      </c>
      <c r="AH204" s="111"/>
      <c r="AI204" s="111"/>
      <c r="AJ204" s="111"/>
      <c r="AK204" s="111"/>
      <c r="AL204" s="111"/>
      <c r="AM204" s="111"/>
      <c r="AN204" s="112"/>
      <c r="AO204" s="112"/>
      <c r="AP204" s="112"/>
      <c r="AQ204" s="112"/>
      <c r="AR204" s="112"/>
      <c r="AS204" s="112"/>
      <c r="AT204" s="112"/>
      <c r="AU204" s="113"/>
      <c r="AV204" s="114" t="str">
        <f t="shared" ref="AV204" si="975">HYPERLINK("http://sab.landtag.sachsen.de/dokumente/landtagskurier/SAB_DeutschLernen_DinA5_WEB141115.pdf","x")</f>
        <v>x</v>
      </c>
      <c r="AW204" s="114" t="str">
        <f t="shared" ref="AW204" si="976">HYPERLINK("http://sab.landtag.sachsen.de/dokumente/landtagskurier/SAB_PL_Lernposter_WEB091115.pdf","x")</f>
        <v>x</v>
      </c>
      <c r="AX204" s="111"/>
      <c r="AY204" s="111"/>
      <c r="AZ204" s="112" t="str">
        <f t="shared" ref="AZ204" si="97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4" s="112" t="str">
        <f t="shared" ref="BA204" si="978">HYPERLINK("http://wie-kann-ich-helfen.info/WoerterbuchAnalphabet_innen_%28c%29_Dagmar_Schmeelcke.pdf","x")</f>
        <v>x</v>
      </c>
      <c r="BB204" s="111"/>
      <c r="BC204" s="111"/>
      <c r="BD204" s="111"/>
      <c r="BE204" s="111"/>
      <c r="BF204" s="111"/>
      <c r="BG204" s="111"/>
      <c r="BH204" s="111"/>
      <c r="BI204" s="111"/>
      <c r="BJ204" s="112" t="str">
        <f t="shared" ref="BJ204:BJ215" si="979">HYPERLINK("http://www.agf-trier.de/sites/default/files/bersetzungshilfe%20russisch%20allgemein.pdf","x")</f>
        <v>x</v>
      </c>
      <c r="BK204" s="111"/>
      <c r="BL204" s="112" t="str">
        <f t="shared" ref="BL204" si="980">HYPERLINK("http://www.frnrw.de/images/Aus_den_Initiativen/Ehrenamtler/2015/Dictionary_x10_print-2.pdf","x")</f>
        <v>x</v>
      </c>
      <c r="BM204" s="111"/>
      <c r="BN204" s="111"/>
      <c r="BO204" s="111"/>
      <c r="BP204" s="111"/>
      <c r="BQ204" s="111"/>
      <c r="BR204" s="112" t="str">
        <f t="shared" ref="BR204" si="981">HYPERLINK("http://www.goethe.de/lrn/prj/wnd/deu/lti/deindex.htm#13322010","x")</f>
        <v>x</v>
      </c>
      <c r="BS204" s="112"/>
      <c r="BT204" s="111"/>
      <c r="BU204" s="112" t="str">
        <f t="shared" ref="BU204" si="982">HYPERLINK("https://s3-eu-west-1.amazonaws.com/lingolia/download/lingolia_daf.pdf","x")</f>
        <v>x</v>
      </c>
      <c r="BV204" s="112" t="str">
        <f t="shared" ref="BV204:BV215" si="983">HYPERLINK("http://www.welcomegrooves.de/wp-content/uploads/2015/10/welcomegrooves_DE-RUSSISCH.pdf","x")</f>
        <v>x</v>
      </c>
      <c r="BW204" s="112"/>
      <c r="BX204" s="112"/>
      <c r="BY204" s="112"/>
      <c r="BZ204" s="112" t="str">
        <f t="shared" ref="BZ204" si="984">HYPERLINK("http://www.hueber.de/shared/uebungen/schritte-plus","x")</f>
        <v>x</v>
      </c>
      <c r="CA204" s="112" t="str">
        <f t="shared" ref="CA204" si="985">HYPERLINK("https://www.hueber.de/shared/uebungen/menschen-hier/ab/a1-1/menu.html","x")</f>
        <v>x</v>
      </c>
      <c r="CB204" s="112" t="str">
        <f t="shared" ref="CB204" si="986">HYPERLINK("http://www.goethe-verlag.com/DE/","x")</f>
        <v>x</v>
      </c>
      <c r="CC204" s="112"/>
      <c r="CD204" s="112"/>
      <c r="CE204" s="112" t="str">
        <f t="shared" ref="CE204:CE215" si="987">HYPERLINK("http://www.agf-trier.de/sites/default/files/bersetzungshilfe%20russisch%20f%C3%BCr%20Frauen.pdf","x")</f>
        <v>x</v>
      </c>
      <c r="CF204" s="112" t="str">
        <f t="shared" ref="CF204" si="988">HYPERLINK("http://www.braunschweig.de/leben/frauen/hilfe/Ohne-Gewalt-leben.pdf","x")</f>
        <v>x</v>
      </c>
      <c r="CG204" s="112" t="str">
        <f>HYPERLINK("http://mifkjf.rlp.de/fileadmin/mifkjf/Frauen/Gewalt_gegen_Frauen/Downloads/Broschueren_Flyer/Flyer_Gewalt_russisch.pdf","x")</f>
        <v>x</v>
      </c>
      <c r="CH204" s="112" t="str">
        <f t="shared" ref="CH204:CH215" si="989">HYPERLINK("https://www.hilfetelefon.de/fileadmin/hilfetelefon_de/Materialien/Flyer/Infoflyer_Hilfetelefon_Gewalt_gegen_Frauen141105_b2.pdf","x")</f>
        <v>x</v>
      </c>
      <c r="CI204" s="112" t="str">
        <f t="shared" ref="CI204" si="990">HYPERLINK("https://www.hilfetelefon.de/fileadmin/hilfetelefon_de/Materialien/weitere_werbemittel/Klappflyer_Vorder-_und_Rueckseite_opt2.pdf","x")</f>
        <v>x</v>
      </c>
      <c r="CJ204" s="112" t="str">
        <f t="shared" ref="CJ204" si="991">HYPERLINK("http://www.e-migrantinnen.de/index.php?de_wichtige-links","x")</f>
        <v>x</v>
      </c>
      <c r="CK204" s="112" t="str">
        <f t="shared" ref="CK204" si="992">HYPERLINK("http://www.frauenberatungsstelle.de/pdf/Migrantinnen-beraten-Migrantinnen.pdf","x")</f>
        <v>x</v>
      </c>
      <c r="CL204" s="112"/>
      <c r="CM204" s="112"/>
      <c r="CN204" s="112"/>
      <c r="CO204" s="112" t="str">
        <f>HYPERLINK("http://www.schwanger-und-viele-fragen.de/ru/","x")</f>
        <v>x</v>
      </c>
      <c r="CP204" s="112"/>
      <c r="CQ204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R204" s="112"/>
      <c r="CS204" s="112"/>
      <c r="CT204" s="112" t="str">
        <f>HYPERLINK("http://www.profamilia.de/fileadmin/publikationen/Erwachsene/mehrsprachig/verhuetung_russisch_2011.pdf","x")</f>
        <v>x</v>
      </c>
      <c r="CU204" s="112" t="str">
        <f t="shared" ref="CU204:CU215" si="993">HYPERLINK("http://www.profamilia.de/fileadmin/publikationen/Erwachsene/mehrsprachig/Pille_danach_russisch_2012.pdf","x")</f>
        <v>x</v>
      </c>
      <c r="CV204" s="112" t="str">
        <f t="shared" ref="CV204:CV215" si="994">HYPERLINK("http://www.profamilia.de/fileadmin/publikationen/Reihe_Verhuetungsmethoden/Einleger_Russisch.pdf","x")</f>
        <v>x</v>
      </c>
      <c r="CW204" s="112" t="str">
        <f t="shared" ref="CW204:CW215" si="995">HYPERLINK("http://www.profamilia.de/fileadmin/publikationen/Erwachsene/mehrsprachig/schwangerschaftsabbruch_russisch.pdf","x")</f>
        <v>x</v>
      </c>
      <c r="CX204" s="112" t="str">
        <f t="shared" ref="CX204" si="996">HYPERLINK("http://www.caritas-schwarzwald-alb-donau.de/68854.html","x")</f>
        <v>x</v>
      </c>
      <c r="CY204" s="112" t="str">
        <f>HYPERLINK("http://www.dgfpi.de/tl_files/download/medien/unwissen-macht-ru.pdf","x")</f>
        <v>x</v>
      </c>
      <c r="CZ204" s="112"/>
      <c r="DA204" s="112"/>
      <c r="DB204" s="115" t="str">
        <f>HYPERLINK("http://www.kindersicherheit.de/pdf/2012_Bilderbuch-Gift-Russisch.pdf","x")</f>
        <v>x</v>
      </c>
      <c r="DC204" s="112"/>
      <c r="DD204" s="112"/>
      <c r="DE204" s="112" t="str">
        <f t="shared" ref="DE204" si="997">HYPERLINK("http://fi-lohmar-siegburg.de/data/documents/130-37_Inklusion_im_Anfangsunterricht_-_Poster_mit_Situationsbildern.pdf","x")</f>
        <v>x</v>
      </c>
      <c r="DF204" s="115" t="str">
        <f t="shared" ref="DF204" si="998">HYPERLINK("http://s3-eu-west-1.amazonaws.com/lingolia/calendar/2016/lingolia_2016_de.pdf","x")</f>
        <v>x</v>
      </c>
      <c r="DG204" s="112" t="str">
        <f t="shared" ref="DG204" si="999">HYPERLINK("http://www.bibliomedia.ch/de/angebote/img/Wimmelbild.jpg","x")</f>
        <v>x</v>
      </c>
      <c r="DH204" s="112" t="str">
        <f t="shared" ref="DH204" si="1000">HYPERLINK("http://www.bibliomedia.ch/de/angebote/dokumente/Wimmelbild_Fehler.jpg","x")</f>
        <v>x</v>
      </c>
      <c r="DI204" s="112" t="str">
        <f t="shared" ref="DI204:DI215" si="1001">HYPERLINK("http://www.bibliomedia.ch/de/angebote/dokumente/Glossar_russisch.pdf","x")</f>
        <v>x</v>
      </c>
      <c r="DJ204" s="112"/>
      <c r="DK204" s="112"/>
      <c r="DL204" s="112"/>
      <c r="DM204" s="112"/>
      <c r="DN204" s="112"/>
      <c r="DO204" s="111"/>
      <c r="DP204" s="112" t="str">
        <f t="shared" ref="DP204" si="1002">HYPERLINK("http://tipdoc.de/bus/grafik/kinder-tip/SCHULTIP_give_didacta.pdf","x")</f>
        <v>x</v>
      </c>
      <c r="DQ204" s="112" t="str">
        <f t="shared" ref="DQ204:DQ215" si="1003">HYPERLINK("https://broschueren.nordrheinwestfalendirekt.de/broschuerenservice/msw/rus-das-schulsystem-in-nordrhein-westfalen-einfach-und-schnell-erklaert/1905","x")</f>
        <v>x</v>
      </c>
      <c r="DR204" s="112" t="str">
        <f>HYPERLINK("http://bildung.koeln.de/materialbibliothek/download.php?idx=89409237e8c48c84d1f410e2c231c942","x")</f>
        <v>x</v>
      </c>
      <c r="DS204" s="112" t="str">
        <f>HYPERLINK("http://bildung.koeln.de/materialbibliothek/download.php?idx=3e35937e1b8f8986880efaf07701a323","x")</f>
        <v>x</v>
      </c>
      <c r="DT204" s="112"/>
      <c r="DU204" s="112" t="str">
        <f t="shared" ref="DU204:DU215" si="1004">HYPERLINK("https://www.bmbf.de/pub/Kausa_Elternbroschuere_russisch.pdf","x")</f>
        <v>x</v>
      </c>
      <c r="DV204" s="112"/>
      <c r="DW204" s="112"/>
      <c r="DX204" s="112" t="str">
        <f t="shared" ref="DX204:DX215" si="1005">HYPERLINK("http://www.bamf.de/SharedDocs/Anlagen/DE/Publikationen/Flyer/AnerkennungBerufsabschluss/berufliche_anerkennung_akademische-heilberufe_ru.pdf?__blob=publicationFile","x")</f>
        <v>x</v>
      </c>
      <c r="DY204" s="112" t="str">
        <f t="shared" ref="DY204:DY215" si="1006">HYPERLINK("http://www.bamf.de/SharedDocs/Anlagen/RU/Publikationen/Flyer/AnerkennungBerufsabschluss/anerkennung-berufsabschluss.pdf?__blob=publicationFile","x")</f>
        <v>x</v>
      </c>
      <c r="DZ204" s="112" t="str">
        <f t="shared" ref="DZ204:DZ215" si="1007">HYPERLINK("http://www.bamf.de/SharedDocs/Anlagen/RU/Publikationen/Flyer/AnerkennungBerufsabschluss/anerkennung-berufsabschluss_ausland.pdf?__blob=publicationFile","x")</f>
        <v>x</v>
      </c>
      <c r="EA204" s="112" t="str">
        <f t="shared" ref="EA204:EA215" si="1008">HYPERLINK("http://www.bamf.de/SharedDocs/Anlagen/DE/Publikationen/Broschueren/willkommen-in-deutschland-info-blaue-karte-eu_ru.pdf?__blob=publicationFile","x")</f>
        <v>x</v>
      </c>
      <c r="EB204" s="112" t="str">
        <f t="shared" ref="EB204:EB215" si="1009">HYPERLINK("http://www.bamf.de/SharedDocs/Anlagen/RU/Publikationen/Flyer/Berufsbezsprachf-ESF-BAMF/berufsbezsprachf-esf-bamf.pdf?__blob=publicationFile","x")</f>
        <v>x</v>
      </c>
      <c r="EC204" s="111"/>
      <c r="ED204" s="111"/>
      <c r="EE204" s="111"/>
      <c r="EF204" s="111"/>
      <c r="EG204" s="111"/>
      <c r="EH204" s="111"/>
      <c r="EI204" s="112"/>
      <c r="EJ204" s="112"/>
      <c r="EK204" s="112"/>
      <c r="EL204" s="112" t="str">
        <f t="shared" ref="EL204:EL215" si="1010">HYPERLINK("http://www.kvs-sachsen.de/fileadmin/img/Mitglieder/Asylbewerber/Allg-Informationen/Anlage_1_Russisch_LEK.pdf","x")</f>
        <v>x</v>
      </c>
      <c r="EM204" s="112" t="str">
        <f t="shared" ref="EM204" si="1011">HYPERLINK("http://www.medizin-hilft-fluechtlingen.de/images/Dokumente/gSch/gSch_ru.pdf","x")</f>
        <v>x</v>
      </c>
      <c r="EN204" s="111"/>
      <c r="EO204" s="117" t="str">
        <f t="shared" ref="EO204" si="1012">HYPERLINK("http://www.medi-bild.de/pdf/anamnese/Welche_Sprache.pdf","x")</f>
        <v>x</v>
      </c>
      <c r="EP204" s="117" t="str">
        <f t="shared" ref="EP204" si="1013">HYPERLINK("http://www.armut-gesundheit.de/fileadmin/redakteur/dokumente/Anamnesebogen%20-%20russischnew.pdf","x")</f>
        <v>x</v>
      </c>
      <c r="EQ204" s="112" t="str">
        <f t="shared" ref="EQ204:EQ215" si="1014">HYPERLINK("http://www.kvs-sachsen.de/fileadmin/img/Mitglieder/Asylbewerber/Allg-Informationen/Anlagen_2-1_2-2_Russisch_LEK.pdf","x")</f>
        <v>x</v>
      </c>
      <c r="ER204" s="111"/>
      <c r="ES204" s="111"/>
      <c r="ET204" s="111"/>
      <c r="EU204" s="111"/>
      <c r="EV204" s="112" t="str">
        <f t="shared" ref="EV204:EV215" si="1015">HYPERLINK("http://www.lak-rlp.de/fileadmin/redakteure/pdf/download/Piktogramme_Dosieretiketten_AoG.pdf","x")</f>
        <v>x</v>
      </c>
      <c r="EW204" s="112" t="str">
        <f t="shared" ref="EW204:EW215" si="1016">HYPERLINK("http://www.rki.de/DE/Content/Infekt/IfSG/Belehrungsbogen/belehrungsbogen_eltern_russisch.pdf?__blob=publicationFile","x")</f>
        <v>x</v>
      </c>
      <c r="EX204" s="112" t="str">
        <f t="shared" ref="EX204" si="1017">HYPERLINK("http://www.bzga.de/infomaterialien/?sid=236","x")</f>
        <v>x</v>
      </c>
      <c r="EY204" s="112" t="str">
        <f t="shared" ref="EY204:EY215" si="1018">HYPERLINK("https://www.mh-hannover.de/fileadmin/mhh/bilder/aktuelles_presse/presseinformationen_news/-Pilzvergif_RUSSISCH_2.pdf","x")</f>
        <v>x</v>
      </c>
      <c r="EZ204" s="112"/>
      <c r="FA204" s="111"/>
      <c r="FB204" s="111"/>
      <c r="FC204" s="112" t="str">
        <f t="shared" ref="FC204" si="1019">HYPERLINK("http://mige.ix-tech.de/index.php?id=241","x")</f>
        <v>x</v>
      </c>
      <c r="FD204" s="112" t="str">
        <f t="shared" ref="FD204" si="1020">HYPERLINK("http://sghanstedt.elbnetz.com/ueber-uns/","x")</f>
        <v>x</v>
      </c>
      <c r="FE204" s="111"/>
      <c r="FF204" s="112" t="str">
        <f t="shared" ref="FF204" si="1021">HYPERLINK("http://www.tipdoc.de/grafik/asyl/Gesundheitsheft_Asyl.pdf","x")</f>
        <v>x</v>
      </c>
      <c r="FG204" s="111"/>
      <c r="FH204" s="111"/>
      <c r="FI204" s="112"/>
      <c r="FJ204" s="112" t="str">
        <f t="shared" ref="FJ204" si="1022">HYPERLINK("http://www.rki.de/DE/Content/Infekt/Impfen/Materialien/Downloads-Impfkalender/Impfkalender_Russisch.pdf?__blob=publicationFile","x")</f>
        <v>x</v>
      </c>
      <c r="FK204" s="112" t="str">
        <f t="shared" ref="FK204" si="1023">HYPERLINK("http://www.ethno-medizinisches-zentrum.de/images/PDF-Files/impfwegweiser_russisch_2013_online.pdf","x")</f>
        <v>x</v>
      </c>
      <c r="FL204" s="112"/>
      <c r="FM204" s="112" t="str">
        <f t="shared" ref="FM204:FM215" si="1024">HYPERLINK("http://www.rki.de/DE/Content/Infekt/Impfen/Materialien/Glossar-Downloads/glossar-de-russisch.pdf?__blob=publicationFile","x")</f>
        <v>x</v>
      </c>
      <c r="FN204" s="112" t="str">
        <f>HYPERLINK("http://tvoyashkola10.ru/img/VPD-Signs,-symptoms-and-complications-RUS.pdf","x")</f>
        <v>x</v>
      </c>
      <c r="FO204" s="112" t="str">
        <f t="shared" ref="FO204:FO215" si="1025">HYPERLINK("http://www.rki.de/DE/Content/Infekt/Impfen/Materialien/Downloads-MMR/MMR-Impfinfo-russisch.pdf?__blob=publicationFile","x")</f>
        <v>x</v>
      </c>
      <c r="FP204" s="112"/>
      <c r="FQ204" s="112" t="str">
        <f t="shared" ref="FQ204:FQ215" si="1026">HYPERLINK("http://www.rki.de/DE/Content/Infekt/Impfen/Materialien/Downloads_HepA/Aufklaerung_HAV-Impfung_Russisch.pdf?__blob=publicationFile","x")</f>
        <v>x</v>
      </c>
      <c r="FR204" s="112" t="str">
        <f t="shared" ref="FR204:FR215" si="1027">HYPERLINK("http://www.rki.de/DE/Content/Infekt/Impfen/Materialien/Downloads_Pneumokokken/Aufklaerung_Pneumo-Impfung_Russisch.pdf?__blob=publicationFile","x")</f>
        <v>x</v>
      </c>
      <c r="FS204" s="112" t="str">
        <f t="shared" ref="FS204:FS215" si="1028">HYPERLINK("http://www.rki.de/DE/Content/Infekt/Impfen/Materialien/Downloads-DTaPIPVHibHepB/DTaPIPVHibHepB-russisch.pdf?__blob=publicationFile","x")</f>
        <v>x</v>
      </c>
      <c r="FT204" s="112" t="str">
        <f t="shared" ref="FT204:FT215" si="1029">HYPERLINK("http://www.rki.de/DE/Content/Infekt/Impfen/Materialien/Downloads-Varizellen/Varizellen-Impfinfo-russisch.pdf;jsessionid=65B697F4EE7EDA8A1ED9E2C4CD6C74EC.2_cid363?__blob=publicationFile","x")</f>
        <v>x</v>
      </c>
      <c r="FU204" s="112" t="str">
        <f t="shared" ref="FU204:FU215" si="1030">HYPERLINK("http://www.rki.de/DE/Content/Infekt/Impfen/Materialien/Downloads-Tdap-IPV/Tdap-IPV-russisch.pdf?__blob=publicationFile","x")</f>
        <v>x</v>
      </c>
      <c r="FV204" s="112" t="str">
        <f t="shared" ref="FV204:FV215" si="1031">HYPERLINK("http://www.rki.de/DE/Content/Infekt/Impfen/Materialien/Downloads-Influenza_nasal/Influenza_nasal-russisch.pdf?__blob=publicationFile","x")</f>
        <v>x</v>
      </c>
      <c r="FW204" s="112" t="str">
        <f t="shared" ref="FW204:FW215" si="1032">HYPERLINK("http://www.medical-tribune.de/fileadmin/PDF/PI_Arthrose_russ.pdf","x")</f>
        <v>x</v>
      </c>
      <c r="FX204" s="112" t="str">
        <f t="shared" ref="FX204:FX215" si="1033">HYPERLINK("http://www.medical-tribune.de/fileadmin/PDF/Astma_russisch.pdf","x")</f>
        <v>x</v>
      </c>
      <c r="FY204" s="112" t="str">
        <f t="shared" ref="FY204:FY215" si="1034">HYPERLINK("http://www.medical-tribune.de/fileadmin/PDF/Bluthochdruck_russisch.pdf","x")</f>
        <v>x</v>
      </c>
      <c r="FZ204" s="112" t="str">
        <f t="shared" ref="FZ204:FZ215" si="1035">HYPERLINK("http://www.medical-tribune.de/fileadmin/PDF/Cholesterin_russisch.pdf","x")</f>
        <v>x</v>
      </c>
      <c r="GA204" s="112" t="str">
        <f t="shared" ref="GA204:GA215" si="1036">HYPERLINK("http://www.medical-tribune.de/fileadmin/PDF/COPD-Bronchitis-russ.pdf","x")</f>
        <v>x</v>
      </c>
      <c r="GB204" s="112" t="str">
        <f t="shared" ref="GB204:GB215" si="1037">HYPERLINK("http://www.medical-tribune.de/fileadmin/PDF/PI_Demenz_russ.pdf","x")</f>
        <v>x</v>
      </c>
      <c r="GC204" s="112" t="str">
        <f t="shared" ref="GC204" si="1038">HYPERLINK("http://www.ethno-medizinisches-zentrum.de/images/PDF-Files/lf_diabete_russisch.pdf","x")</f>
        <v>x</v>
      </c>
      <c r="GD204" s="112" t="str">
        <f t="shared" ref="GD204:GD215" si="1039">HYPERLINK("http://www.medical-tribune.de/fileadmin/PDF/PI_Divertikel_russ.pdf","x")</f>
        <v>x</v>
      </c>
      <c r="GE204" s="112" t="str">
        <f>HYPERLINK("http://www.medical-tribune.de/fileadmin/PDF/PAVK_russ.pdf","x")</f>
        <v>x</v>
      </c>
      <c r="GF204" s="112" t="str">
        <f t="shared" ref="GF204:GF215" si="1040">HYPERLINK("http://www.medical-tribune.de/fileadmin/PDF/PI_Gallensteine_russ.pdf","x")</f>
        <v>x</v>
      </c>
      <c r="GG204" s="112" t="str">
        <f t="shared" ref="GG204:GG215" si="1041">HYPERLINK("http://www.medical-tribune.de/fileadmin/PDF/Gicht_russisch.pdf","x")</f>
        <v>x</v>
      </c>
      <c r="GH204" s="112" t="str">
        <f t="shared" ref="GH204" si="1042">HYPERLINK("http://www.tipdoc.de/bus/pdf/hepatitis/Hep_B_Webseite.pdf","x")</f>
        <v>x</v>
      </c>
      <c r="GI204" s="112" t="str">
        <f t="shared" ref="GI204" si="1043">HYPERLINK("http://www.tipdoc.de/bus/pdf/hepatitis/Hep_C_Webseite.pdf","x")</f>
        <v>x</v>
      </c>
      <c r="GJ204" s="112" t="str">
        <f t="shared" ref="GJ204" si="1044">HYPERLINK("http://www.tipdoc.de/bus/pdf/hiv/HIV%20SRF_Webseite.pdf","x")</f>
        <v>x</v>
      </c>
      <c r="GK204" s="111"/>
      <c r="GL204" s="112" t="str">
        <f t="shared" ref="GL204:GL215" si="1045">HYPERLINK("http://www.rki.de/DE/Content/Infekt/Impfen/Materialien/Downloads-Influenza/Influenza-russisch.pdf?__blob=publicationFile","x")</f>
        <v>x</v>
      </c>
      <c r="GM204" s="112" t="str">
        <f t="shared" ref="GM204:GM215" si="1046">HYPERLINK("http://www.medical-tribune.de/fileadmin/PDF/PI_Erkaeltung_russ.pdf","x")</f>
        <v>x</v>
      </c>
      <c r="GN204" s="112"/>
      <c r="GO204" s="112" t="str">
        <f t="shared" ref="GO204" si="1047">HYPERLINK("http://www.tipdoc.de/grafik/pdf/kopflaeuse/Kopflaeuse_RUSS.pdf","x")</f>
        <v>x</v>
      </c>
      <c r="GP204" s="112" t="str">
        <f>HYPERLINK("http://www.bing.com/search?q=Medical+tribune+KHK+russ&amp;qs=n&amp;form=QBRE&amp;pq=medical+tribune+khk+russ&amp;sc=0-16&amp;sp=-1&amp;sk=&amp;cvid=9C7440E0A0144B029D31F2004BF1F219","x")</f>
        <v>x</v>
      </c>
      <c r="GQ204" s="112" t="str">
        <f t="shared" ref="GQ204" si="1048">HYPERLINK("http://www.tipdoc.com/bus/pdf/kraetze/tipdoc_Scabies_RUSS.pdf","x")</f>
        <v>x</v>
      </c>
      <c r="GR204" s="112" t="str">
        <f t="shared" ref="GR204" si="1049">HYPERLINK("http://www.tipdoc.com/bus/pdf/MagenDarmHaende/MagenDarmHaende_RUSS.pdf","x")</f>
        <v>x</v>
      </c>
      <c r="GS204" s="112" t="str">
        <f t="shared" ref="GS204:GS215" si="1050">HYPERLINK("http://www.medical-tribune.de/fileadmin/PDF/Migraene_russ.pdf","x")</f>
        <v>x</v>
      </c>
      <c r="GT204" s="112" t="str">
        <f t="shared" ref="GT204:GT215" si="1051">HYPERLINK("http://www.medical-tribune.de/fileadmin/PDF/Rueckenschmerzen_russisch.pdf","x")</f>
        <v>x</v>
      </c>
      <c r="GU204" s="112" t="str">
        <f t="shared" ref="GU204:GU215" si="1052">HYPERLINK("http://www.medical-tribune.de/fileadmin/PDF/Schlafapnoe_russisch.pdf","x")</f>
        <v>x</v>
      </c>
      <c r="GV204" s="112" t="str">
        <f t="shared" ref="GV204:GV215" si="1053">HYPERLINK("http://www.medical-tribune.de/fileadmin/PDF/Schlafstoerungen_russisch.pdf","x")</f>
        <v>x</v>
      </c>
      <c r="GW204" s="112" t="str">
        <f t="shared" ref="GW204:GW215" si="1054">HYPERLINK("http://www.medical-tribune.de/fileadmin/PDF/Schwindel_russisch.pdf","x")</f>
        <v>x</v>
      </c>
      <c r="GX204" s="112" t="str">
        <f t="shared" ref="GX204:GX215" si="1055">HYPERLINK("http://www.medical-tribune.de/fileadmin/PDF/Sodbrennen_russisch.pdf","x")</f>
        <v>x</v>
      </c>
      <c r="GY204" s="112" t="str">
        <f t="shared" ref="GY204:GY215" si="1056">HYPERLINK("http://www.medical-tribune.de/fileadmin/PDF/Sportverletzungen_russisch.pdf","x")</f>
        <v>x</v>
      </c>
      <c r="GZ204" s="112" t="str">
        <f t="shared" ref="GZ204:GZ215" si="1057">HYPERLINK("http://www.medical-tribune.de/fileadmin/PDF/Thrombose_russisch.pdf","x")</f>
        <v>x</v>
      </c>
      <c r="HA204" s="112" t="str">
        <f>HYPERLINK("http://www.medical-tribune.de/fileadmin/PDF/Verstopfung_russisch.pdf","x")</f>
        <v>x</v>
      </c>
      <c r="HB204" s="112" t="str">
        <f t="shared" si="628"/>
        <v>x</v>
      </c>
      <c r="HC204" s="111"/>
      <c r="HD204" s="111"/>
      <c r="HE204" s="111"/>
      <c r="HF204" s="111"/>
      <c r="HG204" s="111"/>
      <c r="HH204" s="112" t="str">
        <f>HYPERLINK("http://www.bvkm.de/fileadmin/web_data/Behinderung_und_Migation_russisch_2014.pdf","x")</f>
        <v>x</v>
      </c>
      <c r="HI204" s="111"/>
      <c r="HJ204" s="112"/>
      <c r="HK204" s="112" t="str">
        <f t="shared" ref="HK204" si="1058">HYPERLINK("http://www.ethno-medizinisches-zentrum.de/images/PDF-Files/lf_depression_rus.pdf","x")</f>
        <v>x</v>
      </c>
      <c r="HL204" s="112"/>
      <c r="HM204" s="112"/>
      <c r="HN204" s="112"/>
      <c r="HO204" s="112"/>
      <c r="HP204" s="112"/>
      <c r="HQ204" s="112"/>
      <c r="HR204" s="112"/>
      <c r="HS204" s="112"/>
      <c r="HT204" s="112"/>
      <c r="HU204" s="112"/>
      <c r="HV204" s="112" t="str">
        <f t="shared" ref="HV204:HV215" si="1059">HYPERLINK("http://www.medical-tribune.de/fileadmin/PDF/RestlessLegs_russ.pdf","x")</f>
        <v>x</v>
      </c>
      <c r="HW204" s="112" t="str">
        <f>HYPERLINK("http://www.bkk-psychisch-gesund.de/fileadmin/user_upload/bkk-psychisch-gesund.de/PDFs/Migrantenwegweiser_Psychotherpie_russisch.pdf","x")</f>
        <v>x</v>
      </c>
      <c r="HX204" s="112" t="str">
        <f t="shared" ref="HX204" si="1060">HYPERLINK("http://www.selfhelpfortrauma.org/","x")</f>
        <v>x</v>
      </c>
      <c r="HY204" s="112" t="str">
        <f t="shared" ref="HY204" si="1061">HYPERLINK("http://peacefulheart.se/wp-content/uploads/2014/12/Resolving-Yesterday-20141201-Self-Tapping.pdf","x")</f>
        <v>x</v>
      </c>
      <c r="HZ204" s="112"/>
      <c r="IA204" s="112"/>
      <c r="IB204" s="112"/>
      <c r="IC204" s="112"/>
      <c r="ID204" s="112"/>
      <c r="IE204" s="112"/>
      <c r="IF204" s="112"/>
      <c r="IG204" s="112" t="str">
        <f t="shared" ref="IG204" si="1062">HYPERLINK("http://www.ethno-medizinisches-zentrum.de/images/PDF-Files/lf_mediensucht_ru_geschutzt.pdf","x")</f>
        <v>x</v>
      </c>
      <c r="IH204" s="112" t="str">
        <f t="shared" ref="IH204:IH215" si="1063">HYPERLINK("http://www.caritas.de/hilfeundberatung/onlineberatung/suchtberatung/haeufiggestelltefragensucht/haeufiggestelltefragen-sucht","x")</f>
        <v>x</v>
      </c>
      <c r="II204" s="112" t="str">
        <f t="shared" ref="II204:II215" si="1064">HYPERLINK("http://www.bzga.de/infomaterialien/suchtvorbeugung/","x")</f>
        <v>x</v>
      </c>
      <c r="IJ204" s="112" t="str">
        <f t="shared" ref="IJ204:IJ215" si="1065">HYPERLINK("http://www.bamf.de/SharedDocs/Anlagen/RU/Publikationen/Flyer/Lassen-Sie-Sich-Beraten/lassen-sie-sich-beraten.pdf?__blob=publicationFile","x")</f>
        <v>x</v>
      </c>
      <c r="IK204" s="112" t="str">
        <f t="shared" ref="IK204:IK215" si="1066">HYPERLINK("http://www.bamf.de/SharedDocs/Anlagen/DE/Publikationen/Flyer/flyer-erstorientierung-asylsuchende_russisch.pdf?__blob=publicationFile","x")</f>
        <v>x</v>
      </c>
      <c r="IL204" s="111"/>
      <c r="IM204" s="112" t="str">
        <f t="shared" ref="IM204:IM215" si="1067">HYPERLINK("https://www.bamf.de/SharedDocs/Anlagen/RU/Publikationen/Broschueren/willkommen-in-deutschland-ru.pdf?__blob=publicationFile","x")</f>
        <v>x</v>
      </c>
      <c r="IN204" s="112"/>
      <c r="IO204" s="111"/>
      <c r="IP204" s="112" t="str">
        <f t="shared" ref="IP204:IP215" si="1068">HYPERLINK("http://www.bamf.de/SharedDocs/Anlagen/RU/Publikationen/Flyer/Lernen-Sie-Deutsch/lernen-sie-deutsch.pdf?__blob=publicationFile","x")</f>
        <v>x</v>
      </c>
      <c r="IQ204" s="112"/>
      <c r="IR204" s="111"/>
      <c r="IS204" s="111"/>
      <c r="IT204" s="111"/>
      <c r="IU204" s="112" t="str">
        <f t="shared" ref="IU204:IU215" si="1069">HYPERLINK("http://www.asyl.net/fileadmin/user_upload/infoblatt_anhoerung/Infoblatt_2015_russ_fin.pdf","x")</f>
        <v>x</v>
      </c>
      <c r="IV204" s="112"/>
      <c r="IW204" s="112" t="str">
        <f t="shared" ref="IW204:IW215" si="1070">HYPERLINK("http://www.berlin.de/labo/willkommen-in-berlin/service/downloads/artikel.273193.php","x")</f>
        <v>x</v>
      </c>
      <c r="IX204" s="112" t="str">
        <f t="shared" ref="IX204:IX215" si="1071">HYPERLINK("http://www.bamf.de/SharedDocs/Anlagen/RU/Publikationen/Broschueren/broschuere-eat-a4.pdf?__blob=publicationFile","x")</f>
        <v>x</v>
      </c>
      <c r="IY204" s="111"/>
      <c r="IZ204" s="112" t="str">
        <f t="shared" ref="IZ204" si="1072">HYPERLINK("http://fluechtlingsrat-bw.de/informationen-fuer-fluechtlinge.html","x")</f>
        <v>x</v>
      </c>
      <c r="JA204" s="111"/>
      <c r="JB204" s="112"/>
      <c r="JC204" s="111"/>
      <c r="JD204" s="112"/>
      <c r="JE204" s="112"/>
      <c r="JF204" s="112" t="str">
        <f t="shared" ref="JF204:JF215" si="1073">HYPERLINK("http://www.bamf.de/SharedDocs/Anlagen/RU/Publikationen/Flyer/Ehegattennachzug/ehegattennachzug.pdf?__blob=publicationFile","x")</f>
        <v>x</v>
      </c>
      <c r="JG204" s="112"/>
      <c r="JH204" s="111"/>
      <c r="JI204" s="112"/>
      <c r="JJ204" s="112"/>
      <c r="JK204" s="112" t="str">
        <f>HYPERLINK("http://www.kub-berlin.org/formularprojekt/de/russisch-antraege-und-anlagen/","x")</f>
        <v>x</v>
      </c>
      <c r="JL204" s="112" t="str">
        <f t="shared" ref="JL204:JL215" si="1074">HYPERLINK("https://www.arbeitsagentur.de/web/content/DE/Formulare/Detail/index.htm?dfContentId=L6019022DSTBAI485740","x")</f>
        <v>x</v>
      </c>
      <c r="JM204" s="112"/>
      <c r="JN204" s="112"/>
      <c r="JO204" s="112"/>
      <c r="JP204" s="112"/>
      <c r="JQ204" s="112" t="str">
        <f t="shared" ref="JQ204:JQ215" si="1075">HYPERLINK("http://www.ibla-germany.de/merkblaetter.php","x")</f>
        <v>x</v>
      </c>
      <c r="JR204" s="112"/>
      <c r="JS204" s="112" t="str">
        <f t="shared" ref="JS204:JS215" si="1076">HYPERLINK("http://www.b-umf.de/images/willkommensbroschurerussisch-web.pdf","x")</f>
        <v>x</v>
      </c>
      <c r="JT204" s="111"/>
      <c r="JU204" s="111"/>
      <c r="JV204" s="112"/>
      <c r="JW204" s="112"/>
      <c r="JX204" s="112"/>
      <c r="JY204" s="112"/>
      <c r="JZ204" s="112"/>
      <c r="KA204" s="112" t="str">
        <f t="shared" ref="KA204" si="1077">HYPERLINK("http://www.refugeeguide.de/dl/RefugeeGuide_ru_1207.pdf","x")</f>
        <v>x</v>
      </c>
      <c r="KB204" s="111"/>
      <c r="KC204" s="112" t="str">
        <f t="shared" ref="KC204:KC215" si="1078">HYPERLINK("http://www.wedel.de/fileadmin/user_upload/media/pdf/Rathaus_und_Politik/20160118_PM_Broschuere.pdf","x")</f>
        <v>x</v>
      </c>
      <c r="KD204" s="112"/>
      <c r="KE204" s="112" t="str">
        <f t="shared" ref="KE204" si="1079">HYPERLINK("http://sab.landtag.sachsen.de/dokumente/landtagskurier/Grundwerte-A5-international_web_08012016.pdf","x")</f>
        <v>x</v>
      </c>
      <c r="KF204" s="112"/>
      <c r="KG204" s="112"/>
      <c r="KH204" s="112"/>
      <c r="KI204" s="112"/>
      <c r="KJ204" s="112"/>
      <c r="KK204" s="112"/>
      <c r="KL204" s="112"/>
      <c r="KM204" s="112"/>
      <c r="KN204" s="112"/>
      <c r="KO204" s="112"/>
      <c r="KP204" s="112"/>
      <c r="KQ204" s="112"/>
      <c r="KR204" s="112"/>
      <c r="KS204" s="112"/>
      <c r="KT204" s="112"/>
      <c r="KU204" s="112"/>
      <c r="KV204" s="112"/>
      <c r="KW204" s="112"/>
      <c r="KX204" s="112"/>
      <c r="KY204" s="112"/>
      <c r="KZ204" s="112"/>
      <c r="LA204" s="112"/>
      <c r="LB204" s="111"/>
      <c r="LC204" s="111"/>
      <c r="LD204" s="111"/>
      <c r="LE204" s="111"/>
      <c r="LF204" s="111"/>
      <c r="LG204" s="111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1"/>
      <c r="LU204" s="111"/>
      <c r="LV204" s="111"/>
      <c r="LW204" s="111"/>
      <c r="LX204" s="111"/>
      <c r="LY204" s="111"/>
      <c r="LZ204" s="111"/>
      <c r="MA204" s="111"/>
      <c r="MB204" s="111"/>
      <c r="MC204" s="112" t="str">
        <f t="shared" ref="MC204:MC215" si="1080">HYPERLINK("http://www.rki.de/DE/Content/Infekt/IfSG/Belehrungsbogen/belehrungsbogen_lebensmittel_russisch.pdf?__blob=publicationFile","x")</f>
        <v>x</v>
      </c>
      <c r="MD204" s="111"/>
      <c r="ME204" s="111"/>
      <c r="MF204" s="111"/>
      <c r="MG204" s="111"/>
      <c r="MH204" s="112" t="str">
        <f t="shared" ref="MH204:MH215" si="1081">HYPERLINK("http://www.kindersicherheit.de/pdf/2012_poster_achtunggiftig_8sprachig.pdf","x")</f>
        <v>x</v>
      </c>
    </row>
    <row r="205" spans="1:346" x14ac:dyDescent="0.25">
      <c r="A205" s="110" t="s">
        <v>7</v>
      </c>
      <c r="B205" s="101" t="s">
        <v>412</v>
      </c>
      <c r="C205" s="102"/>
      <c r="D205" s="102"/>
      <c r="E205" s="102"/>
      <c r="F205" s="102"/>
      <c r="G205" s="102"/>
      <c r="H205" s="102"/>
      <c r="I205" s="102"/>
      <c r="J205" s="103"/>
      <c r="K205" s="111"/>
      <c r="L205" s="111"/>
      <c r="M205" s="112" t="str">
        <f t="shared" ref="M205:M215" si="1082">HYPERLINK("http://www.ag-fluechtlingshilfe-wetterau.de/uploads/infos/170.pdf","x")</f>
        <v>x</v>
      </c>
      <c r="N205" s="112"/>
      <c r="O205" s="112" t="str">
        <f t="shared" ref="O205:O215" si="1083">HYPERLINK("https://willkommensteamelmshorn.files.wordpress.com/2015/11/sortieranleitung_pinneberg_2015_russisch.pdf","x")</f>
        <v>x</v>
      </c>
      <c r="P205" s="112"/>
      <c r="Q205" s="112"/>
      <c r="R205" s="112"/>
      <c r="S205" s="112"/>
      <c r="T205" s="112"/>
      <c r="U205" s="112"/>
      <c r="V205" s="111"/>
      <c r="W205" s="112"/>
      <c r="X205" s="111"/>
      <c r="Y205" s="111"/>
      <c r="Z205" s="111"/>
      <c r="AA205" s="111"/>
      <c r="AB205" s="111"/>
      <c r="AC205" s="112" t="str">
        <f t="shared" si="973"/>
        <v>x</v>
      </c>
      <c r="AD205" s="111"/>
      <c r="AE205" s="112" t="str">
        <f t="shared" ref="AE205:AE215" si="1084">HYPERLINK("http://www.kub-berlin.org/formularprojekt/de/russisch-antraege-und-anlagen/","x")</f>
        <v>x</v>
      </c>
      <c r="AF205" s="111"/>
      <c r="AG205" s="112" t="str">
        <f t="shared" ref="AG205:AG215" si="1085">HYPERLINK("http://sghanstedt.elbnetz.com/ueber-uns/","x")</f>
        <v>x</v>
      </c>
      <c r="AH205" s="111"/>
      <c r="AI205" s="111"/>
      <c r="AJ205" s="111"/>
      <c r="AK205" s="111"/>
      <c r="AL205" s="111"/>
      <c r="AM205" s="111"/>
      <c r="AN205" s="112"/>
      <c r="AO205" s="112"/>
      <c r="AP205" s="112"/>
      <c r="AQ205" s="112"/>
      <c r="AR205" s="112"/>
      <c r="AS205" s="112"/>
      <c r="AT205" s="112"/>
      <c r="AU205" s="113"/>
      <c r="AV205" s="114" t="str">
        <f t="shared" ref="AV205:AV215" si="1086">HYPERLINK("http://sab.landtag.sachsen.de/dokumente/landtagskurier/SAB_DeutschLernen_DinA5_WEB141115.pdf","x")</f>
        <v>x</v>
      </c>
      <c r="AW205" s="114" t="str">
        <f t="shared" ref="AW205:AW215" si="1087">HYPERLINK("http://sab.landtag.sachsen.de/dokumente/landtagskurier/SAB_PL_Lernposter_WEB091115.pdf","x")</f>
        <v>x</v>
      </c>
      <c r="AX205" s="111"/>
      <c r="AY205" s="111"/>
      <c r="AZ205" s="112" t="str">
        <f t="shared" ref="AZ205:AZ215" si="1088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5" s="112" t="str">
        <f t="shared" ref="BA205:BA215" si="1089">HYPERLINK("http://wie-kann-ich-helfen.info/WoerterbuchAnalphabet_innen_%28c%29_Dagmar_Schmeelcke.pdf","x")</f>
        <v>x</v>
      </c>
      <c r="BB205" s="111"/>
      <c r="BC205" s="111"/>
      <c r="BD205" s="111"/>
      <c r="BE205" s="111"/>
      <c r="BF205" s="111"/>
      <c r="BG205" s="111"/>
      <c r="BH205" s="111"/>
      <c r="BI205" s="111"/>
      <c r="BJ205" s="112" t="str">
        <f t="shared" si="979"/>
        <v>x</v>
      </c>
      <c r="BK205" s="111"/>
      <c r="BL205" s="112" t="str">
        <f t="shared" ref="BL205:BL215" si="1090">HYPERLINK("http://www.frnrw.de/images/Aus_den_Initiativen/Ehrenamtler/2015/Dictionary_x10_print-2.pdf","x")</f>
        <v>x</v>
      </c>
      <c r="BM205" s="111"/>
      <c r="BN205" s="111"/>
      <c r="BO205" s="111"/>
      <c r="BP205" s="111"/>
      <c r="BQ205" s="111"/>
      <c r="BR205" s="112" t="str">
        <f t="shared" ref="BR205:BR215" si="1091">HYPERLINK("http://www.goethe.de/lrn/prj/wnd/deu/lti/deindex.htm#13322010","x")</f>
        <v>x</v>
      </c>
      <c r="BS205" s="112"/>
      <c r="BT205" s="111"/>
      <c r="BU205" s="112" t="str">
        <f t="shared" ref="BU205:BU215" si="1092">HYPERLINK("https://s3-eu-west-1.amazonaws.com/lingolia/download/lingolia_daf.pdf","x")</f>
        <v>x</v>
      </c>
      <c r="BV205" s="112" t="str">
        <f t="shared" si="983"/>
        <v>x</v>
      </c>
      <c r="BW205" s="112"/>
      <c r="BX205" s="112"/>
      <c r="BY205" s="112"/>
      <c r="BZ205" s="112" t="str">
        <f t="shared" ref="BZ205:BZ215" si="1093">HYPERLINK("http://www.hueber.de/shared/uebungen/schritte-plus","x")</f>
        <v>x</v>
      </c>
      <c r="CA205" s="112" t="str">
        <f t="shared" ref="CA205:CA215" si="1094">HYPERLINK("https://www.hueber.de/shared/uebungen/menschen-hier/ab/a1-1/menu.html","x")</f>
        <v>x</v>
      </c>
      <c r="CB205" s="112" t="str">
        <f t="shared" ref="CB205:CB215" si="1095">HYPERLINK("http://www.goethe-verlag.com/DE/","x")</f>
        <v>x</v>
      </c>
      <c r="CC205" s="112"/>
      <c r="CD205" s="112"/>
      <c r="CE205" s="112" t="str">
        <f t="shared" si="987"/>
        <v>x</v>
      </c>
      <c r="CF205" s="112" t="str">
        <f t="shared" ref="CF205:CF215" si="1096">HYPERLINK("http://www.braunschweig.de/leben/frauen/hilfe/Ohne-Gewalt-leben.pdf","x")</f>
        <v>x</v>
      </c>
      <c r="CG205" s="112" t="str">
        <f t="shared" ref="CG205:CG215" si="1097">HYPERLINK("http://mifkjf.rlp.de/fileadmin/mifkjf/Frauen/Gewalt_gegen_Frauen/Downloads/Broschueren_Flyer/Flyer_Gewalt_russisch.pdf","x")</f>
        <v>x</v>
      </c>
      <c r="CH205" s="112" t="str">
        <f t="shared" si="989"/>
        <v>x</v>
      </c>
      <c r="CI205" s="112" t="str">
        <f t="shared" ref="CI205:CI215" si="1098">HYPERLINK("https://www.hilfetelefon.de/fileadmin/hilfetelefon_de/Materialien/weitere_werbemittel/Klappflyer_Vorder-_und_Rueckseite_opt2.pdf","x")</f>
        <v>x</v>
      </c>
      <c r="CJ205" s="112" t="str">
        <f t="shared" ref="CJ205:CJ215" si="1099">HYPERLINK("http://www.e-migrantinnen.de/index.php?de_wichtige-links","x")</f>
        <v>x</v>
      </c>
      <c r="CK205" s="112" t="str">
        <f t="shared" ref="CK205:CK215" si="1100">HYPERLINK("http://www.frauenberatungsstelle.de/pdf/Migrantinnen-beraten-Migrantinnen.pdf","x")</f>
        <v>x</v>
      </c>
      <c r="CL205" s="112"/>
      <c r="CM205" s="112"/>
      <c r="CN205" s="112"/>
      <c r="CO205" s="112" t="str">
        <f t="shared" ref="CO205:CO215" si="1101">HYPERLINK("http://www.schwanger-und-viele-fragen.de/ru/","x")</f>
        <v>x</v>
      </c>
      <c r="CP205" s="112"/>
      <c r="CQ205" s="112" t="str">
        <f t="shared" ref="CQ205:CQ215" si="1102"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R205" s="112"/>
      <c r="CS205" s="112"/>
      <c r="CT205" s="112" t="str">
        <f t="shared" ref="CT205:CT215" si="1103">HYPERLINK("http://www.profamilia.de/fileadmin/publikationen/Erwachsene/mehrsprachig/verhuetung_russisch_2011.pdf","x")</f>
        <v>x</v>
      </c>
      <c r="CU205" s="112" t="str">
        <f t="shared" si="993"/>
        <v>x</v>
      </c>
      <c r="CV205" s="112" t="str">
        <f t="shared" si="994"/>
        <v>x</v>
      </c>
      <c r="CW205" s="112" t="str">
        <f t="shared" si="995"/>
        <v>x</v>
      </c>
      <c r="CX205" s="112" t="str">
        <f t="shared" ref="CX205:CX215" si="1104">HYPERLINK("http://www.caritas-schwarzwald-alb-donau.de/68854.html","x")</f>
        <v>x</v>
      </c>
      <c r="CY205" s="112" t="str">
        <f t="shared" ref="CY205:CY215" si="1105">HYPERLINK("http://www.dgfpi.de/tl_files/download/medien/unwissen-macht-ru.pdf","x")</f>
        <v>x</v>
      </c>
      <c r="CZ205" s="112"/>
      <c r="DA205" s="112"/>
      <c r="DB205" s="115" t="str">
        <f t="shared" ref="DB205:DB215" si="1106">HYPERLINK("http://www.kindersicherheit.de/pdf/2012_Bilderbuch-Gift-Russisch.pdf","x")</f>
        <v>x</v>
      </c>
      <c r="DC205" s="112"/>
      <c r="DD205" s="112"/>
      <c r="DE205" s="112" t="str">
        <f t="shared" ref="DE205:DE215" si="1107">HYPERLINK("http://fi-lohmar-siegburg.de/data/documents/130-37_Inklusion_im_Anfangsunterricht_-_Poster_mit_Situationsbildern.pdf","x")</f>
        <v>x</v>
      </c>
      <c r="DF205" s="115" t="str">
        <f t="shared" ref="DF205:DF215" si="1108">HYPERLINK("http://s3-eu-west-1.amazonaws.com/lingolia/calendar/2016/lingolia_2016_de.pdf","x")</f>
        <v>x</v>
      </c>
      <c r="DG205" s="112" t="str">
        <f t="shared" ref="DG205:DG215" si="1109">HYPERLINK("http://www.bibliomedia.ch/de/angebote/img/Wimmelbild.jpg","x")</f>
        <v>x</v>
      </c>
      <c r="DH205" s="112" t="str">
        <f t="shared" ref="DH205:DH215" si="1110">HYPERLINK("http://www.bibliomedia.ch/de/angebote/dokumente/Wimmelbild_Fehler.jpg","x")</f>
        <v>x</v>
      </c>
      <c r="DI205" s="112" t="str">
        <f t="shared" si="1001"/>
        <v>x</v>
      </c>
      <c r="DJ205" s="112"/>
      <c r="DK205" s="112"/>
      <c r="DL205" s="112"/>
      <c r="DM205" s="112"/>
      <c r="DN205" s="112"/>
      <c r="DO205" s="111"/>
      <c r="DP205" s="112" t="str">
        <f t="shared" ref="DP205:DP215" si="1111">HYPERLINK("http://tipdoc.de/bus/grafik/kinder-tip/SCHULTIP_give_didacta.pdf","x")</f>
        <v>x</v>
      </c>
      <c r="DQ205" s="112" t="str">
        <f t="shared" si="1003"/>
        <v>x</v>
      </c>
      <c r="DR205" s="112" t="str">
        <f t="shared" ref="DR205:DR215" si="1112">HYPERLINK("http://bildung.koeln.de/materialbibliothek/download.php?idx=89409237e8c48c84d1f410e2c231c942","x")</f>
        <v>x</v>
      </c>
      <c r="DS205" s="112" t="str">
        <f t="shared" ref="DS205:DS215" si="1113">HYPERLINK("http://bildung.koeln.de/materialbibliothek/download.php?idx=3e35937e1b8f8986880efaf07701a323","x")</f>
        <v>x</v>
      </c>
      <c r="DT205" s="112"/>
      <c r="DU205" s="112" t="str">
        <f t="shared" si="1004"/>
        <v>x</v>
      </c>
      <c r="DV205" s="112"/>
      <c r="DW205" s="112"/>
      <c r="DX205" s="112" t="str">
        <f t="shared" si="1005"/>
        <v>x</v>
      </c>
      <c r="DY205" s="112" t="str">
        <f t="shared" si="1006"/>
        <v>x</v>
      </c>
      <c r="DZ205" s="112" t="str">
        <f t="shared" si="1007"/>
        <v>x</v>
      </c>
      <c r="EA205" s="112" t="str">
        <f t="shared" si="1008"/>
        <v>x</v>
      </c>
      <c r="EB205" s="112" t="str">
        <f t="shared" si="1009"/>
        <v>x</v>
      </c>
      <c r="EC205" s="111"/>
      <c r="ED205" s="111"/>
      <c r="EE205" s="111"/>
      <c r="EF205" s="111"/>
      <c r="EG205" s="111"/>
      <c r="EH205" s="111"/>
      <c r="EI205" s="112"/>
      <c r="EJ205" s="112"/>
      <c r="EK205" s="112"/>
      <c r="EL205" s="112" t="str">
        <f t="shared" si="1010"/>
        <v>x</v>
      </c>
      <c r="EM205" s="112" t="str">
        <f t="shared" ref="EM205:EM215" si="1114">HYPERLINK("http://www.medizin-hilft-fluechtlingen.de/images/Dokumente/gSch/gSch_ru.pdf","x")</f>
        <v>x</v>
      </c>
      <c r="EN205" s="111"/>
      <c r="EO205" s="117" t="str">
        <f t="shared" ref="EO205:EO215" si="1115">HYPERLINK("http://www.medi-bild.de/pdf/anamnese/Welche_Sprache.pdf","x")</f>
        <v>x</v>
      </c>
      <c r="EP205" s="117" t="str">
        <f t="shared" ref="EP205:EP215" si="1116">HYPERLINK("http://www.armut-gesundheit.de/fileadmin/redakteur/dokumente/Anamnesebogen%20-%20russischnew.pdf","x")</f>
        <v>x</v>
      </c>
      <c r="EQ205" s="112" t="str">
        <f t="shared" si="1014"/>
        <v>x</v>
      </c>
      <c r="ER205" s="111"/>
      <c r="ES205" s="111"/>
      <c r="ET205" s="111"/>
      <c r="EU205" s="111"/>
      <c r="EV205" s="112" t="str">
        <f t="shared" si="1015"/>
        <v>x</v>
      </c>
      <c r="EW205" s="112" t="str">
        <f t="shared" si="1016"/>
        <v>x</v>
      </c>
      <c r="EX205" s="112" t="str">
        <f t="shared" ref="EX205:EX215" si="1117">HYPERLINK("http://www.bzga.de/infomaterialien/?sid=236","x")</f>
        <v>x</v>
      </c>
      <c r="EY205" s="112" t="str">
        <f t="shared" si="1018"/>
        <v>x</v>
      </c>
      <c r="EZ205" s="112"/>
      <c r="FA205" s="111"/>
      <c r="FB205" s="111"/>
      <c r="FC205" s="112" t="str">
        <f t="shared" ref="FC205:FC215" si="1118">HYPERLINK("http://mige.ix-tech.de/index.php?id=241","x")</f>
        <v>x</v>
      </c>
      <c r="FD205" s="112" t="str">
        <f t="shared" ref="FD205:FD215" si="1119">HYPERLINK("http://sghanstedt.elbnetz.com/ueber-uns/","x")</f>
        <v>x</v>
      </c>
      <c r="FE205" s="111"/>
      <c r="FF205" s="112" t="str">
        <f t="shared" ref="FF205:FF215" si="1120">HYPERLINK("http://www.tipdoc.de/grafik/asyl/Gesundheitsheft_Asyl.pdf","x")</f>
        <v>x</v>
      </c>
      <c r="FG205" s="111"/>
      <c r="FH205" s="111"/>
      <c r="FI205" s="112"/>
      <c r="FJ205" s="112" t="str">
        <f t="shared" ref="FJ205:FJ215" si="1121">HYPERLINK("http://www.rki.de/DE/Content/Infekt/Impfen/Materialien/Downloads-Impfkalender/Impfkalender_Russisch.pdf?__blob=publicationFile","x")</f>
        <v>x</v>
      </c>
      <c r="FK205" s="112" t="str">
        <f t="shared" ref="FK205:FK215" si="1122">HYPERLINK("http://www.ethno-medizinisches-zentrum.de/images/PDF-Files/impfwegweiser_russisch_2013_online.pdf","x")</f>
        <v>x</v>
      </c>
      <c r="FL205" s="112"/>
      <c r="FM205" s="112" t="str">
        <f t="shared" si="1024"/>
        <v>x</v>
      </c>
      <c r="FN205" s="112" t="str">
        <f t="shared" ref="FN205:FN215" si="1123">HYPERLINK("http://tvoyashkola10.ru/img/VPD-Signs,-symptoms-and-complications-RUS.pdf","x")</f>
        <v>x</v>
      </c>
      <c r="FO205" s="112" t="str">
        <f t="shared" si="1025"/>
        <v>x</v>
      </c>
      <c r="FP205" s="112"/>
      <c r="FQ205" s="112" t="str">
        <f t="shared" si="1026"/>
        <v>x</v>
      </c>
      <c r="FR205" s="112" t="str">
        <f t="shared" si="1027"/>
        <v>x</v>
      </c>
      <c r="FS205" s="112" t="str">
        <f t="shared" si="1028"/>
        <v>x</v>
      </c>
      <c r="FT205" s="112" t="str">
        <f t="shared" si="1029"/>
        <v>x</v>
      </c>
      <c r="FU205" s="112" t="str">
        <f t="shared" si="1030"/>
        <v>x</v>
      </c>
      <c r="FV205" s="112" t="str">
        <f t="shared" si="1031"/>
        <v>x</v>
      </c>
      <c r="FW205" s="112" t="str">
        <f t="shared" si="1032"/>
        <v>x</v>
      </c>
      <c r="FX205" s="112" t="str">
        <f t="shared" si="1033"/>
        <v>x</v>
      </c>
      <c r="FY205" s="112" t="str">
        <f t="shared" si="1034"/>
        <v>x</v>
      </c>
      <c r="FZ205" s="112" t="str">
        <f t="shared" si="1035"/>
        <v>x</v>
      </c>
      <c r="GA205" s="112" t="str">
        <f t="shared" si="1036"/>
        <v>x</v>
      </c>
      <c r="GB205" s="112" t="str">
        <f t="shared" si="1037"/>
        <v>x</v>
      </c>
      <c r="GC205" s="112" t="str">
        <f t="shared" ref="GC205:GC215" si="1124">HYPERLINK("http://www.ethno-medizinisches-zentrum.de/images/PDF-Files/lf_diabete_russisch.pdf","x")</f>
        <v>x</v>
      </c>
      <c r="GD205" s="112" t="str">
        <f t="shared" si="1039"/>
        <v>x</v>
      </c>
      <c r="GE205" s="112" t="str">
        <f t="shared" ref="GE205:GE215" si="1125">HYPERLINK("http://www.medical-tribune.de/fileadmin/PDF/PAVK_russ.pdf","x")</f>
        <v>x</v>
      </c>
      <c r="GF205" s="112" t="str">
        <f t="shared" si="1040"/>
        <v>x</v>
      </c>
      <c r="GG205" s="112" t="str">
        <f t="shared" si="1041"/>
        <v>x</v>
      </c>
      <c r="GH205" s="112" t="str">
        <f t="shared" ref="GH205:GH215" si="1126">HYPERLINK("http://www.tipdoc.de/bus/pdf/hepatitis/Hep_B_Webseite.pdf","x")</f>
        <v>x</v>
      </c>
      <c r="GI205" s="112" t="str">
        <f t="shared" ref="GI205:GI215" si="1127">HYPERLINK("http://www.tipdoc.de/bus/pdf/hepatitis/Hep_C_Webseite.pdf","x")</f>
        <v>x</v>
      </c>
      <c r="GJ205" s="112" t="str">
        <f t="shared" ref="GJ205:GJ215" si="1128">HYPERLINK("http://www.tipdoc.de/bus/pdf/hiv/HIV%20SRF_Webseite.pdf","x")</f>
        <v>x</v>
      </c>
      <c r="GK205" s="111"/>
      <c r="GL205" s="112" t="str">
        <f t="shared" si="1045"/>
        <v>x</v>
      </c>
      <c r="GM205" s="112" t="str">
        <f t="shared" si="1046"/>
        <v>x</v>
      </c>
      <c r="GN205" s="112"/>
      <c r="GO205" s="112" t="str">
        <f t="shared" ref="GO205:GO215" si="1129">HYPERLINK("http://www.tipdoc.de/grafik/pdf/kopflaeuse/Kopflaeuse_RUSS.pdf","x")</f>
        <v>x</v>
      </c>
      <c r="GP205" s="112" t="str">
        <f t="shared" ref="GP205:GP215" si="1130">HYPERLINK("http://www.bing.com/search?q=Medical+tribune+KHK+russ&amp;qs=n&amp;form=QBRE&amp;pq=medical+tribune+khk+russ&amp;sc=0-16&amp;sp=-1&amp;sk=&amp;cvid=9C7440E0A0144B029D31F2004BF1F219","x")</f>
        <v>x</v>
      </c>
      <c r="GQ205" s="112" t="str">
        <f t="shared" ref="GQ205:GQ215" si="1131">HYPERLINK("http://www.tipdoc.com/bus/pdf/kraetze/tipdoc_Scabies_RUSS.pdf","x")</f>
        <v>x</v>
      </c>
      <c r="GR205" s="112" t="str">
        <f t="shared" ref="GR205:GR215" si="1132">HYPERLINK("http://www.tipdoc.com/bus/pdf/MagenDarmHaende/MagenDarmHaende_RUSS.pdf","x")</f>
        <v>x</v>
      </c>
      <c r="GS205" s="112" t="str">
        <f t="shared" si="1050"/>
        <v>x</v>
      </c>
      <c r="GT205" s="112" t="str">
        <f t="shared" si="1051"/>
        <v>x</v>
      </c>
      <c r="GU205" s="112" t="str">
        <f t="shared" si="1052"/>
        <v>x</v>
      </c>
      <c r="GV205" s="112" t="str">
        <f t="shared" si="1053"/>
        <v>x</v>
      </c>
      <c r="GW205" s="112" t="str">
        <f t="shared" si="1054"/>
        <v>x</v>
      </c>
      <c r="GX205" s="112" t="str">
        <f t="shared" si="1055"/>
        <v>x</v>
      </c>
      <c r="GY205" s="112" t="str">
        <f t="shared" si="1056"/>
        <v>x</v>
      </c>
      <c r="GZ205" s="112" t="str">
        <f t="shared" si="1057"/>
        <v>x</v>
      </c>
      <c r="HA205" s="112" t="str">
        <f t="shared" ref="HA205:HA215" si="1133">HYPERLINK("http://www.medical-tribune.de/fileadmin/PDF/Verstopfung_russisch.pdf","x")</f>
        <v>x</v>
      </c>
      <c r="HB205" s="112" t="str">
        <f t="shared" ref="HB205:HB215" si="1134">HYPERLINK("https://www.zahnaerzte-wl.de/images/_PDF-suche/KZV_ZÄK/piktogrammheft.pdf","x")</f>
        <v>x</v>
      </c>
      <c r="HC205" s="111"/>
      <c r="HD205" s="111"/>
      <c r="HE205" s="111"/>
      <c r="HF205" s="111"/>
      <c r="HG205" s="111"/>
      <c r="HH205" s="112" t="str">
        <f t="shared" ref="HH205:HH215" si="1135">HYPERLINK("http://www.bvkm.de/fileadmin/web_data/Behinderung_und_Migation_russisch_2014.pdf","x")</f>
        <v>x</v>
      </c>
      <c r="HI205" s="111"/>
      <c r="HJ205" s="112"/>
      <c r="HK205" s="112" t="str">
        <f t="shared" ref="HK205:HK215" si="1136">HYPERLINK("http://www.ethno-medizinisches-zentrum.de/images/PDF-Files/lf_depression_rus.pdf","x")</f>
        <v>x</v>
      </c>
      <c r="HL205" s="112"/>
      <c r="HM205" s="112"/>
      <c r="HN205" s="112"/>
      <c r="HO205" s="112"/>
      <c r="HP205" s="112"/>
      <c r="HQ205" s="112"/>
      <c r="HR205" s="112"/>
      <c r="HS205" s="112"/>
      <c r="HT205" s="112"/>
      <c r="HU205" s="112"/>
      <c r="HV205" s="112" t="str">
        <f t="shared" si="1059"/>
        <v>x</v>
      </c>
      <c r="HW205" s="112" t="str">
        <f t="shared" ref="HW205:HW215" si="1137">HYPERLINK("http://www.bkk-psychisch-gesund.de/fileadmin/user_upload/bkk-psychisch-gesund.de/PDFs/Migrantenwegweiser_Psychotherpie_russisch.pdf","x")</f>
        <v>x</v>
      </c>
      <c r="HX205" s="112" t="str">
        <f t="shared" ref="HX205:HX215" si="1138">HYPERLINK("http://www.selfhelpfortrauma.org/","x")</f>
        <v>x</v>
      </c>
      <c r="HY205" s="112" t="str">
        <f t="shared" ref="HY205:HY215" si="1139">HYPERLINK("http://peacefulheart.se/wp-content/uploads/2014/12/Resolving-Yesterday-20141201-Self-Tapping.pdf","x")</f>
        <v>x</v>
      </c>
      <c r="HZ205" s="112"/>
      <c r="IA205" s="112"/>
      <c r="IB205" s="112"/>
      <c r="IC205" s="112"/>
      <c r="ID205" s="112"/>
      <c r="IE205" s="112"/>
      <c r="IF205" s="112"/>
      <c r="IG205" s="112" t="str">
        <f t="shared" ref="IG205:IG215" si="1140">HYPERLINK("http://www.ethno-medizinisches-zentrum.de/images/PDF-Files/lf_mediensucht_ru_geschutzt.pdf","x")</f>
        <v>x</v>
      </c>
      <c r="IH205" s="112" t="str">
        <f t="shared" si="1063"/>
        <v>x</v>
      </c>
      <c r="II205" s="112" t="str">
        <f t="shared" si="1064"/>
        <v>x</v>
      </c>
      <c r="IJ205" s="112" t="str">
        <f t="shared" si="1065"/>
        <v>x</v>
      </c>
      <c r="IK205" s="112" t="str">
        <f t="shared" si="1066"/>
        <v>x</v>
      </c>
      <c r="IL205" s="111"/>
      <c r="IM205" s="112" t="str">
        <f t="shared" si="1067"/>
        <v>x</v>
      </c>
      <c r="IN205" s="112"/>
      <c r="IO205" s="111"/>
      <c r="IP205" s="112" t="str">
        <f t="shared" si="1068"/>
        <v>x</v>
      </c>
      <c r="IQ205" s="112"/>
      <c r="IR205" s="111"/>
      <c r="IS205" s="111"/>
      <c r="IT205" s="111"/>
      <c r="IU205" s="112" t="str">
        <f t="shared" si="1069"/>
        <v>x</v>
      </c>
      <c r="IV205" s="112"/>
      <c r="IW205" s="112" t="str">
        <f t="shared" si="1070"/>
        <v>x</v>
      </c>
      <c r="IX205" s="112" t="str">
        <f t="shared" si="1071"/>
        <v>x</v>
      </c>
      <c r="IY205" s="111"/>
      <c r="IZ205" s="112" t="str">
        <f t="shared" ref="IZ205:IZ215" si="1141">HYPERLINK("http://fluechtlingsrat-bw.de/informationen-fuer-fluechtlinge.html","x")</f>
        <v>x</v>
      </c>
      <c r="JA205" s="111"/>
      <c r="JB205" s="112"/>
      <c r="JC205" s="111"/>
      <c r="JD205" s="112"/>
      <c r="JE205" s="112"/>
      <c r="JF205" s="112" t="str">
        <f t="shared" si="1073"/>
        <v>x</v>
      </c>
      <c r="JG205" s="112"/>
      <c r="JH205" s="111"/>
      <c r="JI205" s="112"/>
      <c r="JJ205" s="112"/>
      <c r="JK205" s="112" t="str">
        <f t="shared" ref="JK205:JK215" si="1142">HYPERLINK("http://www.kub-berlin.org/formularprojekt/de/russisch-antraege-und-anlagen/","x")</f>
        <v>x</v>
      </c>
      <c r="JL205" s="112" t="str">
        <f t="shared" si="1074"/>
        <v>x</v>
      </c>
      <c r="JM205" s="112"/>
      <c r="JN205" s="112"/>
      <c r="JO205" s="112"/>
      <c r="JP205" s="112"/>
      <c r="JQ205" s="112" t="str">
        <f t="shared" si="1075"/>
        <v>x</v>
      </c>
      <c r="JR205" s="112"/>
      <c r="JS205" s="112" t="str">
        <f t="shared" si="1076"/>
        <v>x</v>
      </c>
      <c r="JT205" s="111"/>
      <c r="JU205" s="111"/>
      <c r="JV205" s="112"/>
      <c r="JW205" s="112"/>
      <c r="JX205" s="112"/>
      <c r="JY205" s="112"/>
      <c r="JZ205" s="112"/>
      <c r="KA205" s="112" t="str">
        <f t="shared" ref="KA205:KA215" si="1143">HYPERLINK("http://www.refugeeguide.de/dl/RefugeeGuide_ru_1207.pdf","x")</f>
        <v>x</v>
      </c>
      <c r="KB205" s="111"/>
      <c r="KC205" s="112" t="str">
        <f t="shared" si="1078"/>
        <v>x</v>
      </c>
      <c r="KD205" s="112"/>
      <c r="KE205" s="112" t="str">
        <f t="shared" ref="KE205:KE215" si="1144">HYPERLINK("http://sab.landtag.sachsen.de/dokumente/landtagskurier/Grundwerte-A5-international_web_08012016.pdf","x")</f>
        <v>x</v>
      </c>
      <c r="KF205" s="112"/>
      <c r="KG205" s="112"/>
      <c r="KH205" s="112"/>
      <c r="KI205" s="112"/>
      <c r="KJ205" s="112"/>
      <c r="KK205" s="112"/>
      <c r="KL205" s="112"/>
      <c r="KM205" s="112"/>
      <c r="KN205" s="112"/>
      <c r="KO205" s="112"/>
      <c r="KP205" s="112"/>
      <c r="KQ205" s="112"/>
      <c r="KR205" s="112"/>
      <c r="KS205" s="112"/>
      <c r="KT205" s="112"/>
      <c r="KU205" s="112"/>
      <c r="KV205" s="112"/>
      <c r="KW205" s="112"/>
      <c r="KX205" s="112"/>
      <c r="KY205" s="112"/>
      <c r="KZ205" s="112"/>
      <c r="LA205" s="112"/>
      <c r="LB205" s="111"/>
      <c r="LC205" s="111"/>
      <c r="LD205" s="111"/>
      <c r="LE205" s="111"/>
      <c r="LF205" s="111"/>
      <c r="LG205" s="111"/>
      <c r="LH205" s="111"/>
      <c r="LI205" s="111"/>
      <c r="LJ205" s="111"/>
      <c r="LK205" s="111"/>
      <c r="LL205" s="111"/>
      <c r="LM205" s="111"/>
      <c r="LN205" s="111"/>
      <c r="LO205" s="111"/>
      <c r="LP205" s="111"/>
      <c r="LQ205" s="111"/>
      <c r="LR205" s="111"/>
      <c r="LS205" s="111"/>
      <c r="LT205" s="111"/>
      <c r="LU205" s="111"/>
      <c r="LV205" s="111"/>
      <c r="LW205" s="111"/>
      <c r="LX205" s="111"/>
      <c r="LY205" s="111"/>
      <c r="LZ205" s="111"/>
      <c r="MA205" s="111"/>
      <c r="MB205" s="111"/>
      <c r="MC205" s="112" t="str">
        <f t="shared" si="1080"/>
        <v>x</v>
      </c>
      <c r="MD205" s="111"/>
      <c r="ME205" s="111"/>
      <c r="MF205" s="111"/>
      <c r="MG205" s="111"/>
      <c r="MH205" s="112" t="str">
        <f t="shared" si="1081"/>
        <v>x</v>
      </c>
    </row>
    <row r="206" spans="1:346" x14ac:dyDescent="0.25">
      <c r="A206" s="110" t="s">
        <v>7</v>
      </c>
      <c r="B206" s="101" t="s">
        <v>413</v>
      </c>
      <c r="C206" s="102"/>
      <c r="D206" s="102"/>
      <c r="E206" s="102"/>
      <c r="F206" s="102"/>
      <c r="G206" s="102"/>
      <c r="H206" s="102"/>
      <c r="I206" s="102"/>
      <c r="J206" s="103"/>
      <c r="K206" s="111"/>
      <c r="L206" s="111"/>
      <c r="M206" s="112" t="str">
        <f t="shared" si="1082"/>
        <v>x</v>
      </c>
      <c r="N206" s="112"/>
      <c r="O206" s="112" t="str">
        <f t="shared" si="1083"/>
        <v>x</v>
      </c>
      <c r="P206" s="112"/>
      <c r="Q206" s="112"/>
      <c r="R206" s="112"/>
      <c r="S206" s="112"/>
      <c r="T206" s="112"/>
      <c r="U206" s="112"/>
      <c r="V206" s="111"/>
      <c r="W206" s="112"/>
      <c r="X206" s="111"/>
      <c r="Y206" s="111"/>
      <c r="Z206" s="111"/>
      <c r="AA206" s="111"/>
      <c r="AB206" s="111"/>
      <c r="AC206" s="112" t="str">
        <f t="shared" si="973"/>
        <v>x</v>
      </c>
      <c r="AD206" s="111"/>
      <c r="AE206" s="112" t="str">
        <f t="shared" si="1084"/>
        <v>x</v>
      </c>
      <c r="AF206" s="111"/>
      <c r="AG206" s="112" t="str">
        <f t="shared" si="1085"/>
        <v>x</v>
      </c>
      <c r="AH206" s="111"/>
      <c r="AI206" s="111"/>
      <c r="AJ206" s="111"/>
      <c r="AK206" s="111"/>
      <c r="AL206" s="111"/>
      <c r="AM206" s="111"/>
      <c r="AN206" s="112"/>
      <c r="AO206" s="112"/>
      <c r="AP206" s="112"/>
      <c r="AQ206" s="112"/>
      <c r="AR206" s="112"/>
      <c r="AS206" s="112"/>
      <c r="AT206" s="112"/>
      <c r="AU206" s="113"/>
      <c r="AV206" s="114" t="str">
        <f t="shared" si="1086"/>
        <v>x</v>
      </c>
      <c r="AW206" s="114" t="str">
        <f t="shared" si="1087"/>
        <v>x</v>
      </c>
      <c r="AX206" s="111"/>
      <c r="AY206" s="111"/>
      <c r="AZ206" s="112" t="str">
        <f t="shared" si="1088"/>
        <v>x</v>
      </c>
      <c r="BA206" s="112" t="str">
        <f t="shared" si="1089"/>
        <v>x</v>
      </c>
      <c r="BB206" s="111"/>
      <c r="BC206" s="111"/>
      <c r="BD206" s="111"/>
      <c r="BE206" s="111"/>
      <c r="BF206" s="111"/>
      <c r="BG206" s="111"/>
      <c r="BH206" s="111"/>
      <c r="BI206" s="111"/>
      <c r="BJ206" s="112" t="str">
        <f t="shared" si="979"/>
        <v>x</v>
      </c>
      <c r="BK206" s="111"/>
      <c r="BL206" s="112" t="str">
        <f t="shared" si="1090"/>
        <v>x</v>
      </c>
      <c r="BM206" s="111"/>
      <c r="BN206" s="111"/>
      <c r="BO206" s="111"/>
      <c r="BP206" s="111"/>
      <c r="BQ206" s="111"/>
      <c r="BR206" s="112" t="str">
        <f t="shared" si="1091"/>
        <v>x</v>
      </c>
      <c r="BS206" s="112"/>
      <c r="BT206" s="111"/>
      <c r="BU206" s="112" t="str">
        <f t="shared" si="1092"/>
        <v>x</v>
      </c>
      <c r="BV206" s="112" t="str">
        <f t="shared" si="983"/>
        <v>x</v>
      </c>
      <c r="BW206" s="112"/>
      <c r="BX206" s="112"/>
      <c r="BY206" s="112"/>
      <c r="BZ206" s="112" t="str">
        <f t="shared" si="1093"/>
        <v>x</v>
      </c>
      <c r="CA206" s="112" t="str">
        <f t="shared" si="1094"/>
        <v>x</v>
      </c>
      <c r="CB206" s="112" t="str">
        <f t="shared" si="1095"/>
        <v>x</v>
      </c>
      <c r="CC206" s="112"/>
      <c r="CD206" s="112"/>
      <c r="CE206" s="112" t="str">
        <f t="shared" si="987"/>
        <v>x</v>
      </c>
      <c r="CF206" s="112" t="str">
        <f t="shared" si="1096"/>
        <v>x</v>
      </c>
      <c r="CG206" s="112" t="str">
        <f t="shared" si="1097"/>
        <v>x</v>
      </c>
      <c r="CH206" s="112" t="str">
        <f t="shared" si="989"/>
        <v>x</v>
      </c>
      <c r="CI206" s="112" t="str">
        <f t="shared" si="1098"/>
        <v>x</v>
      </c>
      <c r="CJ206" s="112" t="str">
        <f t="shared" si="1099"/>
        <v>x</v>
      </c>
      <c r="CK206" s="112" t="str">
        <f t="shared" si="1100"/>
        <v>x</v>
      </c>
      <c r="CL206" s="112"/>
      <c r="CM206" s="112"/>
      <c r="CN206" s="112"/>
      <c r="CO206" s="112" t="str">
        <f t="shared" si="1101"/>
        <v>x</v>
      </c>
      <c r="CP206" s="112"/>
      <c r="CQ206" s="112" t="str">
        <f t="shared" si="1102"/>
        <v>x</v>
      </c>
      <c r="CR206" s="112"/>
      <c r="CS206" s="112"/>
      <c r="CT206" s="112" t="str">
        <f t="shared" si="1103"/>
        <v>x</v>
      </c>
      <c r="CU206" s="112" t="str">
        <f t="shared" si="993"/>
        <v>x</v>
      </c>
      <c r="CV206" s="112" t="str">
        <f t="shared" si="994"/>
        <v>x</v>
      </c>
      <c r="CW206" s="112" t="str">
        <f t="shared" si="995"/>
        <v>x</v>
      </c>
      <c r="CX206" s="112" t="str">
        <f t="shared" si="1104"/>
        <v>x</v>
      </c>
      <c r="CY206" s="112" t="str">
        <f t="shared" si="1105"/>
        <v>x</v>
      </c>
      <c r="CZ206" s="112"/>
      <c r="DA206" s="112"/>
      <c r="DB206" s="115" t="str">
        <f t="shared" si="1106"/>
        <v>x</v>
      </c>
      <c r="DC206" s="112"/>
      <c r="DD206" s="112"/>
      <c r="DE206" s="112" t="str">
        <f t="shared" si="1107"/>
        <v>x</v>
      </c>
      <c r="DF206" s="115" t="str">
        <f t="shared" si="1108"/>
        <v>x</v>
      </c>
      <c r="DG206" s="112" t="str">
        <f t="shared" si="1109"/>
        <v>x</v>
      </c>
      <c r="DH206" s="112" t="str">
        <f t="shared" si="1110"/>
        <v>x</v>
      </c>
      <c r="DI206" s="112" t="str">
        <f t="shared" si="1001"/>
        <v>x</v>
      </c>
      <c r="DJ206" s="112"/>
      <c r="DK206" s="112"/>
      <c r="DL206" s="112"/>
      <c r="DM206" s="112"/>
      <c r="DN206" s="112"/>
      <c r="DO206" s="111"/>
      <c r="DP206" s="112" t="str">
        <f t="shared" si="1111"/>
        <v>x</v>
      </c>
      <c r="DQ206" s="112" t="str">
        <f t="shared" si="1003"/>
        <v>x</v>
      </c>
      <c r="DR206" s="112" t="str">
        <f t="shared" si="1112"/>
        <v>x</v>
      </c>
      <c r="DS206" s="112" t="str">
        <f t="shared" si="1113"/>
        <v>x</v>
      </c>
      <c r="DT206" s="112"/>
      <c r="DU206" s="112" t="str">
        <f t="shared" si="1004"/>
        <v>x</v>
      </c>
      <c r="DV206" s="112"/>
      <c r="DW206" s="112"/>
      <c r="DX206" s="112" t="str">
        <f t="shared" si="1005"/>
        <v>x</v>
      </c>
      <c r="DY206" s="112" t="str">
        <f t="shared" si="1006"/>
        <v>x</v>
      </c>
      <c r="DZ206" s="112" t="str">
        <f t="shared" si="1007"/>
        <v>x</v>
      </c>
      <c r="EA206" s="112" t="str">
        <f t="shared" si="1008"/>
        <v>x</v>
      </c>
      <c r="EB206" s="112" t="str">
        <f t="shared" si="1009"/>
        <v>x</v>
      </c>
      <c r="EC206" s="111"/>
      <c r="ED206" s="111"/>
      <c r="EE206" s="111"/>
      <c r="EF206" s="111"/>
      <c r="EG206" s="111"/>
      <c r="EH206" s="111"/>
      <c r="EI206" s="112"/>
      <c r="EJ206" s="112"/>
      <c r="EK206" s="112"/>
      <c r="EL206" s="112" t="str">
        <f t="shared" si="1010"/>
        <v>x</v>
      </c>
      <c r="EM206" s="112" t="str">
        <f t="shared" si="1114"/>
        <v>x</v>
      </c>
      <c r="EN206" s="111"/>
      <c r="EO206" s="117" t="str">
        <f t="shared" si="1115"/>
        <v>x</v>
      </c>
      <c r="EP206" s="117" t="str">
        <f t="shared" si="1116"/>
        <v>x</v>
      </c>
      <c r="EQ206" s="112" t="str">
        <f t="shared" si="1014"/>
        <v>x</v>
      </c>
      <c r="ER206" s="111"/>
      <c r="ES206" s="111"/>
      <c r="ET206" s="111"/>
      <c r="EU206" s="111"/>
      <c r="EV206" s="112" t="str">
        <f t="shared" si="1015"/>
        <v>x</v>
      </c>
      <c r="EW206" s="112" t="str">
        <f t="shared" si="1016"/>
        <v>x</v>
      </c>
      <c r="EX206" s="112" t="str">
        <f t="shared" si="1117"/>
        <v>x</v>
      </c>
      <c r="EY206" s="112" t="str">
        <f t="shared" si="1018"/>
        <v>x</v>
      </c>
      <c r="EZ206" s="112"/>
      <c r="FA206" s="111"/>
      <c r="FB206" s="111"/>
      <c r="FC206" s="112" t="str">
        <f t="shared" si="1118"/>
        <v>x</v>
      </c>
      <c r="FD206" s="112" t="str">
        <f t="shared" si="1119"/>
        <v>x</v>
      </c>
      <c r="FE206" s="111"/>
      <c r="FF206" s="112" t="str">
        <f t="shared" si="1120"/>
        <v>x</v>
      </c>
      <c r="FG206" s="111"/>
      <c r="FH206" s="111"/>
      <c r="FI206" s="112"/>
      <c r="FJ206" s="112" t="str">
        <f t="shared" si="1121"/>
        <v>x</v>
      </c>
      <c r="FK206" s="112" t="str">
        <f t="shared" si="1122"/>
        <v>x</v>
      </c>
      <c r="FL206" s="112"/>
      <c r="FM206" s="112" t="str">
        <f t="shared" si="1024"/>
        <v>x</v>
      </c>
      <c r="FN206" s="112" t="str">
        <f t="shared" si="1123"/>
        <v>x</v>
      </c>
      <c r="FO206" s="112" t="str">
        <f t="shared" si="1025"/>
        <v>x</v>
      </c>
      <c r="FP206" s="112"/>
      <c r="FQ206" s="112" t="str">
        <f t="shared" si="1026"/>
        <v>x</v>
      </c>
      <c r="FR206" s="112" t="str">
        <f t="shared" si="1027"/>
        <v>x</v>
      </c>
      <c r="FS206" s="112" t="str">
        <f t="shared" si="1028"/>
        <v>x</v>
      </c>
      <c r="FT206" s="112" t="str">
        <f t="shared" si="1029"/>
        <v>x</v>
      </c>
      <c r="FU206" s="112" t="str">
        <f t="shared" si="1030"/>
        <v>x</v>
      </c>
      <c r="FV206" s="112" t="str">
        <f t="shared" si="1031"/>
        <v>x</v>
      </c>
      <c r="FW206" s="112" t="str">
        <f t="shared" si="1032"/>
        <v>x</v>
      </c>
      <c r="FX206" s="112" t="str">
        <f t="shared" si="1033"/>
        <v>x</v>
      </c>
      <c r="FY206" s="112" t="str">
        <f t="shared" si="1034"/>
        <v>x</v>
      </c>
      <c r="FZ206" s="112" t="str">
        <f t="shared" si="1035"/>
        <v>x</v>
      </c>
      <c r="GA206" s="112" t="str">
        <f t="shared" si="1036"/>
        <v>x</v>
      </c>
      <c r="GB206" s="112" t="str">
        <f t="shared" si="1037"/>
        <v>x</v>
      </c>
      <c r="GC206" s="112" t="str">
        <f t="shared" si="1124"/>
        <v>x</v>
      </c>
      <c r="GD206" s="112" t="str">
        <f t="shared" si="1039"/>
        <v>x</v>
      </c>
      <c r="GE206" s="112" t="str">
        <f t="shared" si="1125"/>
        <v>x</v>
      </c>
      <c r="GF206" s="112" t="str">
        <f t="shared" si="1040"/>
        <v>x</v>
      </c>
      <c r="GG206" s="112" t="str">
        <f t="shared" si="1041"/>
        <v>x</v>
      </c>
      <c r="GH206" s="112" t="str">
        <f t="shared" si="1126"/>
        <v>x</v>
      </c>
      <c r="GI206" s="112" t="str">
        <f t="shared" si="1127"/>
        <v>x</v>
      </c>
      <c r="GJ206" s="112" t="str">
        <f t="shared" si="1128"/>
        <v>x</v>
      </c>
      <c r="GK206" s="111"/>
      <c r="GL206" s="112" t="str">
        <f t="shared" si="1045"/>
        <v>x</v>
      </c>
      <c r="GM206" s="112" t="str">
        <f t="shared" si="1046"/>
        <v>x</v>
      </c>
      <c r="GN206" s="112"/>
      <c r="GO206" s="112" t="str">
        <f t="shared" si="1129"/>
        <v>x</v>
      </c>
      <c r="GP206" s="112" t="str">
        <f t="shared" si="1130"/>
        <v>x</v>
      </c>
      <c r="GQ206" s="112" t="str">
        <f t="shared" si="1131"/>
        <v>x</v>
      </c>
      <c r="GR206" s="112" t="str">
        <f t="shared" si="1132"/>
        <v>x</v>
      </c>
      <c r="GS206" s="112" t="str">
        <f t="shared" si="1050"/>
        <v>x</v>
      </c>
      <c r="GT206" s="112" t="str">
        <f t="shared" si="1051"/>
        <v>x</v>
      </c>
      <c r="GU206" s="112" t="str">
        <f t="shared" si="1052"/>
        <v>x</v>
      </c>
      <c r="GV206" s="112" t="str">
        <f t="shared" si="1053"/>
        <v>x</v>
      </c>
      <c r="GW206" s="112" t="str">
        <f t="shared" si="1054"/>
        <v>x</v>
      </c>
      <c r="GX206" s="112" t="str">
        <f t="shared" si="1055"/>
        <v>x</v>
      </c>
      <c r="GY206" s="112" t="str">
        <f t="shared" si="1056"/>
        <v>x</v>
      </c>
      <c r="GZ206" s="112" t="str">
        <f t="shared" si="1057"/>
        <v>x</v>
      </c>
      <c r="HA206" s="112" t="str">
        <f t="shared" si="1133"/>
        <v>x</v>
      </c>
      <c r="HB206" s="112" t="str">
        <f t="shared" si="1134"/>
        <v>x</v>
      </c>
      <c r="HC206" s="111"/>
      <c r="HD206" s="111"/>
      <c r="HE206" s="111"/>
      <c r="HF206" s="111"/>
      <c r="HG206" s="111"/>
      <c r="HH206" s="112" t="str">
        <f t="shared" si="1135"/>
        <v>x</v>
      </c>
      <c r="HI206" s="111"/>
      <c r="HJ206" s="112"/>
      <c r="HK206" s="112" t="str">
        <f t="shared" si="1136"/>
        <v>x</v>
      </c>
      <c r="HL206" s="112"/>
      <c r="HM206" s="112"/>
      <c r="HN206" s="112"/>
      <c r="HO206" s="112"/>
      <c r="HP206" s="112"/>
      <c r="HQ206" s="112"/>
      <c r="HR206" s="112"/>
      <c r="HS206" s="112"/>
      <c r="HT206" s="112"/>
      <c r="HU206" s="112"/>
      <c r="HV206" s="112" t="str">
        <f t="shared" si="1059"/>
        <v>x</v>
      </c>
      <c r="HW206" s="112" t="str">
        <f t="shared" si="1137"/>
        <v>x</v>
      </c>
      <c r="HX206" s="112" t="str">
        <f t="shared" si="1138"/>
        <v>x</v>
      </c>
      <c r="HY206" s="112" t="str">
        <f t="shared" si="1139"/>
        <v>x</v>
      </c>
      <c r="HZ206" s="112"/>
      <c r="IA206" s="112"/>
      <c r="IB206" s="112"/>
      <c r="IC206" s="112"/>
      <c r="ID206" s="112"/>
      <c r="IE206" s="112"/>
      <c r="IF206" s="112"/>
      <c r="IG206" s="112" t="str">
        <f t="shared" si="1140"/>
        <v>x</v>
      </c>
      <c r="IH206" s="112" t="str">
        <f t="shared" si="1063"/>
        <v>x</v>
      </c>
      <c r="II206" s="112" t="str">
        <f t="shared" si="1064"/>
        <v>x</v>
      </c>
      <c r="IJ206" s="112" t="str">
        <f t="shared" si="1065"/>
        <v>x</v>
      </c>
      <c r="IK206" s="112" t="str">
        <f t="shared" si="1066"/>
        <v>x</v>
      </c>
      <c r="IL206" s="111"/>
      <c r="IM206" s="112" t="str">
        <f t="shared" si="1067"/>
        <v>x</v>
      </c>
      <c r="IN206" s="112"/>
      <c r="IO206" s="111"/>
      <c r="IP206" s="112" t="str">
        <f t="shared" si="1068"/>
        <v>x</v>
      </c>
      <c r="IQ206" s="112"/>
      <c r="IR206" s="111"/>
      <c r="IS206" s="111"/>
      <c r="IT206" s="111"/>
      <c r="IU206" s="112" t="str">
        <f t="shared" si="1069"/>
        <v>x</v>
      </c>
      <c r="IV206" s="112"/>
      <c r="IW206" s="112" t="str">
        <f t="shared" si="1070"/>
        <v>x</v>
      </c>
      <c r="IX206" s="112" t="str">
        <f t="shared" si="1071"/>
        <v>x</v>
      </c>
      <c r="IY206" s="111"/>
      <c r="IZ206" s="112" t="str">
        <f t="shared" si="1141"/>
        <v>x</v>
      </c>
      <c r="JA206" s="111"/>
      <c r="JB206" s="112"/>
      <c r="JC206" s="111"/>
      <c r="JD206" s="112"/>
      <c r="JE206" s="112"/>
      <c r="JF206" s="112" t="str">
        <f t="shared" si="1073"/>
        <v>x</v>
      </c>
      <c r="JG206" s="112"/>
      <c r="JH206" s="111"/>
      <c r="JI206" s="112"/>
      <c r="JJ206" s="112"/>
      <c r="JK206" s="112" t="str">
        <f t="shared" si="1142"/>
        <v>x</v>
      </c>
      <c r="JL206" s="112" t="str">
        <f t="shared" si="1074"/>
        <v>x</v>
      </c>
      <c r="JM206" s="112"/>
      <c r="JN206" s="112"/>
      <c r="JO206" s="112"/>
      <c r="JP206" s="112"/>
      <c r="JQ206" s="112" t="str">
        <f t="shared" si="1075"/>
        <v>x</v>
      </c>
      <c r="JR206" s="112"/>
      <c r="JS206" s="112" t="str">
        <f t="shared" si="1076"/>
        <v>x</v>
      </c>
      <c r="JT206" s="111"/>
      <c r="JU206" s="111"/>
      <c r="JV206" s="112"/>
      <c r="JW206" s="112"/>
      <c r="JX206" s="112"/>
      <c r="JY206" s="112"/>
      <c r="JZ206" s="112"/>
      <c r="KA206" s="112" t="str">
        <f t="shared" si="1143"/>
        <v>x</v>
      </c>
      <c r="KB206" s="111"/>
      <c r="KC206" s="112" t="str">
        <f t="shared" si="1078"/>
        <v>x</v>
      </c>
      <c r="KD206" s="112"/>
      <c r="KE206" s="112" t="str">
        <f t="shared" si="1144"/>
        <v>x</v>
      </c>
      <c r="KF206" s="112"/>
      <c r="KG206" s="112"/>
      <c r="KH206" s="112"/>
      <c r="KI206" s="112"/>
      <c r="KJ206" s="112"/>
      <c r="KK206" s="112"/>
      <c r="KL206" s="112"/>
      <c r="KM206" s="112"/>
      <c r="KN206" s="112"/>
      <c r="KO206" s="112"/>
      <c r="KP206" s="112"/>
      <c r="KQ206" s="112"/>
      <c r="KR206" s="112"/>
      <c r="KS206" s="112"/>
      <c r="KT206" s="112"/>
      <c r="KU206" s="112"/>
      <c r="KV206" s="112"/>
      <c r="KW206" s="112"/>
      <c r="KX206" s="112"/>
      <c r="KY206" s="112"/>
      <c r="KZ206" s="112"/>
      <c r="LA206" s="112"/>
      <c r="LB206" s="111"/>
      <c r="LC206" s="111"/>
      <c r="LD206" s="111"/>
      <c r="LE206" s="111"/>
      <c r="LF206" s="111"/>
      <c r="LG206" s="111"/>
      <c r="LH206" s="111"/>
      <c r="LI206" s="111"/>
      <c r="LJ206" s="111"/>
      <c r="LK206" s="111"/>
      <c r="LL206" s="111"/>
      <c r="LM206" s="111"/>
      <c r="LN206" s="111"/>
      <c r="LO206" s="111"/>
      <c r="LP206" s="111"/>
      <c r="LQ206" s="111"/>
      <c r="LR206" s="111"/>
      <c r="LS206" s="111"/>
      <c r="LT206" s="111"/>
      <c r="LU206" s="111"/>
      <c r="LV206" s="111"/>
      <c r="LW206" s="111"/>
      <c r="LX206" s="111"/>
      <c r="LY206" s="111"/>
      <c r="LZ206" s="111"/>
      <c r="MA206" s="111"/>
      <c r="MB206" s="111"/>
      <c r="MC206" s="112" t="str">
        <f t="shared" si="1080"/>
        <v>x</v>
      </c>
      <c r="MD206" s="111"/>
      <c r="ME206" s="111"/>
      <c r="MF206" s="111"/>
      <c r="MG206" s="111"/>
      <c r="MH206" s="112" t="str">
        <f t="shared" si="1081"/>
        <v>x</v>
      </c>
    </row>
    <row r="207" spans="1:346" x14ac:dyDescent="0.25">
      <c r="A207" s="110" t="s">
        <v>7</v>
      </c>
      <c r="B207" s="101" t="s">
        <v>83</v>
      </c>
      <c r="C207" s="102"/>
      <c r="D207" s="102"/>
      <c r="E207" s="102"/>
      <c r="F207" s="102"/>
      <c r="G207" s="102"/>
      <c r="H207" s="102"/>
      <c r="I207" s="102"/>
      <c r="J207" s="103"/>
      <c r="K207" s="111"/>
      <c r="L207" s="111"/>
      <c r="M207" s="112" t="str">
        <f t="shared" si="1082"/>
        <v>x</v>
      </c>
      <c r="N207" s="112"/>
      <c r="O207" s="112" t="str">
        <f t="shared" si="1083"/>
        <v>x</v>
      </c>
      <c r="P207" s="112"/>
      <c r="Q207" s="112"/>
      <c r="R207" s="112"/>
      <c r="S207" s="112"/>
      <c r="T207" s="112"/>
      <c r="U207" s="112"/>
      <c r="V207" s="111"/>
      <c r="W207" s="112"/>
      <c r="X207" s="111"/>
      <c r="Y207" s="111"/>
      <c r="Z207" s="111"/>
      <c r="AA207" s="111"/>
      <c r="AB207" s="111"/>
      <c r="AC207" s="112" t="str">
        <f t="shared" si="973"/>
        <v>x</v>
      </c>
      <c r="AD207" s="111"/>
      <c r="AE207" s="112" t="str">
        <f t="shared" si="1084"/>
        <v>x</v>
      </c>
      <c r="AF207" s="111"/>
      <c r="AG207" s="112" t="str">
        <f t="shared" si="1085"/>
        <v>x</v>
      </c>
      <c r="AH207" s="111"/>
      <c r="AI207" s="111"/>
      <c r="AJ207" s="111"/>
      <c r="AK207" s="111"/>
      <c r="AL207" s="111"/>
      <c r="AM207" s="111"/>
      <c r="AN207" s="112"/>
      <c r="AO207" s="112"/>
      <c r="AP207" s="112"/>
      <c r="AQ207" s="112"/>
      <c r="AR207" s="112"/>
      <c r="AS207" s="112"/>
      <c r="AT207" s="112"/>
      <c r="AU207" s="113"/>
      <c r="AV207" s="114" t="str">
        <f t="shared" si="1086"/>
        <v>x</v>
      </c>
      <c r="AW207" s="114" t="str">
        <f t="shared" si="1087"/>
        <v>x</v>
      </c>
      <c r="AX207" s="111"/>
      <c r="AY207" s="111"/>
      <c r="AZ207" s="112" t="str">
        <f t="shared" si="1088"/>
        <v>x</v>
      </c>
      <c r="BA207" s="112" t="str">
        <f t="shared" si="1089"/>
        <v>x</v>
      </c>
      <c r="BB207" s="111"/>
      <c r="BC207" s="111"/>
      <c r="BD207" s="111"/>
      <c r="BE207" s="111"/>
      <c r="BF207" s="111"/>
      <c r="BG207" s="111"/>
      <c r="BH207" s="111"/>
      <c r="BI207" s="111"/>
      <c r="BJ207" s="112" t="str">
        <f t="shared" si="979"/>
        <v>x</v>
      </c>
      <c r="BK207" s="111"/>
      <c r="BL207" s="112" t="str">
        <f t="shared" si="1090"/>
        <v>x</v>
      </c>
      <c r="BM207" s="111"/>
      <c r="BN207" s="111"/>
      <c r="BO207" s="111"/>
      <c r="BP207" s="111"/>
      <c r="BQ207" s="111"/>
      <c r="BR207" s="112" t="str">
        <f t="shared" si="1091"/>
        <v>x</v>
      </c>
      <c r="BS207" s="112"/>
      <c r="BT207" s="111"/>
      <c r="BU207" s="112" t="str">
        <f t="shared" si="1092"/>
        <v>x</v>
      </c>
      <c r="BV207" s="112" t="str">
        <f t="shared" si="983"/>
        <v>x</v>
      </c>
      <c r="BW207" s="112"/>
      <c r="BX207" s="112"/>
      <c r="BY207" s="112"/>
      <c r="BZ207" s="112" t="str">
        <f t="shared" si="1093"/>
        <v>x</v>
      </c>
      <c r="CA207" s="112" t="str">
        <f t="shared" si="1094"/>
        <v>x</v>
      </c>
      <c r="CB207" s="112" t="str">
        <f t="shared" si="1095"/>
        <v>x</v>
      </c>
      <c r="CC207" s="112"/>
      <c r="CD207" s="112"/>
      <c r="CE207" s="112" t="str">
        <f t="shared" si="987"/>
        <v>x</v>
      </c>
      <c r="CF207" s="112" t="str">
        <f t="shared" si="1096"/>
        <v>x</v>
      </c>
      <c r="CG207" s="112" t="str">
        <f t="shared" si="1097"/>
        <v>x</v>
      </c>
      <c r="CH207" s="112" t="str">
        <f t="shared" si="989"/>
        <v>x</v>
      </c>
      <c r="CI207" s="112" t="str">
        <f t="shared" si="1098"/>
        <v>x</v>
      </c>
      <c r="CJ207" s="112" t="str">
        <f t="shared" si="1099"/>
        <v>x</v>
      </c>
      <c r="CK207" s="112" t="str">
        <f t="shared" si="1100"/>
        <v>x</v>
      </c>
      <c r="CL207" s="112"/>
      <c r="CM207" s="112"/>
      <c r="CN207" s="112"/>
      <c r="CO207" s="112" t="str">
        <f t="shared" si="1101"/>
        <v>x</v>
      </c>
      <c r="CP207" s="112"/>
      <c r="CQ207" s="112" t="str">
        <f t="shared" si="1102"/>
        <v>x</v>
      </c>
      <c r="CR207" s="112"/>
      <c r="CS207" s="112"/>
      <c r="CT207" s="112" t="str">
        <f t="shared" si="1103"/>
        <v>x</v>
      </c>
      <c r="CU207" s="112" t="str">
        <f t="shared" si="993"/>
        <v>x</v>
      </c>
      <c r="CV207" s="112" t="str">
        <f t="shared" si="994"/>
        <v>x</v>
      </c>
      <c r="CW207" s="112" t="str">
        <f t="shared" si="995"/>
        <v>x</v>
      </c>
      <c r="CX207" s="112" t="str">
        <f t="shared" si="1104"/>
        <v>x</v>
      </c>
      <c r="CY207" s="112" t="str">
        <f t="shared" si="1105"/>
        <v>x</v>
      </c>
      <c r="CZ207" s="112"/>
      <c r="DA207" s="112"/>
      <c r="DB207" s="115" t="str">
        <f t="shared" si="1106"/>
        <v>x</v>
      </c>
      <c r="DC207" s="112"/>
      <c r="DD207" s="112"/>
      <c r="DE207" s="112" t="str">
        <f t="shared" si="1107"/>
        <v>x</v>
      </c>
      <c r="DF207" s="115" t="str">
        <f t="shared" si="1108"/>
        <v>x</v>
      </c>
      <c r="DG207" s="112" t="str">
        <f t="shared" si="1109"/>
        <v>x</v>
      </c>
      <c r="DH207" s="112" t="str">
        <f t="shared" si="1110"/>
        <v>x</v>
      </c>
      <c r="DI207" s="112" t="str">
        <f t="shared" si="1001"/>
        <v>x</v>
      </c>
      <c r="DJ207" s="112"/>
      <c r="DK207" s="112"/>
      <c r="DL207" s="112"/>
      <c r="DM207" s="112"/>
      <c r="DN207" s="112"/>
      <c r="DO207" s="111"/>
      <c r="DP207" s="112" t="str">
        <f t="shared" si="1111"/>
        <v>x</v>
      </c>
      <c r="DQ207" s="112" t="str">
        <f t="shared" si="1003"/>
        <v>x</v>
      </c>
      <c r="DR207" s="112" t="str">
        <f t="shared" si="1112"/>
        <v>x</v>
      </c>
      <c r="DS207" s="112" t="str">
        <f t="shared" si="1113"/>
        <v>x</v>
      </c>
      <c r="DT207" s="112"/>
      <c r="DU207" s="112" t="str">
        <f t="shared" si="1004"/>
        <v>x</v>
      </c>
      <c r="DV207" s="112"/>
      <c r="DW207" s="112"/>
      <c r="DX207" s="112" t="str">
        <f t="shared" si="1005"/>
        <v>x</v>
      </c>
      <c r="DY207" s="112" t="str">
        <f t="shared" si="1006"/>
        <v>x</v>
      </c>
      <c r="DZ207" s="112" t="str">
        <f t="shared" si="1007"/>
        <v>x</v>
      </c>
      <c r="EA207" s="112" t="str">
        <f t="shared" si="1008"/>
        <v>x</v>
      </c>
      <c r="EB207" s="112" t="str">
        <f t="shared" si="1009"/>
        <v>x</v>
      </c>
      <c r="EC207" s="111"/>
      <c r="ED207" s="111"/>
      <c r="EE207" s="111"/>
      <c r="EF207" s="111"/>
      <c r="EG207" s="111"/>
      <c r="EH207" s="111"/>
      <c r="EI207" s="112"/>
      <c r="EJ207" s="112"/>
      <c r="EK207" s="112"/>
      <c r="EL207" s="112" t="str">
        <f t="shared" si="1010"/>
        <v>x</v>
      </c>
      <c r="EM207" s="112" t="str">
        <f t="shared" si="1114"/>
        <v>x</v>
      </c>
      <c r="EN207" s="111"/>
      <c r="EO207" s="117" t="str">
        <f t="shared" si="1115"/>
        <v>x</v>
      </c>
      <c r="EP207" s="117" t="str">
        <f t="shared" si="1116"/>
        <v>x</v>
      </c>
      <c r="EQ207" s="112" t="str">
        <f t="shared" si="1014"/>
        <v>x</v>
      </c>
      <c r="ER207" s="111"/>
      <c r="ES207" s="111"/>
      <c r="ET207" s="111"/>
      <c r="EU207" s="111"/>
      <c r="EV207" s="112" t="str">
        <f t="shared" si="1015"/>
        <v>x</v>
      </c>
      <c r="EW207" s="112" t="str">
        <f t="shared" si="1016"/>
        <v>x</v>
      </c>
      <c r="EX207" s="112" t="str">
        <f t="shared" si="1117"/>
        <v>x</v>
      </c>
      <c r="EY207" s="112" t="str">
        <f t="shared" si="1018"/>
        <v>x</v>
      </c>
      <c r="EZ207" s="112"/>
      <c r="FA207" s="111"/>
      <c r="FB207" s="111"/>
      <c r="FC207" s="112" t="str">
        <f t="shared" si="1118"/>
        <v>x</v>
      </c>
      <c r="FD207" s="112" t="str">
        <f t="shared" si="1119"/>
        <v>x</v>
      </c>
      <c r="FE207" s="111"/>
      <c r="FF207" s="112" t="str">
        <f t="shared" si="1120"/>
        <v>x</v>
      </c>
      <c r="FG207" s="111"/>
      <c r="FH207" s="111"/>
      <c r="FI207" s="112"/>
      <c r="FJ207" s="112" t="str">
        <f t="shared" si="1121"/>
        <v>x</v>
      </c>
      <c r="FK207" s="112" t="str">
        <f t="shared" si="1122"/>
        <v>x</v>
      </c>
      <c r="FL207" s="112"/>
      <c r="FM207" s="112" t="str">
        <f t="shared" si="1024"/>
        <v>x</v>
      </c>
      <c r="FN207" s="112" t="str">
        <f t="shared" si="1123"/>
        <v>x</v>
      </c>
      <c r="FO207" s="112" t="str">
        <f t="shared" si="1025"/>
        <v>x</v>
      </c>
      <c r="FP207" s="112"/>
      <c r="FQ207" s="112" t="str">
        <f t="shared" si="1026"/>
        <v>x</v>
      </c>
      <c r="FR207" s="112" t="str">
        <f t="shared" si="1027"/>
        <v>x</v>
      </c>
      <c r="FS207" s="112" t="str">
        <f t="shared" si="1028"/>
        <v>x</v>
      </c>
      <c r="FT207" s="112" t="str">
        <f t="shared" si="1029"/>
        <v>x</v>
      </c>
      <c r="FU207" s="112" t="str">
        <f t="shared" si="1030"/>
        <v>x</v>
      </c>
      <c r="FV207" s="112" t="str">
        <f t="shared" si="1031"/>
        <v>x</v>
      </c>
      <c r="FW207" s="112" t="str">
        <f t="shared" si="1032"/>
        <v>x</v>
      </c>
      <c r="FX207" s="112" t="str">
        <f t="shared" si="1033"/>
        <v>x</v>
      </c>
      <c r="FY207" s="112" t="str">
        <f t="shared" si="1034"/>
        <v>x</v>
      </c>
      <c r="FZ207" s="112" t="str">
        <f t="shared" si="1035"/>
        <v>x</v>
      </c>
      <c r="GA207" s="112" t="str">
        <f t="shared" si="1036"/>
        <v>x</v>
      </c>
      <c r="GB207" s="112" t="str">
        <f t="shared" si="1037"/>
        <v>x</v>
      </c>
      <c r="GC207" s="112" t="str">
        <f t="shared" si="1124"/>
        <v>x</v>
      </c>
      <c r="GD207" s="112" t="str">
        <f t="shared" si="1039"/>
        <v>x</v>
      </c>
      <c r="GE207" s="112" t="str">
        <f t="shared" si="1125"/>
        <v>x</v>
      </c>
      <c r="GF207" s="112" t="str">
        <f t="shared" si="1040"/>
        <v>x</v>
      </c>
      <c r="GG207" s="112" t="str">
        <f t="shared" si="1041"/>
        <v>x</v>
      </c>
      <c r="GH207" s="112" t="str">
        <f t="shared" si="1126"/>
        <v>x</v>
      </c>
      <c r="GI207" s="112" t="str">
        <f t="shared" si="1127"/>
        <v>x</v>
      </c>
      <c r="GJ207" s="112" t="str">
        <f t="shared" si="1128"/>
        <v>x</v>
      </c>
      <c r="GK207" s="111"/>
      <c r="GL207" s="112" t="str">
        <f t="shared" si="1045"/>
        <v>x</v>
      </c>
      <c r="GM207" s="112" t="str">
        <f t="shared" si="1046"/>
        <v>x</v>
      </c>
      <c r="GN207" s="112"/>
      <c r="GO207" s="112" t="str">
        <f t="shared" si="1129"/>
        <v>x</v>
      </c>
      <c r="GP207" s="112" t="str">
        <f t="shared" si="1130"/>
        <v>x</v>
      </c>
      <c r="GQ207" s="112" t="str">
        <f t="shared" si="1131"/>
        <v>x</v>
      </c>
      <c r="GR207" s="112" t="str">
        <f t="shared" si="1132"/>
        <v>x</v>
      </c>
      <c r="GS207" s="112" t="str">
        <f t="shared" si="1050"/>
        <v>x</v>
      </c>
      <c r="GT207" s="112" t="str">
        <f t="shared" si="1051"/>
        <v>x</v>
      </c>
      <c r="GU207" s="112" t="str">
        <f t="shared" si="1052"/>
        <v>x</v>
      </c>
      <c r="GV207" s="112" t="str">
        <f t="shared" si="1053"/>
        <v>x</v>
      </c>
      <c r="GW207" s="112" t="str">
        <f t="shared" si="1054"/>
        <v>x</v>
      </c>
      <c r="GX207" s="112" t="str">
        <f t="shared" si="1055"/>
        <v>x</v>
      </c>
      <c r="GY207" s="112" t="str">
        <f t="shared" si="1056"/>
        <v>x</v>
      </c>
      <c r="GZ207" s="112" t="str">
        <f t="shared" si="1057"/>
        <v>x</v>
      </c>
      <c r="HA207" s="112" t="str">
        <f t="shared" si="1133"/>
        <v>x</v>
      </c>
      <c r="HB207" s="112" t="str">
        <f t="shared" si="1134"/>
        <v>x</v>
      </c>
      <c r="HC207" s="111"/>
      <c r="HD207" s="111"/>
      <c r="HE207" s="111"/>
      <c r="HF207" s="111"/>
      <c r="HG207" s="111"/>
      <c r="HH207" s="112" t="str">
        <f t="shared" si="1135"/>
        <v>x</v>
      </c>
      <c r="HI207" s="111"/>
      <c r="HJ207" s="112"/>
      <c r="HK207" s="112" t="str">
        <f t="shared" si="1136"/>
        <v>x</v>
      </c>
      <c r="HL207" s="112"/>
      <c r="HM207" s="112"/>
      <c r="HN207" s="112"/>
      <c r="HO207" s="112"/>
      <c r="HP207" s="112"/>
      <c r="HQ207" s="112"/>
      <c r="HR207" s="112"/>
      <c r="HS207" s="112"/>
      <c r="HT207" s="112"/>
      <c r="HU207" s="112"/>
      <c r="HV207" s="112" t="str">
        <f t="shared" si="1059"/>
        <v>x</v>
      </c>
      <c r="HW207" s="112" t="str">
        <f t="shared" si="1137"/>
        <v>x</v>
      </c>
      <c r="HX207" s="112" t="str">
        <f t="shared" si="1138"/>
        <v>x</v>
      </c>
      <c r="HY207" s="112" t="str">
        <f t="shared" si="1139"/>
        <v>x</v>
      </c>
      <c r="HZ207" s="112"/>
      <c r="IA207" s="112"/>
      <c r="IB207" s="112"/>
      <c r="IC207" s="112"/>
      <c r="ID207" s="112"/>
      <c r="IE207" s="112"/>
      <c r="IF207" s="112"/>
      <c r="IG207" s="112" t="str">
        <f t="shared" si="1140"/>
        <v>x</v>
      </c>
      <c r="IH207" s="112" t="str">
        <f t="shared" si="1063"/>
        <v>x</v>
      </c>
      <c r="II207" s="112" t="str">
        <f t="shared" si="1064"/>
        <v>x</v>
      </c>
      <c r="IJ207" s="112" t="str">
        <f t="shared" si="1065"/>
        <v>x</v>
      </c>
      <c r="IK207" s="112" t="str">
        <f t="shared" si="1066"/>
        <v>x</v>
      </c>
      <c r="IL207" s="111"/>
      <c r="IM207" s="112" t="str">
        <f t="shared" si="1067"/>
        <v>x</v>
      </c>
      <c r="IN207" s="112"/>
      <c r="IO207" s="111"/>
      <c r="IP207" s="112" t="str">
        <f t="shared" si="1068"/>
        <v>x</v>
      </c>
      <c r="IQ207" s="112"/>
      <c r="IR207" s="111"/>
      <c r="IS207" s="111"/>
      <c r="IT207" s="111"/>
      <c r="IU207" s="112" t="str">
        <f t="shared" si="1069"/>
        <v>x</v>
      </c>
      <c r="IV207" s="112"/>
      <c r="IW207" s="112" t="str">
        <f t="shared" si="1070"/>
        <v>x</v>
      </c>
      <c r="IX207" s="112" t="str">
        <f t="shared" si="1071"/>
        <v>x</v>
      </c>
      <c r="IY207" s="111"/>
      <c r="IZ207" s="112" t="str">
        <f t="shared" si="1141"/>
        <v>x</v>
      </c>
      <c r="JA207" s="111"/>
      <c r="JB207" s="112"/>
      <c r="JC207" s="111"/>
      <c r="JD207" s="112"/>
      <c r="JE207" s="112"/>
      <c r="JF207" s="112" t="str">
        <f t="shared" si="1073"/>
        <v>x</v>
      </c>
      <c r="JG207" s="112"/>
      <c r="JH207" s="111"/>
      <c r="JI207" s="112"/>
      <c r="JJ207" s="112"/>
      <c r="JK207" s="112" t="str">
        <f t="shared" si="1142"/>
        <v>x</v>
      </c>
      <c r="JL207" s="112" t="str">
        <f t="shared" si="1074"/>
        <v>x</v>
      </c>
      <c r="JM207" s="112"/>
      <c r="JN207" s="112"/>
      <c r="JO207" s="112"/>
      <c r="JP207" s="112"/>
      <c r="JQ207" s="112" t="str">
        <f t="shared" si="1075"/>
        <v>x</v>
      </c>
      <c r="JR207" s="112"/>
      <c r="JS207" s="112" t="str">
        <f t="shared" si="1076"/>
        <v>x</v>
      </c>
      <c r="JT207" s="111"/>
      <c r="JU207" s="111"/>
      <c r="JV207" s="112"/>
      <c r="JW207" s="112"/>
      <c r="JX207" s="112"/>
      <c r="JY207" s="112"/>
      <c r="JZ207" s="112"/>
      <c r="KA207" s="112" t="str">
        <f t="shared" si="1143"/>
        <v>x</v>
      </c>
      <c r="KB207" s="111"/>
      <c r="KC207" s="112" t="str">
        <f t="shared" si="1078"/>
        <v>x</v>
      </c>
      <c r="KD207" s="112"/>
      <c r="KE207" s="112" t="str">
        <f t="shared" si="1144"/>
        <v>x</v>
      </c>
      <c r="KF207" s="112"/>
      <c r="KG207" s="112"/>
      <c r="KH207" s="112"/>
      <c r="KI207" s="112"/>
      <c r="KJ207" s="112"/>
      <c r="KK207" s="112"/>
      <c r="KL207" s="112"/>
      <c r="KM207" s="112"/>
      <c r="KN207" s="112"/>
      <c r="KO207" s="112"/>
      <c r="KP207" s="112"/>
      <c r="KQ207" s="112"/>
      <c r="KR207" s="112"/>
      <c r="KS207" s="112"/>
      <c r="KT207" s="112"/>
      <c r="KU207" s="112"/>
      <c r="KV207" s="112"/>
      <c r="KW207" s="112"/>
      <c r="KX207" s="112"/>
      <c r="KY207" s="112"/>
      <c r="KZ207" s="112"/>
      <c r="LA207" s="112"/>
      <c r="LB207" s="111"/>
      <c r="LC207" s="111"/>
      <c r="LD207" s="111"/>
      <c r="LE207" s="111"/>
      <c r="LF207" s="111"/>
      <c r="LG207" s="111"/>
      <c r="LH207" s="111"/>
      <c r="LI207" s="111"/>
      <c r="LJ207" s="111"/>
      <c r="LK207" s="111"/>
      <c r="LL207" s="111"/>
      <c r="LM207" s="111"/>
      <c r="LN207" s="111"/>
      <c r="LO207" s="111"/>
      <c r="LP207" s="111"/>
      <c r="LQ207" s="111"/>
      <c r="LR207" s="111"/>
      <c r="LS207" s="111"/>
      <c r="LT207" s="111"/>
      <c r="LU207" s="111"/>
      <c r="LV207" s="111"/>
      <c r="LW207" s="111"/>
      <c r="LX207" s="111"/>
      <c r="LY207" s="111"/>
      <c r="LZ207" s="111"/>
      <c r="MA207" s="111"/>
      <c r="MB207" s="111"/>
      <c r="MC207" s="112" t="str">
        <f t="shared" si="1080"/>
        <v>x</v>
      </c>
      <c r="MD207" s="111"/>
      <c r="ME207" s="111"/>
      <c r="MF207" s="111"/>
      <c r="MG207" s="111"/>
      <c r="MH207" s="112" t="str">
        <f t="shared" si="1081"/>
        <v>x</v>
      </c>
    </row>
    <row r="208" spans="1:346" x14ac:dyDescent="0.25">
      <c r="A208" s="110" t="s">
        <v>7</v>
      </c>
      <c r="B208" s="101" t="s">
        <v>134</v>
      </c>
      <c r="C208" s="102"/>
      <c r="D208" s="102"/>
      <c r="E208" s="102"/>
      <c r="F208" s="102"/>
      <c r="G208" s="102"/>
      <c r="H208" s="102"/>
      <c r="I208" s="102"/>
      <c r="J208" s="103"/>
      <c r="K208" s="111"/>
      <c r="L208" s="111"/>
      <c r="M208" s="112" t="str">
        <f t="shared" si="1082"/>
        <v>x</v>
      </c>
      <c r="N208" s="112"/>
      <c r="O208" s="112" t="str">
        <f t="shared" si="1083"/>
        <v>x</v>
      </c>
      <c r="P208" s="112"/>
      <c r="Q208" s="112"/>
      <c r="R208" s="112"/>
      <c r="S208" s="112"/>
      <c r="T208" s="112"/>
      <c r="U208" s="112"/>
      <c r="V208" s="111"/>
      <c r="W208" s="112"/>
      <c r="X208" s="111"/>
      <c r="Y208" s="111"/>
      <c r="Z208" s="111"/>
      <c r="AA208" s="111"/>
      <c r="AB208" s="111"/>
      <c r="AC208" s="112" t="str">
        <f t="shared" si="973"/>
        <v>x</v>
      </c>
      <c r="AD208" s="111"/>
      <c r="AE208" s="112" t="str">
        <f t="shared" si="1084"/>
        <v>x</v>
      </c>
      <c r="AF208" s="111"/>
      <c r="AG208" s="112" t="str">
        <f t="shared" si="1085"/>
        <v>x</v>
      </c>
      <c r="AH208" s="111"/>
      <c r="AI208" s="111"/>
      <c r="AJ208" s="111"/>
      <c r="AK208" s="111"/>
      <c r="AL208" s="111"/>
      <c r="AM208" s="111"/>
      <c r="AN208" s="112"/>
      <c r="AO208" s="112"/>
      <c r="AP208" s="112"/>
      <c r="AQ208" s="112"/>
      <c r="AR208" s="112"/>
      <c r="AS208" s="112"/>
      <c r="AT208" s="112"/>
      <c r="AU208" s="113"/>
      <c r="AV208" s="114" t="str">
        <f t="shared" si="1086"/>
        <v>x</v>
      </c>
      <c r="AW208" s="114" t="str">
        <f t="shared" si="1087"/>
        <v>x</v>
      </c>
      <c r="AX208" s="111"/>
      <c r="AY208" s="111"/>
      <c r="AZ208" s="112" t="str">
        <f t="shared" si="1088"/>
        <v>x</v>
      </c>
      <c r="BA208" s="112" t="str">
        <f t="shared" si="1089"/>
        <v>x</v>
      </c>
      <c r="BB208" s="111"/>
      <c r="BC208" s="111"/>
      <c r="BD208" s="111"/>
      <c r="BE208" s="111"/>
      <c r="BF208" s="111"/>
      <c r="BG208" s="111"/>
      <c r="BH208" s="111"/>
      <c r="BI208" s="111"/>
      <c r="BJ208" s="112" t="str">
        <f t="shared" si="979"/>
        <v>x</v>
      </c>
      <c r="BK208" s="111"/>
      <c r="BL208" s="112" t="str">
        <f t="shared" si="1090"/>
        <v>x</v>
      </c>
      <c r="BM208" s="111"/>
      <c r="BN208" s="111"/>
      <c r="BO208" s="111"/>
      <c r="BP208" s="111"/>
      <c r="BQ208" s="111"/>
      <c r="BR208" s="112" t="str">
        <f t="shared" si="1091"/>
        <v>x</v>
      </c>
      <c r="BS208" s="112"/>
      <c r="BT208" s="111"/>
      <c r="BU208" s="112" t="str">
        <f t="shared" si="1092"/>
        <v>x</v>
      </c>
      <c r="BV208" s="112" t="str">
        <f t="shared" si="983"/>
        <v>x</v>
      </c>
      <c r="BW208" s="112"/>
      <c r="BX208" s="112"/>
      <c r="BY208" s="112"/>
      <c r="BZ208" s="112" t="str">
        <f t="shared" si="1093"/>
        <v>x</v>
      </c>
      <c r="CA208" s="112" t="str">
        <f t="shared" si="1094"/>
        <v>x</v>
      </c>
      <c r="CB208" s="112" t="str">
        <f t="shared" si="1095"/>
        <v>x</v>
      </c>
      <c r="CC208" s="112"/>
      <c r="CD208" s="112"/>
      <c r="CE208" s="112" t="str">
        <f t="shared" si="987"/>
        <v>x</v>
      </c>
      <c r="CF208" s="112" t="str">
        <f t="shared" si="1096"/>
        <v>x</v>
      </c>
      <c r="CG208" s="112" t="str">
        <f t="shared" si="1097"/>
        <v>x</v>
      </c>
      <c r="CH208" s="112" t="str">
        <f t="shared" si="989"/>
        <v>x</v>
      </c>
      <c r="CI208" s="112" t="str">
        <f t="shared" si="1098"/>
        <v>x</v>
      </c>
      <c r="CJ208" s="112" t="str">
        <f t="shared" si="1099"/>
        <v>x</v>
      </c>
      <c r="CK208" s="112" t="str">
        <f t="shared" si="1100"/>
        <v>x</v>
      </c>
      <c r="CL208" s="112"/>
      <c r="CM208" s="112"/>
      <c r="CN208" s="112"/>
      <c r="CO208" s="112" t="str">
        <f t="shared" si="1101"/>
        <v>x</v>
      </c>
      <c r="CP208" s="112"/>
      <c r="CQ208" s="112" t="str">
        <f t="shared" si="1102"/>
        <v>x</v>
      </c>
      <c r="CR208" s="112"/>
      <c r="CS208" s="112"/>
      <c r="CT208" s="112" t="str">
        <f t="shared" si="1103"/>
        <v>x</v>
      </c>
      <c r="CU208" s="112" t="str">
        <f t="shared" si="993"/>
        <v>x</v>
      </c>
      <c r="CV208" s="112" t="str">
        <f t="shared" si="994"/>
        <v>x</v>
      </c>
      <c r="CW208" s="112" t="str">
        <f t="shared" si="995"/>
        <v>x</v>
      </c>
      <c r="CX208" s="112" t="str">
        <f t="shared" si="1104"/>
        <v>x</v>
      </c>
      <c r="CY208" s="112" t="str">
        <f t="shared" si="1105"/>
        <v>x</v>
      </c>
      <c r="CZ208" s="112"/>
      <c r="DA208" s="112"/>
      <c r="DB208" s="115" t="str">
        <f t="shared" si="1106"/>
        <v>x</v>
      </c>
      <c r="DC208" s="112"/>
      <c r="DD208" s="112"/>
      <c r="DE208" s="112" t="str">
        <f t="shared" si="1107"/>
        <v>x</v>
      </c>
      <c r="DF208" s="115" t="str">
        <f t="shared" si="1108"/>
        <v>x</v>
      </c>
      <c r="DG208" s="112" t="str">
        <f t="shared" si="1109"/>
        <v>x</v>
      </c>
      <c r="DH208" s="112" t="str">
        <f t="shared" si="1110"/>
        <v>x</v>
      </c>
      <c r="DI208" s="112" t="str">
        <f t="shared" si="1001"/>
        <v>x</v>
      </c>
      <c r="DJ208" s="112"/>
      <c r="DK208" s="112"/>
      <c r="DL208" s="112"/>
      <c r="DM208" s="112"/>
      <c r="DN208" s="112"/>
      <c r="DO208" s="111"/>
      <c r="DP208" s="112" t="str">
        <f t="shared" si="1111"/>
        <v>x</v>
      </c>
      <c r="DQ208" s="112" t="str">
        <f t="shared" si="1003"/>
        <v>x</v>
      </c>
      <c r="DR208" s="112" t="str">
        <f t="shared" si="1112"/>
        <v>x</v>
      </c>
      <c r="DS208" s="112" t="str">
        <f t="shared" si="1113"/>
        <v>x</v>
      </c>
      <c r="DT208" s="112"/>
      <c r="DU208" s="112" t="str">
        <f t="shared" si="1004"/>
        <v>x</v>
      </c>
      <c r="DV208" s="112"/>
      <c r="DW208" s="112"/>
      <c r="DX208" s="112" t="str">
        <f t="shared" si="1005"/>
        <v>x</v>
      </c>
      <c r="DY208" s="112" t="str">
        <f t="shared" si="1006"/>
        <v>x</v>
      </c>
      <c r="DZ208" s="112" t="str">
        <f t="shared" si="1007"/>
        <v>x</v>
      </c>
      <c r="EA208" s="112" t="str">
        <f t="shared" si="1008"/>
        <v>x</v>
      </c>
      <c r="EB208" s="112" t="str">
        <f t="shared" si="1009"/>
        <v>x</v>
      </c>
      <c r="EC208" s="111"/>
      <c r="ED208" s="111"/>
      <c r="EE208" s="111"/>
      <c r="EF208" s="111"/>
      <c r="EG208" s="111"/>
      <c r="EH208" s="111"/>
      <c r="EI208" s="112"/>
      <c r="EJ208" s="112"/>
      <c r="EK208" s="112"/>
      <c r="EL208" s="112" t="str">
        <f t="shared" si="1010"/>
        <v>x</v>
      </c>
      <c r="EM208" s="112" t="str">
        <f t="shared" si="1114"/>
        <v>x</v>
      </c>
      <c r="EN208" s="111"/>
      <c r="EO208" s="117" t="str">
        <f t="shared" si="1115"/>
        <v>x</v>
      </c>
      <c r="EP208" s="117" t="str">
        <f t="shared" si="1116"/>
        <v>x</v>
      </c>
      <c r="EQ208" s="112" t="str">
        <f t="shared" si="1014"/>
        <v>x</v>
      </c>
      <c r="ER208" s="111"/>
      <c r="ES208" s="111"/>
      <c r="ET208" s="111"/>
      <c r="EU208" s="111"/>
      <c r="EV208" s="112" t="str">
        <f t="shared" si="1015"/>
        <v>x</v>
      </c>
      <c r="EW208" s="112" t="str">
        <f t="shared" si="1016"/>
        <v>x</v>
      </c>
      <c r="EX208" s="112" t="str">
        <f t="shared" si="1117"/>
        <v>x</v>
      </c>
      <c r="EY208" s="112" t="str">
        <f t="shared" si="1018"/>
        <v>x</v>
      </c>
      <c r="EZ208" s="112"/>
      <c r="FA208" s="111"/>
      <c r="FB208" s="111"/>
      <c r="FC208" s="112" t="str">
        <f t="shared" si="1118"/>
        <v>x</v>
      </c>
      <c r="FD208" s="112" t="str">
        <f t="shared" si="1119"/>
        <v>x</v>
      </c>
      <c r="FE208" s="111"/>
      <c r="FF208" s="112" t="str">
        <f t="shared" si="1120"/>
        <v>x</v>
      </c>
      <c r="FG208" s="111"/>
      <c r="FH208" s="111"/>
      <c r="FI208" s="112"/>
      <c r="FJ208" s="112" t="str">
        <f t="shared" si="1121"/>
        <v>x</v>
      </c>
      <c r="FK208" s="112" t="str">
        <f t="shared" si="1122"/>
        <v>x</v>
      </c>
      <c r="FL208" s="112"/>
      <c r="FM208" s="112" t="str">
        <f t="shared" si="1024"/>
        <v>x</v>
      </c>
      <c r="FN208" s="112" t="str">
        <f t="shared" si="1123"/>
        <v>x</v>
      </c>
      <c r="FO208" s="112" t="str">
        <f t="shared" si="1025"/>
        <v>x</v>
      </c>
      <c r="FP208" s="112"/>
      <c r="FQ208" s="112" t="str">
        <f t="shared" si="1026"/>
        <v>x</v>
      </c>
      <c r="FR208" s="112" t="str">
        <f t="shared" si="1027"/>
        <v>x</v>
      </c>
      <c r="FS208" s="112" t="str">
        <f t="shared" si="1028"/>
        <v>x</v>
      </c>
      <c r="FT208" s="112" t="str">
        <f t="shared" si="1029"/>
        <v>x</v>
      </c>
      <c r="FU208" s="112" t="str">
        <f t="shared" si="1030"/>
        <v>x</v>
      </c>
      <c r="FV208" s="112" t="str">
        <f t="shared" si="1031"/>
        <v>x</v>
      </c>
      <c r="FW208" s="112" t="str">
        <f t="shared" si="1032"/>
        <v>x</v>
      </c>
      <c r="FX208" s="112" t="str">
        <f t="shared" si="1033"/>
        <v>x</v>
      </c>
      <c r="FY208" s="112" t="str">
        <f t="shared" si="1034"/>
        <v>x</v>
      </c>
      <c r="FZ208" s="112" t="str">
        <f t="shared" si="1035"/>
        <v>x</v>
      </c>
      <c r="GA208" s="112" t="str">
        <f t="shared" si="1036"/>
        <v>x</v>
      </c>
      <c r="GB208" s="112" t="str">
        <f t="shared" si="1037"/>
        <v>x</v>
      </c>
      <c r="GC208" s="112" t="str">
        <f t="shared" si="1124"/>
        <v>x</v>
      </c>
      <c r="GD208" s="112" t="str">
        <f t="shared" si="1039"/>
        <v>x</v>
      </c>
      <c r="GE208" s="112" t="str">
        <f t="shared" si="1125"/>
        <v>x</v>
      </c>
      <c r="GF208" s="112" t="str">
        <f t="shared" si="1040"/>
        <v>x</v>
      </c>
      <c r="GG208" s="112" t="str">
        <f t="shared" si="1041"/>
        <v>x</v>
      </c>
      <c r="GH208" s="112" t="str">
        <f t="shared" si="1126"/>
        <v>x</v>
      </c>
      <c r="GI208" s="112" t="str">
        <f t="shared" si="1127"/>
        <v>x</v>
      </c>
      <c r="GJ208" s="112" t="str">
        <f t="shared" si="1128"/>
        <v>x</v>
      </c>
      <c r="GK208" s="111"/>
      <c r="GL208" s="112" t="str">
        <f t="shared" si="1045"/>
        <v>x</v>
      </c>
      <c r="GM208" s="112" t="str">
        <f t="shared" si="1046"/>
        <v>x</v>
      </c>
      <c r="GN208" s="112"/>
      <c r="GO208" s="112" t="str">
        <f t="shared" si="1129"/>
        <v>x</v>
      </c>
      <c r="GP208" s="112" t="str">
        <f t="shared" si="1130"/>
        <v>x</v>
      </c>
      <c r="GQ208" s="112" t="str">
        <f t="shared" si="1131"/>
        <v>x</v>
      </c>
      <c r="GR208" s="112" t="str">
        <f t="shared" si="1132"/>
        <v>x</v>
      </c>
      <c r="GS208" s="112" t="str">
        <f t="shared" si="1050"/>
        <v>x</v>
      </c>
      <c r="GT208" s="112" t="str">
        <f t="shared" si="1051"/>
        <v>x</v>
      </c>
      <c r="GU208" s="112" t="str">
        <f t="shared" si="1052"/>
        <v>x</v>
      </c>
      <c r="GV208" s="112" t="str">
        <f t="shared" si="1053"/>
        <v>x</v>
      </c>
      <c r="GW208" s="112" t="str">
        <f t="shared" si="1054"/>
        <v>x</v>
      </c>
      <c r="GX208" s="112" t="str">
        <f t="shared" si="1055"/>
        <v>x</v>
      </c>
      <c r="GY208" s="112" t="str">
        <f t="shared" si="1056"/>
        <v>x</v>
      </c>
      <c r="GZ208" s="112" t="str">
        <f t="shared" si="1057"/>
        <v>x</v>
      </c>
      <c r="HA208" s="112" t="str">
        <f t="shared" si="1133"/>
        <v>x</v>
      </c>
      <c r="HB208" s="112" t="str">
        <f t="shared" si="1134"/>
        <v>x</v>
      </c>
      <c r="HC208" s="111"/>
      <c r="HD208" s="111"/>
      <c r="HE208" s="111"/>
      <c r="HF208" s="111"/>
      <c r="HG208" s="111"/>
      <c r="HH208" s="112" t="str">
        <f t="shared" si="1135"/>
        <v>x</v>
      </c>
      <c r="HI208" s="111"/>
      <c r="HJ208" s="112"/>
      <c r="HK208" s="112" t="str">
        <f t="shared" si="1136"/>
        <v>x</v>
      </c>
      <c r="HL208" s="112"/>
      <c r="HM208" s="112"/>
      <c r="HN208" s="112"/>
      <c r="HO208" s="112"/>
      <c r="HP208" s="112"/>
      <c r="HQ208" s="112"/>
      <c r="HR208" s="112"/>
      <c r="HS208" s="112"/>
      <c r="HT208" s="112"/>
      <c r="HU208" s="112"/>
      <c r="HV208" s="112" t="str">
        <f t="shared" si="1059"/>
        <v>x</v>
      </c>
      <c r="HW208" s="112" t="str">
        <f t="shared" si="1137"/>
        <v>x</v>
      </c>
      <c r="HX208" s="112" t="str">
        <f t="shared" si="1138"/>
        <v>x</v>
      </c>
      <c r="HY208" s="112" t="str">
        <f t="shared" si="1139"/>
        <v>x</v>
      </c>
      <c r="HZ208" s="112"/>
      <c r="IA208" s="112"/>
      <c r="IB208" s="112"/>
      <c r="IC208" s="112"/>
      <c r="ID208" s="112"/>
      <c r="IE208" s="112"/>
      <c r="IF208" s="112"/>
      <c r="IG208" s="112" t="str">
        <f t="shared" si="1140"/>
        <v>x</v>
      </c>
      <c r="IH208" s="112" t="str">
        <f t="shared" si="1063"/>
        <v>x</v>
      </c>
      <c r="II208" s="112" t="str">
        <f t="shared" si="1064"/>
        <v>x</v>
      </c>
      <c r="IJ208" s="112" t="str">
        <f t="shared" si="1065"/>
        <v>x</v>
      </c>
      <c r="IK208" s="112" t="str">
        <f t="shared" si="1066"/>
        <v>x</v>
      </c>
      <c r="IL208" s="111"/>
      <c r="IM208" s="112" t="str">
        <f t="shared" si="1067"/>
        <v>x</v>
      </c>
      <c r="IN208" s="112"/>
      <c r="IO208" s="111"/>
      <c r="IP208" s="112" t="str">
        <f t="shared" si="1068"/>
        <v>x</v>
      </c>
      <c r="IQ208" s="112"/>
      <c r="IR208" s="111"/>
      <c r="IS208" s="111"/>
      <c r="IT208" s="111"/>
      <c r="IU208" s="112" t="str">
        <f t="shared" si="1069"/>
        <v>x</v>
      </c>
      <c r="IV208" s="112"/>
      <c r="IW208" s="112" t="str">
        <f t="shared" si="1070"/>
        <v>x</v>
      </c>
      <c r="IX208" s="112" t="str">
        <f t="shared" si="1071"/>
        <v>x</v>
      </c>
      <c r="IY208" s="111"/>
      <c r="IZ208" s="112" t="str">
        <f t="shared" si="1141"/>
        <v>x</v>
      </c>
      <c r="JA208" s="111"/>
      <c r="JB208" s="112"/>
      <c r="JC208" s="111"/>
      <c r="JD208" s="112"/>
      <c r="JE208" s="112"/>
      <c r="JF208" s="112" t="str">
        <f t="shared" si="1073"/>
        <v>x</v>
      </c>
      <c r="JG208" s="112"/>
      <c r="JH208" s="111"/>
      <c r="JI208" s="112"/>
      <c r="JJ208" s="112"/>
      <c r="JK208" s="112" t="str">
        <f t="shared" si="1142"/>
        <v>x</v>
      </c>
      <c r="JL208" s="112" t="str">
        <f t="shared" si="1074"/>
        <v>x</v>
      </c>
      <c r="JM208" s="112"/>
      <c r="JN208" s="112"/>
      <c r="JO208" s="112"/>
      <c r="JP208" s="112"/>
      <c r="JQ208" s="112" t="str">
        <f t="shared" si="1075"/>
        <v>x</v>
      </c>
      <c r="JR208" s="112"/>
      <c r="JS208" s="112" t="str">
        <f t="shared" si="1076"/>
        <v>x</v>
      </c>
      <c r="JT208" s="111"/>
      <c r="JU208" s="111"/>
      <c r="JV208" s="112"/>
      <c r="JW208" s="112"/>
      <c r="JX208" s="112"/>
      <c r="JY208" s="112"/>
      <c r="JZ208" s="112"/>
      <c r="KA208" s="112" t="str">
        <f t="shared" si="1143"/>
        <v>x</v>
      </c>
      <c r="KB208" s="111"/>
      <c r="KC208" s="112" t="str">
        <f t="shared" si="1078"/>
        <v>x</v>
      </c>
      <c r="KD208" s="112"/>
      <c r="KE208" s="112" t="str">
        <f t="shared" si="1144"/>
        <v>x</v>
      </c>
      <c r="KF208" s="112"/>
      <c r="KG208" s="112"/>
      <c r="KH208" s="112"/>
      <c r="KI208" s="112"/>
      <c r="KJ208" s="112"/>
      <c r="KK208" s="112"/>
      <c r="KL208" s="112"/>
      <c r="KM208" s="112"/>
      <c r="KN208" s="112"/>
      <c r="KO208" s="112"/>
      <c r="KP208" s="112"/>
      <c r="KQ208" s="112"/>
      <c r="KR208" s="112"/>
      <c r="KS208" s="112"/>
      <c r="KT208" s="112"/>
      <c r="KU208" s="112"/>
      <c r="KV208" s="112"/>
      <c r="KW208" s="112"/>
      <c r="KX208" s="112"/>
      <c r="KY208" s="112"/>
      <c r="KZ208" s="112"/>
      <c r="LA208" s="112"/>
      <c r="LB208" s="111"/>
      <c r="LC208" s="111"/>
      <c r="LD208" s="111"/>
      <c r="LE208" s="111"/>
      <c r="LF208" s="111"/>
      <c r="LG208" s="111"/>
      <c r="LH208" s="111"/>
      <c r="LI208" s="111"/>
      <c r="LJ208" s="111"/>
      <c r="LK208" s="111"/>
      <c r="LL208" s="111"/>
      <c r="LM208" s="111"/>
      <c r="LN208" s="111"/>
      <c r="LO208" s="111"/>
      <c r="LP208" s="111"/>
      <c r="LQ208" s="111"/>
      <c r="LR208" s="111"/>
      <c r="LS208" s="111"/>
      <c r="LT208" s="111"/>
      <c r="LU208" s="111"/>
      <c r="LV208" s="111"/>
      <c r="LW208" s="111"/>
      <c r="LX208" s="111"/>
      <c r="LY208" s="111"/>
      <c r="LZ208" s="111"/>
      <c r="MA208" s="111"/>
      <c r="MB208" s="111"/>
      <c r="MC208" s="112" t="str">
        <f t="shared" si="1080"/>
        <v>x</v>
      </c>
      <c r="MD208" s="111"/>
      <c r="ME208" s="111"/>
      <c r="MF208" s="111"/>
      <c r="MG208" s="111"/>
      <c r="MH208" s="112" t="str">
        <f t="shared" si="1081"/>
        <v>x</v>
      </c>
    </row>
    <row r="209" spans="1:346" x14ac:dyDescent="0.25">
      <c r="A209" s="110" t="s">
        <v>7</v>
      </c>
      <c r="B209" s="101" t="s">
        <v>84</v>
      </c>
      <c r="C209" s="102"/>
      <c r="D209" s="102"/>
      <c r="E209" s="102"/>
      <c r="F209" s="102"/>
      <c r="G209" s="102"/>
      <c r="H209" s="102"/>
      <c r="I209" s="102"/>
      <c r="J209" s="103"/>
      <c r="K209" s="111"/>
      <c r="L209" s="111"/>
      <c r="M209" s="112" t="str">
        <f t="shared" si="1082"/>
        <v>x</v>
      </c>
      <c r="N209" s="112"/>
      <c r="O209" s="112" t="str">
        <f t="shared" si="1083"/>
        <v>x</v>
      </c>
      <c r="P209" s="112"/>
      <c r="Q209" s="112"/>
      <c r="R209" s="112"/>
      <c r="S209" s="112"/>
      <c r="T209" s="112"/>
      <c r="U209" s="112"/>
      <c r="V209" s="111"/>
      <c r="W209" s="112"/>
      <c r="X209" s="111"/>
      <c r="Y209" s="111"/>
      <c r="Z209" s="111"/>
      <c r="AA209" s="111"/>
      <c r="AB209" s="111"/>
      <c r="AC209" s="112" t="str">
        <f t="shared" si="973"/>
        <v>x</v>
      </c>
      <c r="AD209" s="111"/>
      <c r="AE209" s="112" t="str">
        <f t="shared" si="1084"/>
        <v>x</v>
      </c>
      <c r="AF209" s="111"/>
      <c r="AG209" s="112" t="str">
        <f t="shared" si="1085"/>
        <v>x</v>
      </c>
      <c r="AH209" s="111"/>
      <c r="AI209" s="111"/>
      <c r="AJ209" s="111"/>
      <c r="AK209" s="111"/>
      <c r="AL209" s="111"/>
      <c r="AM209" s="111"/>
      <c r="AN209" s="112"/>
      <c r="AO209" s="112"/>
      <c r="AP209" s="112"/>
      <c r="AQ209" s="112"/>
      <c r="AR209" s="112"/>
      <c r="AS209" s="112"/>
      <c r="AT209" s="112"/>
      <c r="AU209" s="113"/>
      <c r="AV209" s="114" t="str">
        <f t="shared" si="1086"/>
        <v>x</v>
      </c>
      <c r="AW209" s="114" t="str">
        <f t="shared" si="1087"/>
        <v>x</v>
      </c>
      <c r="AX209" s="111"/>
      <c r="AY209" s="111"/>
      <c r="AZ209" s="112" t="str">
        <f t="shared" si="1088"/>
        <v>x</v>
      </c>
      <c r="BA209" s="112" t="str">
        <f t="shared" si="1089"/>
        <v>x</v>
      </c>
      <c r="BB209" s="111"/>
      <c r="BC209" s="111"/>
      <c r="BD209" s="111"/>
      <c r="BE209" s="111"/>
      <c r="BF209" s="111"/>
      <c r="BG209" s="111"/>
      <c r="BH209" s="111"/>
      <c r="BI209" s="111"/>
      <c r="BJ209" s="112" t="str">
        <f t="shared" si="979"/>
        <v>x</v>
      </c>
      <c r="BK209" s="111"/>
      <c r="BL209" s="112" t="str">
        <f t="shared" si="1090"/>
        <v>x</v>
      </c>
      <c r="BM209" s="111"/>
      <c r="BN209" s="111"/>
      <c r="BO209" s="111"/>
      <c r="BP209" s="111"/>
      <c r="BQ209" s="111"/>
      <c r="BR209" s="112" t="str">
        <f t="shared" si="1091"/>
        <v>x</v>
      </c>
      <c r="BS209" s="112"/>
      <c r="BT209" s="111"/>
      <c r="BU209" s="112" t="str">
        <f t="shared" si="1092"/>
        <v>x</v>
      </c>
      <c r="BV209" s="112" t="str">
        <f t="shared" si="983"/>
        <v>x</v>
      </c>
      <c r="BW209" s="112"/>
      <c r="BX209" s="112"/>
      <c r="BY209" s="112"/>
      <c r="BZ209" s="112" t="str">
        <f t="shared" si="1093"/>
        <v>x</v>
      </c>
      <c r="CA209" s="112" t="str">
        <f t="shared" si="1094"/>
        <v>x</v>
      </c>
      <c r="CB209" s="112" t="str">
        <f t="shared" si="1095"/>
        <v>x</v>
      </c>
      <c r="CC209" s="112"/>
      <c r="CD209" s="112"/>
      <c r="CE209" s="112" t="str">
        <f t="shared" si="987"/>
        <v>x</v>
      </c>
      <c r="CF209" s="112" t="str">
        <f t="shared" si="1096"/>
        <v>x</v>
      </c>
      <c r="CG209" s="112" t="str">
        <f t="shared" si="1097"/>
        <v>x</v>
      </c>
      <c r="CH209" s="112" t="str">
        <f t="shared" si="989"/>
        <v>x</v>
      </c>
      <c r="CI209" s="112" t="str">
        <f t="shared" si="1098"/>
        <v>x</v>
      </c>
      <c r="CJ209" s="112" t="str">
        <f t="shared" si="1099"/>
        <v>x</v>
      </c>
      <c r="CK209" s="112" t="str">
        <f t="shared" si="1100"/>
        <v>x</v>
      </c>
      <c r="CL209" s="112"/>
      <c r="CM209" s="112"/>
      <c r="CN209" s="112"/>
      <c r="CO209" s="112" t="str">
        <f t="shared" si="1101"/>
        <v>x</v>
      </c>
      <c r="CP209" s="112"/>
      <c r="CQ209" s="112" t="str">
        <f t="shared" si="1102"/>
        <v>x</v>
      </c>
      <c r="CR209" s="112"/>
      <c r="CS209" s="112"/>
      <c r="CT209" s="112" t="str">
        <f t="shared" si="1103"/>
        <v>x</v>
      </c>
      <c r="CU209" s="112" t="str">
        <f t="shared" si="993"/>
        <v>x</v>
      </c>
      <c r="CV209" s="112" t="str">
        <f t="shared" si="994"/>
        <v>x</v>
      </c>
      <c r="CW209" s="112" t="str">
        <f t="shared" si="995"/>
        <v>x</v>
      </c>
      <c r="CX209" s="112" t="str">
        <f t="shared" si="1104"/>
        <v>x</v>
      </c>
      <c r="CY209" s="112" t="str">
        <f t="shared" si="1105"/>
        <v>x</v>
      </c>
      <c r="CZ209" s="112"/>
      <c r="DA209" s="112"/>
      <c r="DB209" s="115" t="str">
        <f t="shared" si="1106"/>
        <v>x</v>
      </c>
      <c r="DC209" s="112"/>
      <c r="DD209" s="112"/>
      <c r="DE209" s="112" t="str">
        <f t="shared" si="1107"/>
        <v>x</v>
      </c>
      <c r="DF209" s="115" t="str">
        <f t="shared" si="1108"/>
        <v>x</v>
      </c>
      <c r="DG209" s="112" t="str">
        <f t="shared" si="1109"/>
        <v>x</v>
      </c>
      <c r="DH209" s="112" t="str">
        <f t="shared" si="1110"/>
        <v>x</v>
      </c>
      <c r="DI209" s="112" t="str">
        <f t="shared" si="1001"/>
        <v>x</v>
      </c>
      <c r="DJ209" s="112"/>
      <c r="DK209" s="112"/>
      <c r="DL209" s="112"/>
      <c r="DM209" s="112"/>
      <c r="DN209" s="112"/>
      <c r="DO209" s="111"/>
      <c r="DP209" s="112" t="str">
        <f t="shared" si="1111"/>
        <v>x</v>
      </c>
      <c r="DQ209" s="112" t="str">
        <f t="shared" si="1003"/>
        <v>x</v>
      </c>
      <c r="DR209" s="112" t="str">
        <f t="shared" si="1112"/>
        <v>x</v>
      </c>
      <c r="DS209" s="112" t="str">
        <f t="shared" si="1113"/>
        <v>x</v>
      </c>
      <c r="DT209" s="112"/>
      <c r="DU209" s="112" t="str">
        <f t="shared" si="1004"/>
        <v>x</v>
      </c>
      <c r="DV209" s="112"/>
      <c r="DW209" s="112"/>
      <c r="DX209" s="112" t="str">
        <f t="shared" si="1005"/>
        <v>x</v>
      </c>
      <c r="DY209" s="112" t="str">
        <f t="shared" si="1006"/>
        <v>x</v>
      </c>
      <c r="DZ209" s="112" t="str">
        <f t="shared" si="1007"/>
        <v>x</v>
      </c>
      <c r="EA209" s="112" t="str">
        <f t="shared" si="1008"/>
        <v>x</v>
      </c>
      <c r="EB209" s="112" t="str">
        <f t="shared" si="1009"/>
        <v>x</v>
      </c>
      <c r="EC209" s="111"/>
      <c r="ED209" s="111"/>
      <c r="EE209" s="111"/>
      <c r="EF209" s="111"/>
      <c r="EG209" s="111"/>
      <c r="EH209" s="111"/>
      <c r="EI209" s="112"/>
      <c r="EJ209" s="112"/>
      <c r="EK209" s="112"/>
      <c r="EL209" s="112" t="str">
        <f t="shared" si="1010"/>
        <v>x</v>
      </c>
      <c r="EM209" s="112" t="str">
        <f t="shared" si="1114"/>
        <v>x</v>
      </c>
      <c r="EN209" s="111"/>
      <c r="EO209" s="117" t="str">
        <f t="shared" si="1115"/>
        <v>x</v>
      </c>
      <c r="EP209" s="117" t="str">
        <f t="shared" si="1116"/>
        <v>x</v>
      </c>
      <c r="EQ209" s="112" t="str">
        <f t="shared" si="1014"/>
        <v>x</v>
      </c>
      <c r="ER209" s="111"/>
      <c r="ES209" s="111"/>
      <c r="ET209" s="111"/>
      <c r="EU209" s="111"/>
      <c r="EV209" s="112" t="str">
        <f t="shared" si="1015"/>
        <v>x</v>
      </c>
      <c r="EW209" s="112" t="str">
        <f t="shared" si="1016"/>
        <v>x</v>
      </c>
      <c r="EX209" s="112" t="str">
        <f t="shared" si="1117"/>
        <v>x</v>
      </c>
      <c r="EY209" s="112" t="str">
        <f t="shared" si="1018"/>
        <v>x</v>
      </c>
      <c r="EZ209" s="112"/>
      <c r="FA209" s="111"/>
      <c r="FB209" s="111"/>
      <c r="FC209" s="112" t="str">
        <f t="shared" si="1118"/>
        <v>x</v>
      </c>
      <c r="FD209" s="112" t="str">
        <f t="shared" si="1119"/>
        <v>x</v>
      </c>
      <c r="FE209" s="111"/>
      <c r="FF209" s="112" t="str">
        <f t="shared" si="1120"/>
        <v>x</v>
      </c>
      <c r="FG209" s="111"/>
      <c r="FH209" s="111"/>
      <c r="FI209" s="112"/>
      <c r="FJ209" s="112" t="str">
        <f t="shared" si="1121"/>
        <v>x</v>
      </c>
      <c r="FK209" s="112" t="str">
        <f t="shared" si="1122"/>
        <v>x</v>
      </c>
      <c r="FL209" s="112"/>
      <c r="FM209" s="112" t="str">
        <f t="shared" si="1024"/>
        <v>x</v>
      </c>
      <c r="FN209" s="112" t="str">
        <f t="shared" si="1123"/>
        <v>x</v>
      </c>
      <c r="FO209" s="112" t="str">
        <f t="shared" si="1025"/>
        <v>x</v>
      </c>
      <c r="FP209" s="112"/>
      <c r="FQ209" s="112" t="str">
        <f t="shared" si="1026"/>
        <v>x</v>
      </c>
      <c r="FR209" s="112" t="str">
        <f t="shared" si="1027"/>
        <v>x</v>
      </c>
      <c r="FS209" s="112" t="str">
        <f t="shared" si="1028"/>
        <v>x</v>
      </c>
      <c r="FT209" s="112" t="str">
        <f t="shared" si="1029"/>
        <v>x</v>
      </c>
      <c r="FU209" s="112" t="str">
        <f t="shared" si="1030"/>
        <v>x</v>
      </c>
      <c r="FV209" s="112" t="str">
        <f t="shared" si="1031"/>
        <v>x</v>
      </c>
      <c r="FW209" s="112" t="str">
        <f t="shared" si="1032"/>
        <v>x</v>
      </c>
      <c r="FX209" s="112" t="str">
        <f t="shared" si="1033"/>
        <v>x</v>
      </c>
      <c r="FY209" s="112" t="str">
        <f t="shared" si="1034"/>
        <v>x</v>
      </c>
      <c r="FZ209" s="112" t="str">
        <f t="shared" si="1035"/>
        <v>x</v>
      </c>
      <c r="GA209" s="112" t="str">
        <f t="shared" si="1036"/>
        <v>x</v>
      </c>
      <c r="GB209" s="112" t="str">
        <f t="shared" si="1037"/>
        <v>x</v>
      </c>
      <c r="GC209" s="112" t="str">
        <f t="shared" si="1124"/>
        <v>x</v>
      </c>
      <c r="GD209" s="112" t="str">
        <f t="shared" si="1039"/>
        <v>x</v>
      </c>
      <c r="GE209" s="112" t="str">
        <f t="shared" si="1125"/>
        <v>x</v>
      </c>
      <c r="GF209" s="112" t="str">
        <f t="shared" si="1040"/>
        <v>x</v>
      </c>
      <c r="GG209" s="112" t="str">
        <f t="shared" si="1041"/>
        <v>x</v>
      </c>
      <c r="GH209" s="112" t="str">
        <f t="shared" si="1126"/>
        <v>x</v>
      </c>
      <c r="GI209" s="112" t="str">
        <f t="shared" si="1127"/>
        <v>x</v>
      </c>
      <c r="GJ209" s="112" t="str">
        <f t="shared" si="1128"/>
        <v>x</v>
      </c>
      <c r="GK209" s="111"/>
      <c r="GL209" s="112" t="str">
        <f t="shared" si="1045"/>
        <v>x</v>
      </c>
      <c r="GM209" s="112" t="str">
        <f t="shared" si="1046"/>
        <v>x</v>
      </c>
      <c r="GN209" s="112"/>
      <c r="GO209" s="112" t="str">
        <f t="shared" si="1129"/>
        <v>x</v>
      </c>
      <c r="GP209" s="112" t="str">
        <f t="shared" si="1130"/>
        <v>x</v>
      </c>
      <c r="GQ209" s="112" t="str">
        <f t="shared" si="1131"/>
        <v>x</v>
      </c>
      <c r="GR209" s="112" t="str">
        <f t="shared" si="1132"/>
        <v>x</v>
      </c>
      <c r="GS209" s="112" t="str">
        <f t="shared" si="1050"/>
        <v>x</v>
      </c>
      <c r="GT209" s="112" t="str">
        <f t="shared" si="1051"/>
        <v>x</v>
      </c>
      <c r="GU209" s="112" t="str">
        <f t="shared" si="1052"/>
        <v>x</v>
      </c>
      <c r="GV209" s="112" t="str">
        <f t="shared" si="1053"/>
        <v>x</v>
      </c>
      <c r="GW209" s="112" t="str">
        <f t="shared" si="1054"/>
        <v>x</v>
      </c>
      <c r="GX209" s="112" t="str">
        <f t="shared" si="1055"/>
        <v>x</v>
      </c>
      <c r="GY209" s="112" t="str">
        <f t="shared" si="1056"/>
        <v>x</v>
      </c>
      <c r="GZ209" s="112" t="str">
        <f t="shared" si="1057"/>
        <v>x</v>
      </c>
      <c r="HA209" s="112" t="str">
        <f t="shared" si="1133"/>
        <v>x</v>
      </c>
      <c r="HB209" s="112" t="str">
        <f t="shared" si="1134"/>
        <v>x</v>
      </c>
      <c r="HC209" s="111"/>
      <c r="HD209" s="111"/>
      <c r="HE209" s="111"/>
      <c r="HF209" s="111"/>
      <c r="HG209" s="111"/>
      <c r="HH209" s="112" t="str">
        <f t="shared" si="1135"/>
        <v>x</v>
      </c>
      <c r="HI209" s="111"/>
      <c r="HJ209" s="112"/>
      <c r="HK209" s="112" t="str">
        <f t="shared" si="1136"/>
        <v>x</v>
      </c>
      <c r="HL209" s="112"/>
      <c r="HM209" s="112"/>
      <c r="HN209" s="112"/>
      <c r="HO209" s="112"/>
      <c r="HP209" s="112"/>
      <c r="HQ209" s="112"/>
      <c r="HR209" s="112"/>
      <c r="HS209" s="112"/>
      <c r="HT209" s="112"/>
      <c r="HU209" s="112"/>
      <c r="HV209" s="112" t="str">
        <f t="shared" si="1059"/>
        <v>x</v>
      </c>
      <c r="HW209" s="112" t="str">
        <f t="shared" si="1137"/>
        <v>x</v>
      </c>
      <c r="HX209" s="112" t="str">
        <f t="shared" si="1138"/>
        <v>x</v>
      </c>
      <c r="HY209" s="112" t="str">
        <f t="shared" si="1139"/>
        <v>x</v>
      </c>
      <c r="HZ209" s="112"/>
      <c r="IA209" s="112"/>
      <c r="IB209" s="112"/>
      <c r="IC209" s="112"/>
      <c r="ID209" s="112"/>
      <c r="IE209" s="112"/>
      <c r="IF209" s="112"/>
      <c r="IG209" s="112" t="str">
        <f t="shared" si="1140"/>
        <v>x</v>
      </c>
      <c r="IH209" s="112" t="str">
        <f t="shared" si="1063"/>
        <v>x</v>
      </c>
      <c r="II209" s="112" t="str">
        <f t="shared" si="1064"/>
        <v>x</v>
      </c>
      <c r="IJ209" s="112" t="str">
        <f t="shared" si="1065"/>
        <v>x</v>
      </c>
      <c r="IK209" s="112" t="str">
        <f t="shared" si="1066"/>
        <v>x</v>
      </c>
      <c r="IL209" s="111"/>
      <c r="IM209" s="112" t="str">
        <f t="shared" si="1067"/>
        <v>x</v>
      </c>
      <c r="IN209" s="112"/>
      <c r="IO209" s="111"/>
      <c r="IP209" s="112" t="str">
        <f t="shared" si="1068"/>
        <v>x</v>
      </c>
      <c r="IQ209" s="112"/>
      <c r="IR209" s="111"/>
      <c r="IS209" s="111"/>
      <c r="IT209" s="111"/>
      <c r="IU209" s="112" t="str">
        <f t="shared" si="1069"/>
        <v>x</v>
      </c>
      <c r="IV209" s="112"/>
      <c r="IW209" s="112" t="str">
        <f t="shared" si="1070"/>
        <v>x</v>
      </c>
      <c r="IX209" s="112" t="str">
        <f t="shared" si="1071"/>
        <v>x</v>
      </c>
      <c r="IY209" s="111"/>
      <c r="IZ209" s="112" t="str">
        <f t="shared" si="1141"/>
        <v>x</v>
      </c>
      <c r="JA209" s="111"/>
      <c r="JB209" s="112"/>
      <c r="JC209" s="111"/>
      <c r="JD209" s="112"/>
      <c r="JE209" s="112"/>
      <c r="JF209" s="112" t="str">
        <f t="shared" si="1073"/>
        <v>x</v>
      </c>
      <c r="JG209" s="112"/>
      <c r="JH209" s="111"/>
      <c r="JI209" s="112"/>
      <c r="JJ209" s="112"/>
      <c r="JK209" s="112" t="str">
        <f t="shared" si="1142"/>
        <v>x</v>
      </c>
      <c r="JL209" s="112" t="str">
        <f t="shared" si="1074"/>
        <v>x</v>
      </c>
      <c r="JM209" s="112"/>
      <c r="JN209" s="112"/>
      <c r="JO209" s="112"/>
      <c r="JP209" s="112"/>
      <c r="JQ209" s="112" t="str">
        <f t="shared" si="1075"/>
        <v>x</v>
      </c>
      <c r="JR209" s="112"/>
      <c r="JS209" s="112" t="str">
        <f t="shared" si="1076"/>
        <v>x</v>
      </c>
      <c r="JT209" s="111"/>
      <c r="JU209" s="111"/>
      <c r="JV209" s="112"/>
      <c r="JW209" s="112"/>
      <c r="JX209" s="112"/>
      <c r="JY209" s="112"/>
      <c r="JZ209" s="112"/>
      <c r="KA209" s="112" t="str">
        <f t="shared" si="1143"/>
        <v>x</v>
      </c>
      <c r="KB209" s="111"/>
      <c r="KC209" s="112" t="str">
        <f t="shared" si="1078"/>
        <v>x</v>
      </c>
      <c r="KD209" s="112"/>
      <c r="KE209" s="112" t="str">
        <f t="shared" si="1144"/>
        <v>x</v>
      </c>
      <c r="KF209" s="112"/>
      <c r="KG209" s="112"/>
      <c r="KH209" s="112"/>
      <c r="KI209" s="112"/>
      <c r="KJ209" s="112"/>
      <c r="KK209" s="112"/>
      <c r="KL209" s="112"/>
      <c r="KM209" s="112"/>
      <c r="KN209" s="112"/>
      <c r="KO209" s="112"/>
      <c r="KP209" s="112"/>
      <c r="KQ209" s="112"/>
      <c r="KR209" s="112"/>
      <c r="KS209" s="112"/>
      <c r="KT209" s="112"/>
      <c r="KU209" s="112"/>
      <c r="KV209" s="112"/>
      <c r="KW209" s="112"/>
      <c r="KX209" s="112"/>
      <c r="KY209" s="112"/>
      <c r="KZ209" s="112"/>
      <c r="LA209" s="112"/>
      <c r="LB209" s="111"/>
      <c r="LC209" s="111"/>
      <c r="LD209" s="111"/>
      <c r="LE209" s="111"/>
      <c r="LF209" s="111"/>
      <c r="LG209" s="111"/>
      <c r="LH209" s="111"/>
      <c r="LI209" s="111"/>
      <c r="LJ209" s="111"/>
      <c r="LK209" s="111"/>
      <c r="LL209" s="111"/>
      <c r="LM209" s="111"/>
      <c r="LN209" s="111"/>
      <c r="LO209" s="111"/>
      <c r="LP209" s="111"/>
      <c r="LQ209" s="111"/>
      <c r="LR209" s="111"/>
      <c r="LS209" s="111"/>
      <c r="LT209" s="111"/>
      <c r="LU209" s="111"/>
      <c r="LV209" s="111"/>
      <c r="LW209" s="111"/>
      <c r="LX209" s="111"/>
      <c r="LY209" s="111"/>
      <c r="LZ209" s="111"/>
      <c r="MA209" s="111"/>
      <c r="MB209" s="111"/>
      <c r="MC209" s="112" t="str">
        <f t="shared" si="1080"/>
        <v>x</v>
      </c>
      <c r="MD209" s="111"/>
      <c r="ME209" s="111"/>
      <c r="MF209" s="111"/>
      <c r="MG209" s="111"/>
      <c r="MH209" s="112" t="str">
        <f t="shared" si="1081"/>
        <v>x</v>
      </c>
    </row>
    <row r="210" spans="1:346" x14ac:dyDescent="0.25">
      <c r="A210" s="110" t="s">
        <v>7</v>
      </c>
      <c r="B210" s="101" t="s">
        <v>85</v>
      </c>
      <c r="C210" s="102"/>
      <c r="D210" s="102"/>
      <c r="E210" s="102"/>
      <c r="F210" s="102"/>
      <c r="G210" s="102"/>
      <c r="H210" s="102"/>
      <c r="I210" s="102"/>
      <c r="J210" s="103"/>
      <c r="K210" s="111"/>
      <c r="L210" s="111"/>
      <c r="M210" s="112" t="str">
        <f t="shared" si="1082"/>
        <v>x</v>
      </c>
      <c r="N210" s="112"/>
      <c r="O210" s="112" t="str">
        <f t="shared" si="1083"/>
        <v>x</v>
      </c>
      <c r="P210" s="112"/>
      <c r="Q210" s="112"/>
      <c r="R210" s="112"/>
      <c r="S210" s="112"/>
      <c r="T210" s="112"/>
      <c r="U210" s="112"/>
      <c r="V210" s="111"/>
      <c r="W210" s="112"/>
      <c r="X210" s="111"/>
      <c r="Y210" s="111"/>
      <c r="Z210" s="111"/>
      <c r="AA210" s="111"/>
      <c r="AB210" s="111"/>
      <c r="AC210" s="112" t="str">
        <f t="shared" si="973"/>
        <v>x</v>
      </c>
      <c r="AD210" s="111"/>
      <c r="AE210" s="112" t="str">
        <f t="shared" si="1084"/>
        <v>x</v>
      </c>
      <c r="AF210" s="111"/>
      <c r="AG210" s="112" t="str">
        <f t="shared" si="1085"/>
        <v>x</v>
      </c>
      <c r="AH210" s="111"/>
      <c r="AI210" s="111"/>
      <c r="AJ210" s="111"/>
      <c r="AK210" s="111"/>
      <c r="AL210" s="111"/>
      <c r="AM210" s="111"/>
      <c r="AN210" s="112"/>
      <c r="AO210" s="112"/>
      <c r="AP210" s="112"/>
      <c r="AQ210" s="112"/>
      <c r="AR210" s="112"/>
      <c r="AS210" s="112"/>
      <c r="AT210" s="112"/>
      <c r="AU210" s="113"/>
      <c r="AV210" s="114" t="str">
        <f t="shared" si="1086"/>
        <v>x</v>
      </c>
      <c r="AW210" s="114" t="str">
        <f t="shared" si="1087"/>
        <v>x</v>
      </c>
      <c r="AX210" s="111"/>
      <c r="AY210" s="111"/>
      <c r="AZ210" s="112" t="str">
        <f t="shared" si="1088"/>
        <v>x</v>
      </c>
      <c r="BA210" s="112" t="str">
        <f t="shared" si="1089"/>
        <v>x</v>
      </c>
      <c r="BB210" s="111"/>
      <c r="BC210" s="111"/>
      <c r="BD210" s="111"/>
      <c r="BE210" s="111"/>
      <c r="BF210" s="111"/>
      <c r="BG210" s="111"/>
      <c r="BH210" s="111"/>
      <c r="BI210" s="111"/>
      <c r="BJ210" s="112" t="str">
        <f t="shared" si="979"/>
        <v>x</v>
      </c>
      <c r="BK210" s="111"/>
      <c r="BL210" s="112" t="str">
        <f t="shared" si="1090"/>
        <v>x</v>
      </c>
      <c r="BM210" s="111"/>
      <c r="BN210" s="111"/>
      <c r="BO210" s="111"/>
      <c r="BP210" s="111"/>
      <c r="BQ210" s="111"/>
      <c r="BR210" s="112" t="str">
        <f t="shared" si="1091"/>
        <v>x</v>
      </c>
      <c r="BS210" s="112"/>
      <c r="BT210" s="111"/>
      <c r="BU210" s="112" t="str">
        <f t="shared" si="1092"/>
        <v>x</v>
      </c>
      <c r="BV210" s="112" t="str">
        <f t="shared" si="983"/>
        <v>x</v>
      </c>
      <c r="BW210" s="112"/>
      <c r="BX210" s="112"/>
      <c r="BY210" s="112"/>
      <c r="BZ210" s="112" t="str">
        <f t="shared" si="1093"/>
        <v>x</v>
      </c>
      <c r="CA210" s="112" t="str">
        <f t="shared" si="1094"/>
        <v>x</v>
      </c>
      <c r="CB210" s="112" t="str">
        <f t="shared" si="1095"/>
        <v>x</v>
      </c>
      <c r="CC210" s="112"/>
      <c r="CD210" s="112"/>
      <c r="CE210" s="112" t="str">
        <f t="shared" si="987"/>
        <v>x</v>
      </c>
      <c r="CF210" s="112" t="str">
        <f t="shared" si="1096"/>
        <v>x</v>
      </c>
      <c r="CG210" s="112" t="str">
        <f t="shared" si="1097"/>
        <v>x</v>
      </c>
      <c r="CH210" s="112" t="str">
        <f t="shared" si="989"/>
        <v>x</v>
      </c>
      <c r="CI210" s="112" t="str">
        <f t="shared" si="1098"/>
        <v>x</v>
      </c>
      <c r="CJ210" s="112" t="str">
        <f t="shared" si="1099"/>
        <v>x</v>
      </c>
      <c r="CK210" s="112" t="str">
        <f t="shared" si="1100"/>
        <v>x</v>
      </c>
      <c r="CL210" s="112"/>
      <c r="CM210" s="112"/>
      <c r="CN210" s="112"/>
      <c r="CO210" s="112" t="str">
        <f t="shared" si="1101"/>
        <v>x</v>
      </c>
      <c r="CP210" s="112"/>
      <c r="CQ210" s="112" t="str">
        <f t="shared" si="1102"/>
        <v>x</v>
      </c>
      <c r="CR210" s="112"/>
      <c r="CS210" s="112"/>
      <c r="CT210" s="112" t="str">
        <f t="shared" si="1103"/>
        <v>x</v>
      </c>
      <c r="CU210" s="112" t="str">
        <f t="shared" si="993"/>
        <v>x</v>
      </c>
      <c r="CV210" s="112" t="str">
        <f t="shared" si="994"/>
        <v>x</v>
      </c>
      <c r="CW210" s="112" t="str">
        <f t="shared" si="995"/>
        <v>x</v>
      </c>
      <c r="CX210" s="112" t="str">
        <f t="shared" si="1104"/>
        <v>x</v>
      </c>
      <c r="CY210" s="112" t="str">
        <f t="shared" si="1105"/>
        <v>x</v>
      </c>
      <c r="CZ210" s="112"/>
      <c r="DA210" s="112"/>
      <c r="DB210" s="115" t="str">
        <f t="shared" si="1106"/>
        <v>x</v>
      </c>
      <c r="DC210" s="112"/>
      <c r="DD210" s="112"/>
      <c r="DE210" s="112" t="str">
        <f t="shared" si="1107"/>
        <v>x</v>
      </c>
      <c r="DF210" s="115" t="str">
        <f t="shared" si="1108"/>
        <v>x</v>
      </c>
      <c r="DG210" s="112" t="str">
        <f t="shared" si="1109"/>
        <v>x</v>
      </c>
      <c r="DH210" s="112" t="str">
        <f t="shared" si="1110"/>
        <v>x</v>
      </c>
      <c r="DI210" s="112" t="str">
        <f t="shared" si="1001"/>
        <v>x</v>
      </c>
      <c r="DJ210" s="112"/>
      <c r="DK210" s="112"/>
      <c r="DL210" s="112"/>
      <c r="DM210" s="112"/>
      <c r="DN210" s="112"/>
      <c r="DO210" s="111"/>
      <c r="DP210" s="112" t="str">
        <f t="shared" si="1111"/>
        <v>x</v>
      </c>
      <c r="DQ210" s="112" t="str">
        <f t="shared" si="1003"/>
        <v>x</v>
      </c>
      <c r="DR210" s="112" t="str">
        <f t="shared" si="1112"/>
        <v>x</v>
      </c>
      <c r="DS210" s="112" t="str">
        <f t="shared" si="1113"/>
        <v>x</v>
      </c>
      <c r="DT210" s="112"/>
      <c r="DU210" s="112" t="str">
        <f t="shared" si="1004"/>
        <v>x</v>
      </c>
      <c r="DV210" s="112"/>
      <c r="DW210" s="112"/>
      <c r="DX210" s="112" t="str">
        <f t="shared" si="1005"/>
        <v>x</v>
      </c>
      <c r="DY210" s="112" t="str">
        <f t="shared" si="1006"/>
        <v>x</v>
      </c>
      <c r="DZ210" s="112" t="str">
        <f t="shared" si="1007"/>
        <v>x</v>
      </c>
      <c r="EA210" s="112" t="str">
        <f t="shared" si="1008"/>
        <v>x</v>
      </c>
      <c r="EB210" s="112" t="str">
        <f t="shared" si="1009"/>
        <v>x</v>
      </c>
      <c r="EC210" s="111"/>
      <c r="ED210" s="111"/>
      <c r="EE210" s="111"/>
      <c r="EF210" s="111"/>
      <c r="EG210" s="111"/>
      <c r="EH210" s="111"/>
      <c r="EI210" s="112"/>
      <c r="EJ210" s="112"/>
      <c r="EK210" s="112"/>
      <c r="EL210" s="112" t="str">
        <f t="shared" si="1010"/>
        <v>x</v>
      </c>
      <c r="EM210" s="112" t="str">
        <f t="shared" si="1114"/>
        <v>x</v>
      </c>
      <c r="EN210" s="111"/>
      <c r="EO210" s="117" t="str">
        <f t="shared" si="1115"/>
        <v>x</v>
      </c>
      <c r="EP210" s="117" t="str">
        <f t="shared" si="1116"/>
        <v>x</v>
      </c>
      <c r="EQ210" s="112" t="str">
        <f t="shared" si="1014"/>
        <v>x</v>
      </c>
      <c r="ER210" s="111"/>
      <c r="ES210" s="111"/>
      <c r="ET210" s="111"/>
      <c r="EU210" s="111"/>
      <c r="EV210" s="112" t="str">
        <f t="shared" si="1015"/>
        <v>x</v>
      </c>
      <c r="EW210" s="112" t="str">
        <f t="shared" si="1016"/>
        <v>x</v>
      </c>
      <c r="EX210" s="112" t="str">
        <f t="shared" si="1117"/>
        <v>x</v>
      </c>
      <c r="EY210" s="112" t="str">
        <f t="shared" si="1018"/>
        <v>x</v>
      </c>
      <c r="EZ210" s="112"/>
      <c r="FA210" s="111"/>
      <c r="FB210" s="111"/>
      <c r="FC210" s="112" t="str">
        <f t="shared" si="1118"/>
        <v>x</v>
      </c>
      <c r="FD210" s="112" t="str">
        <f t="shared" si="1119"/>
        <v>x</v>
      </c>
      <c r="FE210" s="111"/>
      <c r="FF210" s="112" t="str">
        <f t="shared" si="1120"/>
        <v>x</v>
      </c>
      <c r="FG210" s="111"/>
      <c r="FH210" s="111"/>
      <c r="FI210" s="112"/>
      <c r="FJ210" s="112" t="str">
        <f t="shared" si="1121"/>
        <v>x</v>
      </c>
      <c r="FK210" s="112" t="str">
        <f t="shared" si="1122"/>
        <v>x</v>
      </c>
      <c r="FL210" s="112"/>
      <c r="FM210" s="112" t="str">
        <f t="shared" si="1024"/>
        <v>x</v>
      </c>
      <c r="FN210" s="112" t="str">
        <f t="shared" si="1123"/>
        <v>x</v>
      </c>
      <c r="FO210" s="112" t="str">
        <f t="shared" si="1025"/>
        <v>x</v>
      </c>
      <c r="FP210" s="112"/>
      <c r="FQ210" s="112" t="str">
        <f t="shared" si="1026"/>
        <v>x</v>
      </c>
      <c r="FR210" s="112" t="str">
        <f t="shared" si="1027"/>
        <v>x</v>
      </c>
      <c r="FS210" s="112" t="str">
        <f t="shared" si="1028"/>
        <v>x</v>
      </c>
      <c r="FT210" s="112" t="str">
        <f t="shared" si="1029"/>
        <v>x</v>
      </c>
      <c r="FU210" s="112" t="str">
        <f t="shared" si="1030"/>
        <v>x</v>
      </c>
      <c r="FV210" s="112" t="str">
        <f t="shared" si="1031"/>
        <v>x</v>
      </c>
      <c r="FW210" s="112" t="str">
        <f t="shared" si="1032"/>
        <v>x</v>
      </c>
      <c r="FX210" s="112" t="str">
        <f t="shared" si="1033"/>
        <v>x</v>
      </c>
      <c r="FY210" s="112" t="str">
        <f t="shared" si="1034"/>
        <v>x</v>
      </c>
      <c r="FZ210" s="112" t="str">
        <f t="shared" si="1035"/>
        <v>x</v>
      </c>
      <c r="GA210" s="112" t="str">
        <f t="shared" si="1036"/>
        <v>x</v>
      </c>
      <c r="GB210" s="112" t="str">
        <f t="shared" si="1037"/>
        <v>x</v>
      </c>
      <c r="GC210" s="112" t="str">
        <f t="shared" si="1124"/>
        <v>x</v>
      </c>
      <c r="GD210" s="112" t="str">
        <f t="shared" si="1039"/>
        <v>x</v>
      </c>
      <c r="GE210" s="112" t="str">
        <f t="shared" si="1125"/>
        <v>x</v>
      </c>
      <c r="GF210" s="112" t="str">
        <f t="shared" si="1040"/>
        <v>x</v>
      </c>
      <c r="GG210" s="112" t="str">
        <f t="shared" si="1041"/>
        <v>x</v>
      </c>
      <c r="GH210" s="112" t="str">
        <f t="shared" si="1126"/>
        <v>x</v>
      </c>
      <c r="GI210" s="112" t="str">
        <f t="shared" si="1127"/>
        <v>x</v>
      </c>
      <c r="GJ210" s="112" t="str">
        <f t="shared" si="1128"/>
        <v>x</v>
      </c>
      <c r="GK210" s="111"/>
      <c r="GL210" s="112" t="str">
        <f t="shared" si="1045"/>
        <v>x</v>
      </c>
      <c r="GM210" s="112" t="str">
        <f t="shared" si="1046"/>
        <v>x</v>
      </c>
      <c r="GN210" s="112"/>
      <c r="GO210" s="112" t="str">
        <f t="shared" si="1129"/>
        <v>x</v>
      </c>
      <c r="GP210" s="112" t="str">
        <f t="shared" si="1130"/>
        <v>x</v>
      </c>
      <c r="GQ210" s="112" t="str">
        <f t="shared" si="1131"/>
        <v>x</v>
      </c>
      <c r="GR210" s="112" t="str">
        <f t="shared" si="1132"/>
        <v>x</v>
      </c>
      <c r="GS210" s="112" t="str">
        <f t="shared" si="1050"/>
        <v>x</v>
      </c>
      <c r="GT210" s="112" t="str">
        <f t="shared" si="1051"/>
        <v>x</v>
      </c>
      <c r="GU210" s="112" t="str">
        <f t="shared" si="1052"/>
        <v>x</v>
      </c>
      <c r="GV210" s="112" t="str">
        <f t="shared" si="1053"/>
        <v>x</v>
      </c>
      <c r="GW210" s="112" t="str">
        <f t="shared" si="1054"/>
        <v>x</v>
      </c>
      <c r="GX210" s="112" t="str">
        <f t="shared" si="1055"/>
        <v>x</v>
      </c>
      <c r="GY210" s="112" t="str">
        <f t="shared" si="1056"/>
        <v>x</v>
      </c>
      <c r="GZ210" s="112" t="str">
        <f t="shared" si="1057"/>
        <v>x</v>
      </c>
      <c r="HA210" s="112" t="str">
        <f t="shared" si="1133"/>
        <v>x</v>
      </c>
      <c r="HB210" s="112" t="str">
        <f t="shared" si="1134"/>
        <v>x</v>
      </c>
      <c r="HC210" s="111"/>
      <c r="HD210" s="111"/>
      <c r="HE210" s="111"/>
      <c r="HF210" s="111"/>
      <c r="HG210" s="111"/>
      <c r="HH210" s="112" t="str">
        <f t="shared" si="1135"/>
        <v>x</v>
      </c>
      <c r="HI210" s="111"/>
      <c r="HJ210" s="112"/>
      <c r="HK210" s="112" t="str">
        <f t="shared" si="1136"/>
        <v>x</v>
      </c>
      <c r="HL210" s="112"/>
      <c r="HM210" s="112"/>
      <c r="HN210" s="112"/>
      <c r="HO210" s="112"/>
      <c r="HP210" s="112"/>
      <c r="HQ210" s="112"/>
      <c r="HR210" s="112"/>
      <c r="HS210" s="112"/>
      <c r="HT210" s="112"/>
      <c r="HU210" s="112"/>
      <c r="HV210" s="112" t="str">
        <f t="shared" si="1059"/>
        <v>x</v>
      </c>
      <c r="HW210" s="112" t="str">
        <f t="shared" si="1137"/>
        <v>x</v>
      </c>
      <c r="HX210" s="112" t="str">
        <f t="shared" si="1138"/>
        <v>x</v>
      </c>
      <c r="HY210" s="112" t="str">
        <f t="shared" si="1139"/>
        <v>x</v>
      </c>
      <c r="HZ210" s="112"/>
      <c r="IA210" s="112"/>
      <c r="IB210" s="112"/>
      <c r="IC210" s="112"/>
      <c r="ID210" s="112"/>
      <c r="IE210" s="112"/>
      <c r="IF210" s="112"/>
      <c r="IG210" s="112" t="str">
        <f t="shared" si="1140"/>
        <v>x</v>
      </c>
      <c r="IH210" s="112" t="str">
        <f t="shared" si="1063"/>
        <v>x</v>
      </c>
      <c r="II210" s="112" t="str">
        <f t="shared" si="1064"/>
        <v>x</v>
      </c>
      <c r="IJ210" s="112" t="str">
        <f t="shared" si="1065"/>
        <v>x</v>
      </c>
      <c r="IK210" s="112" t="str">
        <f t="shared" si="1066"/>
        <v>x</v>
      </c>
      <c r="IL210" s="111"/>
      <c r="IM210" s="112" t="str">
        <f t="shared" si="1067"/>
        <v>x</v>
      </c>
      <c r="IN210" s="112"/>
      <c r="IO210" s="111"/>
      <c r="IP210" s="112" t="str">
        <f t="shared" si="1068"/>
        <v>x</v>
      </c>
      <c r="IQ210" s="112"/>
      <c r="IR210" s="111"/>
      <c r="IS210" s="111"/>
      <c r="IT210" s="111"/>
      <c r="IU210" s="112" t="str">
        <f t="shared" si="1069"/>
        <v>x</v>
      </c>
      <c r="IV210" s="112"/>
      <c r="IW210" s="112" t="str">
        <f t="shared" si="1070"/>
        <v>x</v>
      </c>
      <c r="IX210" s="112" t="str">
        <f t="shared" si="1071"/>
        <v>x</v>
      </c>
      <c r="IY210" s="111"/>
      <c r="IZ210" s="112" t="str">
        <f t="shared" si="1141"/>
        <v>x</v>
      </c>
      <c r="JA210" s="111"/>
      <c r="JB210" s="112"/>
      <c r="JC210" s="111"/>
      <c r="JD210" s="112"/>
      <c r="JE210" s="112"/>
      <c r="JF210" s="112" t="str">
        <f t="shared" si="1073"/>
        <v>x</v>
      </c>
      <c r="JG210" s="112"/>
      <c r="JH210" s="111"/>
      <c r="JI210" s="112"/>
      <c r="JJ210" s="112"/>
      <c r="JK210" s="112" t="str">
        <f t="shared" si="1142"/>
        <v>x</v>
      </c>
      <c r="JL210" s="112" t="str">
        <f t="shared" si="1074"/>
        <v>x</v>
      </c>
      <c r="JM210" s="112"/>
      <c r="JN210" s="112"/>
      <c r="JO210" s="112"/>
      <c r="JP210" s="112"/>
      <c r="JQ210" s="112" t="str">
        <f t="shared" si="1075"/>
        <v>x</v>
      </c>
      <c r="JR210" s="112"/>
      <c r="JS210" s="112" t="str">
        <f t="shared" si="1076"/>
        <v>x</v>
      </c>
      <c r="JT210" s="111"/>
      <c r="JU210" s="111"/>
      <c r="JV210" s="112"/>
      <c r="JW210" s="112"/>
      <c r="JX210" s="112"/>
      <c r="JY210" s="112"/>
      <c r="JZ210" s="112"/>
      <c r="KA210" s="112" t="str">
        <f t="shared" si="1143"/>
        <v>x</v>
      </c>
      <c r="KB210" s="111"/>
      <c r="KC210" s="112" t="str">
        <f t="shared" si="1078"/>
        <v>x</v>
      </c>
      <c r="KD210" s="112"/>
      <c r="KE210" s="112" t="str">
        <f t="shared" si="1144"/>
        <v>x</v>
      </c>
      <c r="KF210" s="112"/>
      <c r="KG210" s="112"/>
      <c r="KH210" s="112"/>
      <c r="KI210" s="112"/>
      <c r="KJ210" s="112"/>
      <c r="KK210" s="112"/>
      <c r="KL210" s="112"/>
      <c r="KM210" s="112"/>
      <c r="KN210" s="112"/>
      <c r="KO210" s="112"/>
      <c r="KP210" s="112"/>
      <c r="KQ210" s="112"/>
      <c r="KR210" s="112"/>
      <c r="KS210" s="112"/>
      <c r="KT210" s="112"/>
      <c r="KU210" s="112"/>
      <c r="KV210" s="112"/>
      <c r="KW210" s="112"/>
      <c r="KX210" s="112"/>
      <c r="KY210" s="112"/>
      <c r="KZ210" s="112"/>
      <c r="LA210" s="112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2" t="str">
        <f t="shared" si="1080"/>
        <v>x</v>
      </c>
      <c r="MD210" s="111"/>
      <c r="ME210" s="111"/>
      <c r="MF210" s="111"/>
      <c r="MG210" s="111"/>
      <c r="MH210" s="112" t="str">
        <f t="shared" si="1081"/>
        <v>x</v>
      </c>
    </row>
    <row r="211" spans="1:346" x14ac:dyDescent="0.25">
      <c r="A211" s="110" t="s">
        <v>7</v>
      </c>
      <c r="B211" s="101" t="s">
        <v>414</v>
      </c>
      <c r="C211" s="102"/>
      <c r="D211" s="102"/>
      <c r="E211" s="102"/>
      <c r="F211" s="102"/>
      <c r="G211" s="102"/>
      <c r="H211" s="102"/>
      <c r="I211" s="102"/>
      <c r="J211" s="103"/>
      <c r="K211" s="111"/>
      <c r="L211" s="111"/>
      <c r="M211" s="112" t="str">
        <f t="shared" si="1082"/>
        <v>x</v>
      </c>
      <c r="N211" s="112"/>
      <c r="O211" s="112" t="str">
        <f t="shared" si="1083"/>
        <v>x</v>
      </c>
      <c r="P211" s="112"/>
      <c r="Q211" s="112"/>
      <c r="R211" s="112"/>
      <c r="S211" s="112"/>
      <c r="T211" s="112"/>
      <c r="U211" s="112"/>
      <c r="V211" s="111"/>
      <c r="W211" s="112"/>
      <c r="X211" s="111"/>
      <c r="Y211" s="111"/>
      <c r="Z211" s="111"/>
      <c r="AA211" s="111"/>
      <c r="AB211" s="111"/>
      <c r="AC211" s="112" t="str">
        <f t="shared" si="973"/>
        <v>x</v>
      </c>
      <c r="AD211" s="111"/>
      <c r="AE211" s="112" t="str">
        <f t="shared" si="1084"/>
        <v>x</v>
      </c>
      <c r="AF211" s="111"/>
      <c r="AG211" s="112" t="str">
        <f t="shared" si="1085"/>
        <v>x</v>
      </c>
      <c r="AH211" s="111"/>
      <c r="AI211" s="111"/>
      <c r="AJ211" s="111"/>
      <c r="AK211" s="111"/>
      <c r="AL211" s="111"/>
      <c r="AM211" s="111"/>
      <c r="AN211" s="112"/>
      <c r="AO211" s="112"/>
      <c r="AP211" s="112"/>
      <c r="AQ211" s="112"/>
      <c r="AR211" s="112"/>
      <c r="AS211" s="112"/>
      <c r="AT211" s="112"/>
      <c r="AU211" s="113"/>
      <c r="AV211" s="114" t="str">
        <f t="shared" si="1086"/>
        <v>x</v>
      </c>
      <c r="AW211" s="114" t="str">
        <f t="shared" si="1087"/>
        <v>x</v>
      </c>
      <c r="AX211" s="111"/>
      <c r="AY211" s="111"/>
      <c r="AZ211" s="112" t="str">
        <f t="shared" si="1088"/>
        <v>x</v>
      </c>
      <c r="BA211" s="112" t="str">
        <f t="shared" si="1089"/>
        <v>x</v>
      </c>
      <c r="BB211" s="111"/>
      <c r="BC211" s="111"/>
      <c r="BD211" s="111"/>
      <c r="BE211" s="111"/>
      <c r="BF211" s="111"/>
      <c r="BG211" s="111"/>
      <c r="BH211" s="111"/>
      <c r="BI211" s="111"/>
      <c r="BJ211" s="112" t="str">
        <f t="shared" si="979"/>
        <v>x</v>
      </c>
      <c r="BK211" s="111"/>
      <c r="BL211" s="112" t="str">
        <f t="shared" si="1090"/>
        <v>x</v>
      </c>
      <c r="BM211" s="111"/>
      <c r="BN211" s="111"/>
      <c r="BO211" s="111"/>
      <c r="BP211" s="111"/>
      <c r="BQ211" s="111"/>
      <c r="BR211" s="112" t="str">
        <f t="shared" si="1091"/>
        <v>x</v>
      </c>
      <c r="BS211" s="112"/>
      <c r="BT211" s="111"/>
      <c r="BU211" s="112" t="str">
        <f t="shared" si="1092"/>
        <v>x</v>
      </c>
      <c r="BV211" s="112" t="str">
        <f t="shared" si="983"/>
        <v>x</v>
      </c>
      <c r="BW211" s="112"/>
      <c r="BX211" s="112"/>
      <c r="BY211" s="112"/>
      <c r="BZ211" s="112" t="str">
        <f t="shared" si="1093"/>
        <v>x</v>
      </c>
      <c r="CA211" s="112" t="str">
        <f t="shared" si="1094"/>
        <v>x</v>
      </c>
      <c r="CB211" s="112" t="str">
        <f t="shared" si="1095"/>
        <v>x</v>
      </c>
      <c r="CC211" s="112"/>
      <c r="CD211" s="112"/>
      <c r="CE211" s="112" t="str">
        <f t="shared" si="987"/>
        <v>x</v>
      </c>
      <c r="CF211" s="112" t="str">
        <f t="shared" si="1096"/>
        <v>x</v>
      </c>
      <c r="CG211" s="112" t="str">
        <f t="shared" si="1097"/>
        <v>x</v>
      </c>
      <c r="CH211" s="112" t="str">
        <f t="shared" si="989"/>
        <v>x</v>
      </c>
      <c r="CI211" s="112" t="str">
        <f t="shared" si="1098"/>
        <v>x</v>
      </c>
      <c r="CJ211" s="112" t="str">
        <f t="shared" si="1099"/>
        <v>x</v>
      </c>
      <c r="CK211" s="112" t="str">
        <f t="shared" si="1100"/>
        <v>x</v>
      </c>
      <c r="CL211" s="112"/>
      <c r="CM211" s="112"/>
      <c r="CN211" s="112"/>
      <c r="CO211" s="112" t="str">
        <f t="shared" si="1101"/>
        <v>x</v>
      </c>
      <c r="CP211" s="112"/>
      <c r="CQ211" s="112" t="str">
        <f t="shared" si="1102"/>
        <v>x</v>
      </c>
      <c r="CR211" s="112"/>
      <c r="CS211" s="112"/>
      <c r="CT211" s="112" t="str">
        <f t="shared" si="1103"/>
        <v>x</v>
      </c>
      <c r="CU211" s="112" t="str">
        <f t="shared" si="993"/>
        <v>x</v>
      </c>
      <c r="CV211" s="112" t="str">
        <f t="shared" si="994"/>
        <v>x</v>
      </c>
      <c r="CW211" s="112" t="str">
        <f t="shared" si="995"/>
        <v>x</v>
      </c>
      <c r="CX211" s="112" t="str">
        <f t="shared" si="1104"/>
        <v>x</v>
      </c>
      <c r="CY211" s="112" t="str">
        <f t="shared" si="1105"/>
        <v>x</v>
      </c>
      <c r="CZ211" s="112"/>
      <c r="DA211" s="112"/>
      <c r="DB211" s="115" t="str">
        <f t="shared" si="1106"/>
        <v>x</v>
      </c>
      <c r="DC211" s="112"/>
      <c r="DD211" s="112"/>
      <c r="DE211" s="112" t="str">
        <f t="shared" si="1107"/>
        <v>x</v>
      </c>
      <c r="DF211" s="115" t="str">
        <f t="shared" si="1108"/>
        <v>x</v>
      </c>
      <c r="DG211" s="112" t="str">
        <f t="shared" si="1109"/>
        <v>x</v>
      </c>
      <c r="DH211" s="112" t="str">
        <f t="shared" si="1110"/>
        <v>x</v>
      </c>
      <c r="DI211" s="112" t="str">
        <f t="shared" si="1001"/>
        <v>x</v>
      </c>
      <c r="DJ211" s="112"/>
      <c r="DK211" s="112"/>
      <c r="DL211" s="112"/>
      <c r="DM211" s="112"/>
      <c r="DN211" s="112"/>
      <c r="DO211" s="111"/>
      <c r="DP211" s="112" t="str">
        <f t="shared" si="1111"/>
        <v>x</v>
      </c>
      <c r="DQ211" s="112" t="str">
        <f t="shared" si="1003"/>
        <v>x</v>
      </c>
      <c r="DR211" s="112" t="str">
        <f t="shared" si="1112"/>
        <v>x</v>
      </c>
      <c r="DS211" s="112" t="str">
        <f t="shared" si="1113"/>
        <v>x</v>
      </c>
      <c r="DT211" s="112"/>
      <c r="DU211" s="112" t="str">
        <f t="shared" si="1004"/>
        <v>x</v>
      </c>
      <c r="DV211" s="112"/>
      <c r="DW211" s="112"/>
      <c r="DX211" s="112" t="str">
        <f t="shared" si="1005"/>
        <v>x</v>
      </c>
      <c r="DY211" s="112" t="str">
        <f t="shared" si="1006"/>
        <v>x</v>
      </c>
      <c r="DZ211" s="112" t="str">
        <f t="shared" si="1007"/>
        <v>x</v>
      </c>
      <c r="EA211" s="112" t="str">
        <f t="shared" si="1008"/>
        <v>x</v>
      </c>
      <c r="EB211" s="112" t="str">
        <f t="shared" si="1009"/>
        <v>x</v>
      </c>
      <c r="EC211" s="111"/>
      <c r="ED211" s="111"/>
      <c r="EE211" s="111"/>
      <c r="EF211" s="111"/>
      <c r="EG211" s="111"/>
      <c r="EH211" s="111"/>
      <c r="EI211" s="112"/>
      <c r="EJ211" s="112"/>
      <c r="EK211" s="112"/>
      <c r="EL211" s="112" t="str">
        <f t="shared" si="1010"/>
        <v>x</v>
      </c>
      <c r="EM211" s="112" t="str">
        <f t="shared" si="1114"/>
        <v>x</v>
      </c>
      <c r="EN211" s="111"/>
      <c r="EO211" s="117" t="str">
        <f t="shared" si="1115"/>
        <v>x</v>
      </c>
      <c r="EP211" s="117" t="str">
        <f t="shared" si="1116"/>
        <v>x</v>
      </c>
      <c r="EQ211" s="112" t="str">
        <f t="shared" si="1014"/>
        <v>x</v>
      </c>
      <c r="ER211" s="111"/>
      <c r="ES211" s="111"/>
      <c r="ET211" s="111"/>
      <c r="EU211" s="111"/>
      <c r="EV211" s="112" t="str">
        <f t="shared" si="1015"/>
        <v>x</v>
      </c>
      <c r="EW211" s="112" t="str">
        <f t="shared" si="1016"/>
        <v>x</v>
      </c>
      <c r="EX211" s="112" t="str">
        <f t="shared" si="1117"/>
        <v>x</v>
      </c>
      <c r="EY211" s="112" t="str">
        <f t="shared" si="1018"/>
        <v>x</v>
      </c>
      <c r="EZ211" s="112"/>
      <c r="FA211" s="111"/>
      <c r="FB211" s="111"/>
      <c r="FC211" s="112" t="str">
        <f t="shared" si="1118"/>
        <v>x</v>
      </c>
      <c r="FD211" s="112" t="str">
        <f t="shared" si="1119"/>
        <v>x</v>
      </c>
      <c r="FE211" s="111"/>
      <c r="FF211" s="112" t="str">
        <f t="shared" si="1120"/>
        <v>x</v>
      </c>
      <c r="FG211" s="111"/>
      <c r="FH211" s="111"/>
      <c r="FI211" s="112"/>
      <c r="FJ211" s="112" t="str">
        <f t="shared" si="1121"/>
        <v>x</v>
      </c>
      <c r="FK211" s="112" t="str">
        <f t="shared" si="1122"/>
        <v>x</v>
      </c>
      <c r="FL211" s="112"/>
      <c r="FM211" s="112" t="str">
        <f t="shared" si="1024"/>
        <v>x</v>
      </c>
      <c r="FN211" s="112" t="str">
        <f t="shared" si="1123"/>
        <v>x</v>
      </c>
      <c r="FO211" s="112" t="str">
        <f t="shared" si="1025"/>
        <v>x</v>
      </c>
      <c r="FP211" s="112"/>
      <c r="FQ211" s="112" t="str">
        <f t="shared" si="1026"/>
        <v>x</v>
      </c>
      <c r="FR211" s="112" t="str">
        <f t="shared" si="1027"/>
        <v>x</v>
      </c>
      <c r="FS211" s="112" t="str">
        <f t="shared" si="1028"/>
        <v>x</v>
      </c>
      <c r="FT211" s="112" t="str">
        <f t="shared" si="1029"/>
        <v>x</v>
      </c>
      <c r="FU211" s="112" t="str">
        <f t="shared" si="1030"/>
        <v>x</v>
      </c>
      <c r="FV211" s="112" t="str">
        <f t="shared" si="1031"/>
        <v>x</v>
      </c>
      <c r="FW211" s="112" t="str">
        <f t="shared" si="1032"/>
        <v>x</v>
      </c>
      <c r="FX211" s="112" t="str">
        <f t="shared" si="1033"/>
        <v>x</v>
      </c>
      <c r="FY211" s="112" t="str">
        <f t="shared" si="1034"/>
        <v>x</v>
      </c>
      <c r="FZ211" s="112" t="str">
        <f t="shared" si="1035"/>
        <v>x</v>
      </c>
      <c r="GA211" s="112" t="str">
        <f t="shared" si="1036"/>
        <v>x</v>
      </c>
      <c r="GB211" s="112" t="str">
        <f t="shared" si="1037"/>
        <v>x</v>
      </c>
      <c r="GC211" s="112" t="str">
        <f t="shared" si="1124"/>
        <v>x</v>
      </c>
      <c r="GD211" s="112" t="str">
        <f t="shared" si="1039"/>
        <v>x</v>
      </c>
      <c r="GE211" s="112" t="str">
        <f t="shared" si="1125"/>
        <v>x</v>
      </c>
      <c r="GF211" s="112" t="str">
        <f t="shared" si="1040"/>
        <v>x</v>
      </c>
      <c r="GG211" s="112" t="str">
        <f t="shared" si="1041"/>
        <v>x</v>
      </c>
      <c r="GH211" s="112" t="str">
        <f t="shared" si="1126"/>
        <v>x</v>
      </c>
      <c r="GI211" s="112" t="str">
        <f t="shared" si="1127"/>
        <v>x</v>
      </c>
      <c r="GJ211" s="112" t="str">
        <f t="shared" si="1128"/>
        <v>x</v>
      </c>
      <c r="GK211" s="111"/>
      <c r="GL211" s="112" t="str">
        <f t="shared" si="1045"/>
        <v>x</v>
      </c>
      <c r="GM211" s="112" t="str">
        <f t="shared" si="1046"/>
        <v>x</v>
      </c>
      <c r="GN211" s="112"/>
      <c r="GO211" s="112" t="str">
        <f t="shared" si="1129"/>
        <v>x</v>
      </c>
      <c r="GP211" s="112" t="str">
        <f t="shared" si="1130"/>
        <v>x</v>
      </c>
      <c r="GQ211" s="112" t="str">
        <f t="shared" si="1131"/>
        <v>x</v>
      </c>
      <c r="GR211" s="112" t="str">
        <f t="shared" si="1132"/>
        <v>x</v>
      </c>
      <c r="GS211" s="112" t="str">
        <f t="shared" si="1050"/>
        <v>x</v>
      </c>
      <c r="GT211" s="112" t="str">
        <f t="shared" si="1051"/>
        <v>x</v>
      </c>
      <c r="GU211" s="112" t="str">
        <f t="shared" si="1052"/>
        <v>x</v>
      </c>
      <c r="GV211" s="112" t="str">
        <f t="shared" si="1053"/>
        <v>x</v>
      </c>
      <c r="GW211" s="112" t="str">
        <f t="shared" si="1054"/>
        <v>x</v>
      </c>
      <c r="GX211" s="112" t="str">
        <f t="shared" si="1055"/>
        <v>x</v>
      </c>
      <c r="GY211" s="112" t="str">
        <f t="shared" si="1056"/>
        <v>x</v>
      </c>
      <c r="GZ211" s="112" t="str">
        <f t="shared" si="1057"/>
        <v>x</v>
      </c>
      <c r="HA211" s="112" t="str">
        <f t="shared" si="1133"/>
        <v>x</v>
      </c>
      <c r="HB211" s="112" t="str">
        <f t="shared" si="1134"/>
        <v>x</v>
      </c>
      <c r="HC211" s="111"/>
      <c r="HD211" s="111"/>
      <c r="HE211" s="111"/>
      <c r="HF211" s="111"/>
      <c r="HG211" s="111"/>
      <c r="HH211" s="112" t="str">
        <f t="shared" si="1135"/>
        <v>x</v>
      </c>
      <c r="HI211" s="111"/>
      <c r="HJ211" s="112"/>
      <c r="HK211" s="112" t="str">
        <f t="shared" si="1136"/>
        <v>x</v>
      </c>
      <c r="HL211" s="112"/>
      <c r="HM211" s="112"/>
      <c r="HN211" s="112"/>
      <c r="HO211" s="112"/>
      <c r="HP211" s="112"/>
      <c r="HQ211" s="112"/>
      <c r="HR211" s="112"/>
      <c r="HS211" s="112"/>
      <c r="HT211" s="112"/>
      <c r="HU211" s="112"/>
      <c r="HV211" s="112" t="str">
        <f t="shared" si="1059"/>
        <v>x</v>
      </c>
      <c r="HW211" s="112" t="str">
        <f t="shared" si="1137"/>
        <v>x</v>
      </c>
      <c r="HX211" s="112" t="str">
        <f t="shared" si="1138"/>
        <v>x</v>
      </c>
      <c r="HY211" s="112" t="str">
        <f t="shared" si="1139"/>
        <v>x</v>
      </c>
      <c r="HZ211" s="112"/>
      <c r="IA211" s="112"/>
      <c r="IB211" s="112"/>
      <c r="IC211" s="112"/>
      <c r="ID211" s="112"/>
      <c r="IE211" s="112"/>
      <c r="IF211" s="112"/>
      <c r="IG211" s="112" t="str">
        <f t="shared" si="1140"/>
        <v>x</v>
      </c>
      <c r="IH211" s="112" t="str">
        <f t="shared" si="1063"/>
        <v>x</v>
      </c>
      <c r="II211" s="112" t="str">
        <f t="shared" si="1064"/>
        <v>x</v>
      </c>
      <c r="IJ211" s="112" t="str">
        <f t="shared" si="1065"/>
        <v>x</v>
      </c>
      <c r="IK211" s="112" t="str">
        <f t="shared" si="1066"/>
        <v>x</v>
      </c>
      <c r="IL211" s="111"/>
      <c r="IM211" s="112" t="str">
        <f t="shared" si="1067"/>
        <v>x</v>
      </c>
      <c r="IN211" s="112"/>
      <c r="IO211" s="111"/>
      <c r="IP211" s="112" t="str">
        <f t="shared" si="1068"/>
        <v>x</v>
      </c>
      <c r="IQ211" s="112"/>
      <c r="IR211" s="111"/>
      <c r="IS211" s="111"/>
      <c r="IT211" s="111"/>
      <c r="IU211" s="112" t="str">
        <f t="shared" si="1069"/>
        <v>x</v>
      </c>
      <c r="IV211" s="112"/>
      <c r="IW211" s="112" t="str">
        <f t="shared" si="1070"/>
        <v>x</v>
      </c>
      <c r="IX211" s="112" t="str">
        <f t="shared" si="1071"/>
        <v>x</v>
      </c>
      <c r="IY211" s="111"/>
      <c r="IZ211" s="112" t="str">
        <f t="shared" si="1141"/>
        <v>x</v>
      </c>
      <c r="JA211" s="111"/>
      <c r="JB211" s="112"/>
      <c r="JC211" s="111"/>
      <c r="JD211" s="112"/>
      <c r="JE211" s="112"/>
      <c r="JF211" s="112" t="str">
        <f t="shared" si="1073"/>
        <v>x</v>
      </c>
      <c r="JG211" s="112"/>
      <c r="JH211" s="111"/>
      <c r="JI211" s="112"/>
      <c r="JJ211" s="112"/>
      <c r="JK211" s="112" t="str">
        <f t="shared" si="1142"/>
        <v>x</v>
      </c>
      <c r="JL211" s="112" t="str">
        <f t="shared" si="1074"/>
        <v>x</v>
      </c>
      <c r="JM211" s="112"/>
      <c r="JN211" s="112"/>
      <c r="JO211" s="112"/>
      <c r="JP211" s="112"/>
      <c r="JQ211" s="112" t="str">
        <f t="shared" si="1075"/>
        <v>x</v>
      </c>
      <c r="JR211" s="112"/>
      <c r="JS211" s="112" t="str">
        <f t="shared" si="1076"/>
        <v>x</v>
      </c>
      <c r="JT211" s="111"/>
      <c r="JU211" s="111"/>
      <c r="JV211" s="112"/>
      <c r="JW211" s="112"/>
      <c r="JX211" s="112"/>
      <c r="JY211" s="112"/>
      <c r="JZ211" s="112"/>
      <c r="KA211" s="112" t="str">
        <f t="shared" si="1143"/>
        <v>x</v>
      </c>
      <c r="KB211" s="111"/>
      <c r="KC211" s="112" t="str">
        <f t="shared" si="1078"/>
        <v>x</v>
      </c>
      <c r="KD211" s="112"/>
      <c r="KE211" s="112" t="str">
        <f t="shared" si="1144"/>
        <v>x</v>
      </c>
      <c r="KF211" s="112"/>
      <c r="KG211" s="112"/>
      <c r="KH211" s="112"/>
      <c r="KI211" s="112"/>
      <c r="KJ211" s="112"/>
      <c r="KK211" s="112"/>
      <c r="KL211" s="112"/>
      <c r="KM211" s="112"/>
      <c r="KN211" s="112"/>
      <c r="KO211" s="112"/>
      <c r="KP211" s="112"/>
      <c r="KQ211" s="112"/>
      <c r="KR211" s="112"/>
      <c r="KS211" s="112"/>
      <c r="KT211" s="112"/>
      <c r="KU211" s="112"/>
      <c r="KV211" s="112"/>
      <c r="KW211" s="112"/>
      <c r="KX211" s="112"/>
      <c r="KY211" s="112"/>
      <c r="KZ211" s="112"/>
      <c r="LA211" s="112"/>
      <c r="LB211" s="111"/>
      <c r="LC211" s="111"/>
      <c r="LD211" s="111"/>
      <c r="LE211" s="111"/>
      <c r="LF211" s="111"/>
      <c r="LG211" s="111"/>
      <c r="LH211" s="111"/>
      <c r="LI211" s="111"/>
      <c r="LJ211" s="111"/>
      <c r="LK211" s="111"/>
      <c r="LL211" s="111"/>
      <c r="LM211" s="111"/>
      <c r="LN211" s="111"/>
      <c r="LO211" s="111"/>
      <c r="LP211" s="111"/>
      <c r="LQ211" s="111"/>
      <c r="LR211" s="111"/>
      <c r="LS211" s="111"/>
      <c r="LT211" s="111"/>
      <c r="LU211" s="111"/>
      <c r="LV211" s="111"/>
      <c r="LW211" s="111"/>
      <c r="LX211" s="111"/>
      <c r="LY211" s="111"/>
      <c r="LZ211" s="111"/>
      <c r="MA211" s="111"/>
      <c r="MB211" s="111"/>
      <c r="MC211" s="112" t="str">
        <f t="shared" si="1080"/>
        <v>x</v>
      </c>
      <c r="MD211" s="111"/>
      <c r="ME211" s="111"/>
      <c r="MF211" s="111"/>
      <c r="MG211" s="111"/>
      <c r="MH211" s="112" t="str">
        <f t="shared" si="1081"/>
        <v>x</v>
      </c>
    </row>
    <row r="212" spans="1:346" x14ac:dyDescent="0.25">
      <c r="A212" s="110" t="s">
        <v>7</v>
      </c>
      <c r="B212" s="101" t="s">
        <v>82</v>
      </c>
      <c r="C212" s="102"/>
      <c r="D212" s="102"/>
      <c r="E212" s="102"/>
      <c r="F212" s="102"/>
      <c r="G212" s="102"/>
      <c r="H212" s="102"/>
      <c r="I212" s="102"/>
      <c r="J212" s="103"/>
      <c r="K212" s="111"/>
      <c r="L212" s="111"/>
      <c r="M212" s="112" t="str">
        <f t="shared" si="1082"/>
        <v>x</v>
      </c>
      <c r="N212" s="112"/>
      <c r="O212" s="112" t="str">
        <f t="shared" si="1083"/>
        <v>x</v>
      </c>
      <c r="P212" s="112"/>
      <c r="Q212" s="112"/>
      <c r="R212" s="112"/>
      <c r="S212" s="112"/>
      <c r="T212" s="112"/>
      <c r="U212" s="112"/>
      <c r="V212" s="111"/>
      <c r="W212" s="112"/>
      <c r="X212" s="111"/>
      <c r="Y212" s="111"/>
      <c r="Z212" s="111"/>
      <c r="AA212" s="111"/>
      <c r="AB212" s="111"/>
      <c r="AC212" s="112" t="str">
        <f t="shared" si="973"/>
        <v>x</v>
      </c>
      <c r="AD212" s="111"/>
      <c r="AE212" s="112" t="str">
        <f t="shared" si="1084"/>
        <v>x</v>
      </c>
      <c r="AF212" s="111"/>
      <c r="AG212" s="112" t="str">
        <f t="shared" si="1085"/>
        <v>x</v>
      </c>
      <c r="AH212" s="111"/>
      <c r="AI212" s="111"/>
      <c r="AJ212" s="111"/>
      <c r="AK212" s="111"/>
      <c r="AL212" s="111"/>
      <c r="AM212" s="111"/>
      <c r="AN212" s="112"/>
      <c r="AO212" s="112"/>
      <c r="AP212" s="112"/>
      <c r="AQ212" s="112"/>
      <c r="AR212" s="112"/>
      <c r="AS212" s="112"/>
      <c r="AT212" s="112"/>
      <c r="AU212" s="113"/>
      <c r="AV212" s="114" t="str">
        <f t="shared" si="1086"/>
        <v>x</v>
      </c>
      <c r="AW212" s="114" t="str">
        <f t="shared" si="1087"/>
        <v>x</v>
      </c>
      <c r="AX212" s="111"/>
      <c r="AY212" s="111"/>
      <c r="AZ212" s="112" t="str">
        <f t="shared" si="1088"/>
        <v>x</v>
      </c>
      <c r="BA212" s="112" t="str">
        <f t="shared" si="1089"/>
        <v>x</v>
      </c>
      <c r="BB212" s="111"/>
      <c r="BC212" s="111"/>
      <c r="BD212" s="111"/>
      <c r="BE212" s="111"/>
      <c r="BF212" s="111"/>
      <c r="BG212" s="111"/>
      <c r="BH212" s="111"/>
      <c r="BI212" s="111"/>
      <c r="BJ212" s="112" t="str">
        <f t="shared" si="979"/>
        <v>x</v>
      </c>
      <c r="BK212" s="111"/>
      <c r="BL212" s="112" t="str">
        <f t="shared" si="1090"/>
        <v>x</v>
      </c>
      <c r="BM212" s="111"/>
      <c r="BN212" s="111"/>
      <c r="BO212" s="111"/>
      <c r="BP212" s="111"/>
      <c r="BQ212" s="111"/>
      <c r="BR212" s="112" t="str">
        <f t="shared" si="1091"/>
        <v>x</v>
      </c>
      <c r="BS212" s="112"/>
      <c r="BT212" s="111"/>
      <c r="BU212" s="112" t="str">
        <f t="shared" si="1092"/>
        <v>x</v>
      </c>
      <c r="BV212" s="112" t="str">
        <f t="shared" si="983"/>
        <v>x</v>
      </c>
      <c r="BW212" s="112"/>
      <c r="BX212" s="112"/>
      <c r="BY212" s="112"/>
      <c r="BZ212" s="112" t="str">
        <f t="shared" si="1093"/>
        <v>x</v>
      </c>
      <c r="CA212" s="112" t="str">
        <f t="shared" si="1094"/>
        <v>x</v>
      </c>
      <c r="CB212" s="112" t="str">
        <f t="shared" si="1095"/>
        <v>x</v>
      </c>
      <c r="CC212" s="112"/>
      <c r="CD212" s="112"/>
      <c r="CE212" s="112" t="str">
        <f t="shared" si="987"/>
        <v>x</v>
      </c>
      <c r="CF212" s="112" t="str">
        <f t="shared" si="1096"/>
        <v>x</v>
      </c>
      <c r="CG212" s="112" t="str">
        <f t="shared" si="1097"/>
        <v>x</v>
      </c>
      <c r="CH212" s="112" t="str">
        <f t="shared" si="989"/>
        <v>x</v>
      </c>
      <c r="CI212" s="112" t="str">
        <f t="shared" si="1098"/>
        <v>x</v>
      </c>
      <c r="CJ212" s="112" t="str">
        <f t="shared" si="1099"/>
        <v>x</v>
      </c>
      <c r="CK212" s="112" t="str">
        <f t="shared" si="1100"/>
        <v>x</v>
      </c>
      <c r="CL212" s="112"/>
      <c r="CM212" s="112"/>
      <c r="CN212" s="112"/>
      <c r="CO212" s="112" t="str">
        <f t="shared" si="1101"/>
        <v>x</v>
      </c>
      <c r="CP212" s="112"/>
      <c r="CQ212" s="112" t="str">
        <f t="shared" si="1102"/>
        <v>x</v>
      </c>
      <c r="CR212" s="112"/>
      <c r="CS212" s="112"/>
      <c r="CT212" s="112" t="str">
        <f t="shared" si="1103"/>
        <v>x</v>
      </c>
      <c r="CU212" s="112" t="str">
        <f t="shared" si="993"/>
        <v>x</v>
      </c>
      <c r="CV212" s="112" t="str">
        <f t="shared" si="994"/>
        <v>x</v>
      </c>
      <c r="CW212" s="112" t="str">
        <f t="shared" si="995"/>
        <v>x</v>
      </c>
      <c r="CX212" s="112" t="str">
        <f t="shared" si="1104"/>
        <v>x</v>
      </c>
      <c r="CY212" s="112" t="str">
        <f t="shared" si="1105"/>
        <v>x</v>
      </c>
      <c r="CZ212" s="112"/>
      <c r="DA212" s="112"/>
      <c r="DB212" s="115" t="str">
        <f t="shared" si="1106"/>
        <v>x</v>
      </c>
      <c r="DC212" s="112"/>
      <c r="DD212" s="112"/>
      <c r="DE212" s="112" t="str">
        <f t="shared" si="1107"/>
        <v>x</v>
      </c>
      <c r="DF212" s="115" t="str">
        <f t="shared" si="1108"/>
        <v>x</v>
      </c>
      <c r="DG212" s="112" t="str">
        <f t="shared" si="1109"/>
        <v>x</v>
      </c>
      <c r="DH212" s="112" t="str">
        <f t="shared" si="1110"/>
        <v>x</v>
      </c>
      <c r="DI212" s="112" t="str">
        <f t="shared" si="1001"/>
        <v>x</v>
      </c>
      <c r="DJ212" s="112"/>
      <c r="DK212" s="112"/>
      <c r="DL212" s="112"/>
      <c r="DM212" s="112"/>
      <c r="DN212" s="112"/>
      <c r="DO212" s="111"/>
      <c r="DP212" s="112" t="str">
        <f t="shared" si="1111"/>
        <v>x</v>
      </c>
      <c r="DQ212" s="112" t="str">
        <f t="shared" si="1003"/>
        <v>x</v>
      </c>
      <c r="DR212" s="112" t="str">
        <f t="shared" si="1112"/>
        <v>x</v>
      </c>
      <c r="DS212" s="112" t="str">
        <f t="shared" si="1113"/>
        <v>x</v>
      </c>
      <c r="DT212" s="112"/>
      <c r="DU212" s="112" t="str">
        <f t="shared" si="1004"/>
        <v>x</v>
      </c>
      <c r="DV212" s="112"/>
      <c r="DW212" s="112"/>
      <c r="DX212" s="112" t="str">
        <f t="shared" si="1005"/>
        <v>x</v>
      </c>
      <c r="DY212" s="112" t="str">
        <f t="shared" si="1006"/>
        <v>x</v>
      </c>
      <c r="DZ212" s="112" t="str">
        <f t="shared" si="1007"/>
        <v>x</v>
      </c>
      <c r="EA212" s="112" t="str">
        <f t="shared" si="1008"/>
        <v>x</v>
      </c>
      <c r="EB212" s="112" t="str">
        <f t="shared" si="1009"/>
        <v>x</v>
      </c>
      <c r="EC212" s="111"/>
      <c r="ED212" s="111"/>
      <c r="EE212" s="111"/>
      <c r="EF212" s="111"/>
      <c r="EG212" s="111"/>
      <c r="EH212" s="111"/>
      <c r="EI212" s="112"/>
      <c r="EJ212" s="112"/>
      <c r="EK212" s="112"/>
      <c r="EL212" s="112" t="str">
        <f t="shared" si="1010"/>
        <v>x</v>
      </c>
      <c r="EM212" s="112" t="str">
        <f t="shared" si="1114"/>
        <v>x</v>
      </c>
      <c r="EN212" s="111"/>
      <c r="EO212" s="117" t="str">
        <f t="shared" si="1115"/>
        <v>x</v>
      </c>
      <c r="EP212" s="117" t="str">
        <f t="shared" si="1116"/>
        <v>x</v>
      </c>
      <c r="EQ212" s="112" t="str">
        <f t="shared" si="1014"/>
        <v>x</v>
      </c>
      <c r="ER212" s="111"/>
      <c r="ES212" s="111"/>
      <c r="ET212" s="111"/>
      <c r="EU212" s="111"/>
      <c r="EV212" s="112" t="str">
        <f t="shared" si="1015"/>
        <v>x</v>
      </c>
      <c r="EW212" s="112" t="str">
        <f t="shared" si="1016"/>
        <v>x</v>
      </c>
      <c r="EX212" s="112" t="str">
        <f t="shared" si="1117"/>
        <v>x</v>
      </c>
      <c r="EY212" s="112" t="str">
        <f t="shared" si="1018"/>
        <v>x</v>
      </c>
      <c r="EZ212" s="112"/>
      <c r="FA212" s="111"/>
      <c r="FB212" s="111"/>
      <c r="FC212" s="112" t="str">
        <f t="shared" si="1118"/>
        <v>x</v>
      </c>
      <c r="FD212" s="112" t="str">
        <f t="shared" si="1119"/>
        <v>x</v>
      </c>
      <c r="FE212" s="111"/>
      <c r="FF212" s="112" t="str">
        <f t="shared" si="1120"/>
        <v>x</v>
      </c>
      <c r="FG212" s="111"/>
      <c r="FH212" s="111"/>
      <c r="FI212" s="112"/>
      <c r="FJ212" s="112" t="str">
        <f t="shared" si="1121"/>
        <v>x</v>
      </c>
      <c r="FK212" s="112" t="str">
        <f t="shared" si="1122"/>
        <v>x</v>
      </c>
      <c r="FL212" s="112"/>
      <c r="FM212" s="112" t="str">
        <f t="shared" si="1024"/>
        <v>x</v>
      </c>
      <c r="FN212" s="112" t="str">
        <f t="shared" si="1123"/>
        <v>x</v>
      </c>
      <c r="FO212" s="112" t="str">
        <f t="shared" si="1025"/>
        <v>x</v>
      </c>
      <c r="FP212" s="112"/>
      <c r="FQ212" s="112" t="str">
        <f t="shared" si="1026"/>
        <v>x</v>
      </c>
      <c r="FR212" s="112" t="str">
        <f t="shared" si="1027"/>
        <v>x</v>
      </c>
      <c r="FS212" s="112" t="str">
        <f t="shared" si="1028"/>
        <v>x</v>
      </c>
      <c r="FT212" s="112" t="str">
        <f t="shared" si="1029"/>
        <v>x</v>
      </c>
      <c r="FU212" s="112" t="str">
        <f t="shared" si="1030"/>
        <v>x</v>
      </c>
      <c r="FV212" s="112" t="str">
        <f t="shared" si="1031"/>
        <v>x</v>
      </c>
      <c r="FW212" s="112" t="str">
        <f t="shared" si="1032"/>
        <v>x</v>
      </c>
      <c r="FX212" s="112" t="str">
        <f t="shared" si="1033"/>
        <v>x</v>
      </c>
      <c r="FY212" s="112" t="str">
        <f t="shared" si="1034"/>
        <v>x</v>
      </c>
      <c r="FZ212" s="112" t="str">
        <f t="shared" si="1035"/>
        <v>x</v>
      </c>
      <c r="GA212" s="112" t="str">
        <f t="shared" si="1036"/>
        <v>x</v>
      </c>
      <c r="GB212" s="112" t="str">
        <f t="shared" si="1037"/>
        <v>x</v>
      </c>
      <c r="GC212" s="112" t="str">
        <f t="shared" si="1124"/>
        <v>x</v>
      </c>
      <c r="GD212" s="112" t="str">
        <f t="shared" si="1039"/>
        <v>x</v>
      </c>
      <c r="GE212" s="112" t="str">
        <f t="shared" si="1125"/>
        <v>x</v>
      </c>
      <c r="GF212" s="112" t="str">
        <f t="shared" si="1040"/>
        <v>x</v>
      </c>
      <c r="GG212" s="112" t="str">
        <f t="shared" si="1041"/>
        <v>x</v>
      </c>
      <c r="GH212" s="112" t="str">
        <f t="shared" si="1126"/>
        <v>x</v>
      </c>
      <c r="GI212" s="112" t="str">
        <f t="shared" si="1127"/>
        <v>x</v>
      </c>
      <c r="GJ212" s="112" t="str">
        <f t="shared" si="1128"/>
        <v>x</v>
      </c>
      <c r="GK212" s="111"/>
      <c r="GL212" s="112" t="str">
        <f t="shared" si="1045"/>
        <v>x</v>
      </c>
      <c r="GM212" s="112" t="str">
        <f t="shared" si="1046"/>
        <v>x</v>
      </c>
      <c r="GN212" s="112"/>
      <c r="GO212" s="112" t="str">
        <f t="shared" si="1129"/>
        <v>x</v>
      </c>
      <c r="GP212" s="112" t="str">
        <f t="shared" si="1130"/>
        <v>x</v>
      </c>
      <c r="GQ212" s="112" t="str">
        <f t="shared" si="1131"/>
        <v>x</v>
      </c>
      <c r="GR212" s="112" t="str">
        <f t="shared" si="1132"/>
        <v>x</v>
      </c>
      <c r="GS212" s="112" t="str">
        <f t="shared" si="1050"/>
        <v>x</v>
      </c>
      <c r="GT212" s="112" t="str">
        <f t="shared" si="1051"/>
        <v>x</v>
      </c>
      <c r="GU212" s="112" t="str">
        <f t="shared" si="1052"/>
        <v>x</v>
      </c>
      <c r="GV212" s="112" t="str">
        <f t="shared" si="1053"/>
        <v>x</v>
      </c>
      <c r="GW212" s="112" t="str">
        <f t="shared" si="1054"/>
        <v>x</v>
      </c>
      <c r="GX212" s="112" t="str">
        <f t="shared" si="1055"/>
        <v>x</v>
      </c>
      <c r="GY212" s="112" t="str">
        <f t="shared" si="1056"/>
        <v>x</v>
      </c>
      <c r="GZ212" s="112" t="str">
        <f t="shared" si="1057"/>
        <v>x</v>
      </c>
      <c r="HA212" s="112" t="str">
        <f t="shared" si="1133"/>
        <v>x</v>
      </c>
      <c r="HB212" s="112" t="str">
        <f t="shared" si="1134"/>
        <v>x</v>
      </c>
      <c r="HC212" s="111"/>
      <c r="HD212" s="111"/>
      <c r="HE212" s="111"/>
      <c r="HF212" s="111"/>
      <c r="HG212" s="111"/>
      <c r="HH212" s="112" t="str">
        <f t="shared" si="1135"/>
        <v>x</v>
      </c>
      <c r="HI212" s="111"/>
      <c r="HJ212" s="112"/>
      <c r="HK212" s="112" t="str">
        <f t="shared" si="1136"/>
        <v>x</v>
      </c>
      <c r="HL212" s="112"/>
      <c r="HM212" s="112"/>
      <c r="HN212" s="112"/>
      <c r="HO212" s="112"/>
      <c r="HP212" s="112"/>
      <c r="HQ212" s="112"/>
      <c r="HR212" s="112"/>
      <c r="HS212" s="112"/>
      <c r="HT212" s="112"/>
      <c r="HU212" s="112"/>
      <c r="HV212" s="112" t="str">
        <f t="shared" si="1059"/>
        <v>x</v>
      </c>
      <c r="HW212" s="112" t="str">
        <f t="shared" si="1137"/>
        <v>x</v>
      </c>
      <c r="HX212" s="112" t="str">
        <f t="shared" si="1138"/>
        <v>x</v>
      </c>
      <c r="HY212" s="112" t="str">
        <f t="shared" si="1139"/>
        <v>x</v>
      </c>
      <c r="HZ212" s="112"/>
      <c r="IA212" s="112"/>
      <c r="IB212" s="112"/>
      <c r="IC212" s="112"/>
      <c r="ID212" s="112"/>
      <c r="IE212" s="112"/>
      <c r="IF212" s="112"/>
      <c r="IG212" s="112" t="str">
        <f t="shared" si="1140"/>
        <v>x</v>
      </c>
      <c r="IH212" s="112" t="str">
        <f t="shared" si="1063"/>
        <v>x</v>
      </c>
      <c r="II212" s="112" t="str">
        <f t="shared" si="1064"/>
        <v>x</v>
      </c>
      <c r="IJ212" s="112" t="str">
        <f t="shared" si="1065"/>
        <v>x</v>
      </c>
      <c r="IK212" s="112" t="str">
        <f t="shared" si="1066"/>
        <v>x</v>
      </c>
      <c r="IL212" s="111"/>
      <c r="IM212" s="112" t="str">
        <f t="shared" si="1067"/>
        <v>x</v>
      </c>
      <c r="IN212" s="112"/>
      <c r="IO212" s="111"/>
      <c r="IP212" s="112" t="str">
        <f t="shared" si="1068"/>
        <v>x</v>
      </c>
      <c r="IQ212" s="112"/>
      <c r="IR212" s="111"/>
      <c r="IS212" s="111"/>
      <c r="IT212" s="111"/>
      <c r="IU212" s="112" t="str">
        <f t="shared" si="1069"/>
        <v>x</v>
      </c>
      <c r="IV212" s="112"/>
      <c r="IW212" s="112" t="str">
        <f t="shared" si="1070"/>
        <v>x</v>
      </c>
      <c r="IX212" s="112" t="str">
        <f t="shared" si="1071"/>
        <v>x</v>
      </c>
      <c r="IY212" s="111"/>
      <c r="IZ212" s="112" t="str">
        <f t="shared" si="1141"/>
        <v>x</v>
      </c>
      <c r="JA212" s="111"/>
      <c r="JB212" s="112"/>
      <c r="JC212" s="111"/>
      <c r="JD212" s="112"/>
      <c r="JE212" s="112"/>
      <c r="JF212" s="112" t="str">
        <f t="shared" si="1073"/>
        <v>x</v>
      </c>
      <c r="JG212" s="112"/>
      <c r="JH212" s="111"/>
      <c r="JI212" s="112"/>
      <c r="JJ212" s="112"/>
      <c r="JK212" s="112" t="str">
        <f t="shared" si="1142"/>
        <v>x</v>
      </c>
      <c r="JL212" s="112" t="str">
        <f t="shared" si="1074"/>
        <v>x</v>
      </c>
      <c r="JM212" s="112"/>
      <c r="JN212" s="112"/>
      <c r="JO212" s="112"/>
      <c r="JP212" s="112"/>
      <c r="JQ212" s="112" t="str">
        <f t="shared" si="1075"/>
        <v>x</v>
      </c>
      <c r="JR212" s="112"/>
      <c r="JS212" s="112" t="str">
        <f t="shared" si="1076"/>
        <v>x</v>
      </c>
      <c r="JT212" s="111"/>
      <c r="JU212" s="111"/>
      <c r="JV212" s="112"/>
      <c r="JW212" s="112"/>
      <c r="JX212" s="112"/>
      <c r="JY212" s="112"/>
      <c r="JZ212" s="112"/>
      <c r="KA212" s="112" t="str">
        <f t="shared" si="1143"/>
        <v>x</v>
      </c>
      <c r="KB212" s="111"/>
      <c r="KC212" s="112" t="str">
        <f t="shared" si="1078"/>
        <v>x</v>
      </c>
      <c r="KD212" s="112"/>
      <c r="KE212" s="112" t="str">
        <f t="shared" si="1144"/>
        <v>x</v>
      </c>
      <c r="KF212" s="112"/>
      <c r="KG212" s="112"/>
      <c r="KH212" s="112"/>
      <c r="KI212" s="112"/>
      <c r="KJ212" s="112"/>
      <c r="KK212" s="112"/>
      <c r="KL212" s="112"/>
      <c r="KM212" s="112"/>
      <c r="KN212" s="112"/>
      <c r="KO212" s="112"/>
      <c r="KP212" s="112"/>
      <c r="KQ212" s="112"/>
      <c r="KR212" s="112"/>
      <c r="KS212" s="112"/>
      <c r="KT212" s="112"/>
      <c r="KU212" s="112"/>
      <c r="KV212" s="112"/>
      <c r="KW212" s="112"/>
      <c r="KX212" s="112"/>
      <c r="KY212" s="112"/>
      <c r="KZ212" s="112"/>
      <c r="LA212" s="112"/>
      <c r="LB212" s="111"/>
      <c r="LC212" s="111"/>
      <c r="LD212" s="111"/>
      <c r="LE212" s="111"/>
      <c r="LF212" s="111"/>
      <c r="LG212" s="111"/>
      <c r="LH212" s="111"/>
      <c r="LI212" s="111"/>
      <c r="LJ212" s="111"/>
      <c r="LK212" s="111"/>
      <c r="LL212" s="111"/>
      <c r="LM212" s="111"/>
      <c r="LN212" s="111"/>
      <c r="LO212" s="111"/>
      <c r="LP212" s="111"/>
      <c r="LQ212" s="111"/>
      <c r="LR212" s="111"/>
      <c r="LS212" s="111"/>
      <c r="LT212" s="111"/>
      <c r="LU212" s="111"/>
      <c r="LV212" s="111"/>
      <c r="LW212" s="111"/>
      <c r="LX212" s="111"/>
      <c r="LY212" s="111"/>
      <c r="LZ212" s="111"/>
      <c r="MA212" s="111"/>
      <c r="MB212" s="111"/>
      <c r="MC212" s="112" t="str">
        <f t="shared" si="1080"/>
        <v>x</v>
      </c>
      <c r="MD212" s="111"/>
      <c r="ME212" s="111"/>
      <c r="MF212" s="111"/>
      <c r="MG212" s="111"/>
      <c r="MH212" s="112" t="str">
        <f t="shared" si="1081"/>
        <v>x</v>
      </c>
    </row>
    <row r="213" spans="1:346" x14ac:dyDescent="0.25">
      <c r="A213" s="110" t="s">
        <v>7</v>
      </c>
      <c r="B213" s="101" t="s">
        <v>156</v>
      </c>
      <c r="C213" s="102"/>
      <c r="D213" s="102"/>
      <c r="E213" s="102"/>
      <c r="F213" s="102"/>
      <c r="G213" s="102"/>
      <c r="H213" s="102"/>
      <c r="I213" s="102"/>
      <c r="J213" s="103"/>
      <c r="K213" s="111"/>
      <c r="L213" s="111"/>
      <c r="M213" s="112" t="str">
        <f t="shared" si="1082"/>
        <v>x</v>
      </c>
      <c r="N213" s="112"/>
      <c r="O213" s="112" t="str">
        <f t="shared" si="1083"/>
        <v>x</v>
      </c>
      <c r="P213" s="112"/>
      <c r="Q213" s="112"/>
      <c r="R213" s="112"/>
      <c r="S213" s="112"/>
      <c r="T213" s="112"/>
      <c r="U213" s="112"/>
      <c r="V213" s="111"/>
      <c r="W213" s="112"/>
      <c r="X213" s="111"/>
      <c r="Y213" s="111"/>
      <c r="Z213" s="111"/>
      <c r="AA213" s="111"/>
      <c r="AB213" s="111"/>
      <c r="AC213" s="112" t="str">
        <f t="shared" si="973"/>
        <v>x</v>
      </c>
      <c r="AD213" s="111"/>
      <c r="AE213" s="112" t="str">
        <f t="shared" si="1084"/>
        <v>x</v>
      </c>
      <c r="AF213" s="111"/>
      <c r="AG213" s="112" t="str">
        <f t="shared" si="1085"/>
        <v>x</v>
      </c>
      <c r="AH213" s="111"/>
      <c r="AI213" s="111"/>
      <c r="AJ213" s="111"/>
      <c r="AK213" s="111"/>
      <c r="AL213" s="111"/>
      <c r="AM213" s="111"/>
      <c r="AN213" s="112"/>
      <c r="AO213" s="112"/>
      <c r="AP213" s="112"/>
      <c r="AQ213" s="112"/>
      <c r="AR213" s="112"/>
      <c r="AS213" s="112"/>
      <c r="AT213" s="112"/>
      <c r="AU213" s="113"/>
      <c r="AV213" s="114" t="str">
        <f t="shared" si="1086"/>
        <v>x</v>
      </c>
      <c r="AW213" s="114" t="str">
        <f t="shared" si="1087"/>
        <v>x</v>
      </c>
      <c r="AX213" s="111"/>
      <c r="AY213" s="111"/>
      <c r="AZ213" s="112" t="str">
        <f t="shared" si="1088"/>
        <v>x</v>
      </c>
      <c r="BA213" s="112" t="str">
        <f t="shared" si="1089"/>
        <v>x</v>
      </c>
      <c r="BB213" s="111"/>
      <c r="BC213" s="111"/>
      <c r="BD213" s="111"/>
      <c r="BE213" s="111"/>
      <c r="BF213" s="111"/>
      <c r="BG213" s="111"/>
      <c r="BH213" s="111"/>
      <c r="BI213" s="111"/>
      <c r="BJ213" s="112" t="str">
        <f t="shared" si="979"/>
        <v>x</v>
      </c>
      <c r="BK213" s="111"/>
      <c r="BL213" s="112" t="str">
        <f t="shared" si="1090"/>
        <v>x</v>
      </c>
      <c r="BM213" s="111"/>
      <c r="BN213" s="111"/>
      <c r="BO213" s="111"/>
      <c r="BP213" s="111"/>
      <c r="BQ213" s="111"/>
      <c r="BR213" s="112" t="str">
        <f t="shared" si="1091"/>
        <v>x</v>
      </c>
      <c r="BS213" s="112"/>
      <c r="BT213" s="111"/>
      <c r="BU213" s="112" t="str">
        <f t="shared" si="1092"/>
        <v>x</v>
      </c>
      <c r="BV213" s="112" t="str">
        <f t="shared" si="983"/>
        <v>x</v>
      </c>
      <c r="BW213" s="112"/>
      <c r="BX213" s="112"/>
      <c r="BY213" s="112"/>
      <c r="BZ213" s="112" t="str">
        <f t="shared" si="1093"/>
        <v>x</v>
      </c>
      <c r="CA213" s="112" t="str">
        <f t="shared" si="1094"/>
        <v>x</v>
      </c>
      <c r="CB213" s="112" t="str">
        <f t="shared" si="1095"/>
        <v>x</v>
      </c>
      <c r="CC213" s="112"/>
      <c r="CD213" s="112"/>
      <c r="CE213" s="112" t="str">
        <f t="shared" si="987"/>
        <v>x</v>
      </c>
      <c r="CF213" s="112" t="str">
        <f t="shared" si="1096"/>
        <v>x</v>
      </c>
      <c r="CG213" s="112" t="str">
        <f t="shared" si="1097"/>
        <v>x</v>
      </c>
      <c r="CH213" s="112" t="str">
        <f t="shared" si="989"/>
        <v>x</v>
      </c>
      <c r="CI213" s="112" t="str">
        <f t="shared" si="1098"/>
        <v>x</v>
      </c>
      <c r="CJ213" s="112" t="str">
        <f t="shared" si="1099"/>
        <v>x</v>
      </c>
      <c r="CK213" s="112" t="str">
        <f t="shared" si="1100"/>
        <v>x</v>
      </c>
      <c r="CL213" s="112"/>
      <c r="CM213" s="112"/>
      <c r="CN213" s="112"/>
      <c r="CO213" s="112" t="str">
        <f t="shared" si="1101"/>
        <v>x</v>
      </c>
      <c r="CP213" s="112"/>
      <c r="CQ213" s="112" t="str">
        <f t="shared" si="1102"/>
        <v>x</v>
      </c>
      <c r="CR213" s="112"/>
      <c r="CS213" s="112"/>
      <c r="CT213" s="112" t="str">
        <f t="shared" si="1103"/>
        <v>x</v>
      </c>
      <c r="CU213" s="112" t="str">
        <f t="shared" si="993"/>
        <v>x</v>
      </c>
      <c r="CV213" s="112" t="str">
        <f t="shared" si="994"/>
        <v>x</v>
      </c>
      <c r="CW213" s="112" t="str">
        <f t="shared" si="995"/>
        <v>x</v>
      </c>
      <c r="CX213" s="112" t="str">
        <f t="shared" si="1104"/>
        <v>x</v>
      </c>
      <c r="CY213" s="112" t="str">
        <f t="shared" si="1105"/>
        <v>x</v>
      </c>
      <c r="CZ213" s="112"/>
      <c r="DA213" s="112"/>
      <c r="DB213" s="115" t="str">
        <f t="shared" si="1106"/>
        <v>x</v>
      </c>
      <c r="DC213" s="112"/>
      <c r="DD213" s="112"/>
      <c r="DE213" s="112" t="str">
        <f t="shared" si="1107"/>
        <v>x</v>
      </c>
      <c r="DF213" s="115" t="str">
        <f t="shared" si="1108"/>
        <v>x</v>
      </c>
      <c r="DG213" s="112" t="str">
        <f t="shared" si="1109"/>
        <v>x</v>
      </c>
      <c r="DH213" s="112" t="str">
        <f t="shared" si="1110"/>
        <v>x</v>
      </c>
      <c r="DI213" s="112" t="str">
        <f t="shared" si="1001"/>
        <v>x</v>
      </c>
      <c r="DJ213" s="112"/>
      <c r="DK213" s="112"/>
      <c r="DL213" s="112"/>
      <c r="DM213" s="112"/>
      <c r="DN213" s="112"/>
      <c r="DO213" s="111"/>
      <c r="DP213" s="112" t="str">
        <f t="shared" si="1111"/>
        <v>x</v>
      </c>
      <c r="DQ213" s="112" t="str">
        <f t="shared" si="1003"/>
        <v>x</v>
      </c>
      <c r="DR213" s="112" t="str">
        <f t="shared" si="1112"/>
        <v>x</v>
      </c>
      <c r="DS213" s="112" t="str">
        <f t="shared" si="1113"/>
        <v>x</v>
      </c>
      <c r="DT213" s="112"/>
      <c r="DU213" s="112" t="str">
        <f t="shared" si="1004"/>
        <v>x</v>
      </c>
      <c r="DV213" s="112"/>
      <c r="DW213" s="112"/>
      <c r="DX213" s="112" t="str">
        <f t="shared" si="1005"/>
        <v>x</v>
      </c>
      <c r="DY213" s="112" t="str">
        <f t="shared" si="1006"/>
        <v>x</v>
      </c>
      <c r="DZ213" s="112" t="str">
        <f t="shared" si="1007"/>
        <v>x</v>
      </c>
      <c r="EA213" s="112" t="str">
        <f t="shared" si="1008"/>
        <v>x</v>
      </c>
      <c r="EB213" s="112" t="str">
        <f t="shared" si="1009"/>
        <v>x</v>
      </c>
      <c r="EC213" s="111"/>
      <c r="ED213" s="111"/>
      <c r="EE213" s="111"/>
      <c r="EF213" s="111"/>
      <c r="EG213" s="111"/>
      <c r="EH213" s="111"/>
      <c r="EI213" s="112"/>
      <c r="EJ213" s="112"/>
      <c r="EK213" s="112"/>
      <c r="EL213" s="112" t="str">
        <f t="shared" si="1010"/>
        <v>x</v>
      </c>
      <c r="EM213" s="112" t="str">
        <f t="shared" si="1114"/>
        <v>x</v>
      </c>
      <c r="EN213" s="111"/>
      <c r="EO213" s="117" t="str">
        <f t="shared" si="1115"/>
        <v>x</v>
      </c>
      <c r="EP213" s="117" t="str">
        <f t="shared" si="1116"/>
        <v>x</v>
      </c>
      <c r="EQ213" s="112" t="str">
        <f t="shared" si="1014"/>
        <v>x</v>
      </c>
      <c r="ER213" s="111"/>
      <c r="ES213" s="111"/>
      <c r="ET213" s="111"/>
      <c r="EU213" s="111"/>
      <c r="EV213" s="112" t="str">
        <f t="shared" si="1015"/>
        <v>x</v>
      </c>
      <c r="EW213" s="112" t="str">
        <f t="shared" si="1016"/>
        <v>x</v>
      </c>
      <c r="EX213" s="112" t="str">
        <f t="shared" si="1117"/>
        <v>x</v>
      </c>
      <c r="EY213" s="112" t="str">
        <f t="shared" si="1018"/>
        <v>x</v>
      </c>
      <c r="EZ213" s="112"/>
      <c r="FA213" s="111"/>
      <c r="FB213" s="111"/>
      <c r="FC213" s="112" t="str">
        <f t="shared" si="1118"/>
        <v>x</v>
      </c>
      <c r="FD213" s="112" t="str">
        <f t="shared" si="1119"/>
        <v>x</v>
      </c>
      <c r="FE213" s="111"/>
      <c r="FF213" s="112" t="str">
        <f t="shared" si="1120"/>
        <v>x</v>
      </c>
      <c r="FG213" s="111"/>
      <c r="FH213" s="111"/>
      <c r="FI213" s="112"/>
      <c r="FJ213" s="112" t="str">
        <f t="shared" si="1121"/>
        <v>x</v>
      </c>
      <c r="FK213" s="112" t="str">
        <f t="shared" si="1122"/>
        <v>x</v>
      </c>
      <c r="FL213" s="112"/>
      <c r="FM213" s="112" t="str">
        <f t="shared" si="1024"/>
        <v>x</v>
      </c>
      <c r="FN213" s="112" t="str">
        <f t="shared" si="1123"/>
        <v>x</v>
      </c>
      <c r="FO213" s="112" t="str">
        <f t="shared" si="1025"/>
        <v>x</v>
      </c>
      <c r="FP213" s="112"/>
      <c r="FQ213" s="112" t="str">
        <f t="shared" si="1026"/>
        <v>x</v>
      </c>
      <c r="FR213" s="112" t="str">
        <f t="shared" si="1027"/>
        <v>x</v>
      </c>
      <c r="FS213" s="112" t="str">
        <f t="shared" si="1028"/>
        <v>x</v>
      </c>
      <c r="FT213" s="112" t="str">
        <f t="shared" si="1029"/>
        <v>x</v>
      </c>
      <c r="FU213" s="112" t="str">
        <f t="shared" si="1030"/>
        <v>x</v>
      </c>
      <c r="FV213" s="112" t="str">
        <f t="shared" si="1031"/>
        <v>x</v>
      </c>
      <c r="FW213" s="112" t="str">
        <f t="shared" si="1032"/>
        <v>x</v>
      </c>
      <c r="FX213" s="112" t="str">
        <f t="shared" si="1033"/>
        <v>x</v>
      </c>
      <c r="FY213" s="112" t="str">
        <f t="shared" si="1034"/>
        <v>x</v>
      </c>
      <c r="FZ213" s="112" t="str">
        <f t="shared" si="1035"/>
        <v>x</v>
      </c>
      <c r="GA213" s="112" t="str">
        <f t="shared" si="1036"/>
        <v>x</v>
      </c>
      <c r="GB213" s="112" t="str">
        <f t="shared" si="1037"/>
        <v>x</v>
      </c>
      <c r="GC213" s="112" t="str">
        <f t="shared" si="1124"/>
        <v>x</v>
      </c>
      <c r="GD213" s="112" t="str">
        <f t="shared" si="1039"/>
        <v>x</v>
      </c>
      <c r="GE213" s="112" t="str">
        <f t="shared" si="1125"/>
        <v>x</v>
      </c>
      <c r="GF213" s="112" t="str">
        <f t="shared" si="1040"/>
        <v>x</v>
      </c>
      <c r="GG213" s="112" t="str">
        <f t="shared" si="1041"/>
        <v>x</v>
      </c>
      <c r="GH213" s="112" t="str">
        <f t="shared" si="1126"/>
        <v>x</v>
      </c>
      <c r="GI213" s="112" t="str">
        <f t="shared" si="1127"/>
        <v>x</v>
      </c>
      <c r="GJ213" s="112" t="str">
        <f t="shared" si="1128"/>
        <v>x</v>
      </c>
      <c r="GK213" s="111"/>
      <c r="GL213" s="112" t="str">
        <f t="shared" si="1045"/>
        <v>x</v>
      </c>
      <c r="GM213" s="112" t="str">
        <f t="shared" si="1046"/>
        <v>x</v>
      </c>
      <c r="GN213" s="112"/>
      <c r="GO213" s="112" t="str">
        <f t="shared" si="1129"/>
        <v>x</v>
      </c>
      <c r="GP213" s="112" t="str">
        <f t="shared" si="1130"/>
        <v>x</v>
      </c>
      <c r="GQ213" s="112" t="str">
        <f t="shared" si="1131"/>
        <v>x</v>
      </c>
      <c r="GR213" s="112" t="str">
        <f t="shared" si="1132"/>
        <v>x</v>
      </c>
      <c r="GS213" s="112" t="str">
        <f t="shared" si="1050"/>
        <v>x</v>
      </c>
      <c r="GT213" s="112" t="str">
        <f t="shared" si="1051"/>
        <v>x</v>
      </c>
      <c r="GU213" s="112" t="str">
        <f t="shared" si="1052"/>
        <v>x</v>
      </c>
      <c r="GV213" s="112" t="str">
        <f t="shared" si="1053"/>
        <v>x</v>
      </c>
      <c r="GW213" s="112" t="str">
        <f t="shared" si="1054"/>
        <v>x</v>
      </c>
      <c r="GX213" s="112" t="str">
        <f t="shared" si="1055"/>
        <v>x</v>
      </c>
      <c r="GY213" s="112" t="str">
        <f t="shared" si="1056"/>
        <v>x</v>
      </c>
      <c r="GZ213" s="112" t="str">
        <f t="shared" si="1057"/>
        <v>x</v>
      </c>
      <c r="HA213" s="112" t="str">
        <f t="shared" si="1133"/>
        <v>x</v>
      </c>
      <c r="HB213" s="112" t="str">
        <f t="shared" si="1134"/>
        <v>x</v>
      </c>
      <c r="HC213" s="111"/>
      <c r="HD213" s="111"/>
      <c r="HE213" s="111"/>
      <c r="HF213" s="111"/>
      <c r="HG213" s="111"/>
      <c r="HH213" s="112" t="str">
        <f t="shared" si="1135"/>
        <v>x</v>
      </c>
      <c r="HI213" s="111"/>
      <c r="HJ213" s="112"/>
      <c r="HK213" s="112" t="str">
        <f t="shared" si="1136"/>
        <v>x</v>
      </c>
      <c r="HL213" s="112"/>
      <c r="HM213" s="112"/>
      <c r="HN213" s="112"/>
      <c r="HO213" s="112"/>
      <c r="HP213" s="112"/>
      <c r="HQ213" s="112"/>
      <c r="HR213" s="112"/>
      <c r="HS213" s="112"/>
      <c r="HT213" s="112"/>
      <c r="HU213" s="112"/>
      <c r="HV213" s="112" t="str">
        <f t="shared" si="1059"/>
        <v>x</v>
      </c>
      <c r="HW213" s="112" t="str">
        <f t="shared" si="1137"/>
        <v>x</v>
      </c>
      <c r="HX213" s="112" t="str">
        <f t="shared" si="1138"/>
        <v>x</v>
      </c>
      <c r="HY213" s="112" t="str">
        <f t="shared" si="1139"/>
        <v>x</v>
      </c>
      <c r="HZ213" s="112"/>
      <c r="IA213" s="112"/>
      <c r="IB213" s="112"/>
      <c r="IC213" s="112"/>
      <c r="ID213" s="112"/>
      <c r="IE213" s="112"/>
      <c r="IF213" s="112"/>
      <c r="IG213" s="112" t="str">
        <f t="shared" si="1140"/>
        <v>x</v>
      </c>
      <c r="IH213" s="112" t="str">
        <f t="shared" si="1063"/>
        <v>x</v>
      </c>
      <c r="II213" s="112" t="str">
        <f t="shared" si="1064"/>
        <v>x</v>
      </c>
      <c r="IJ213" s="112" t="str">
        <f t="shared" si="1065"/>
        <v>x</v>
      </c>
      <c r="IK213" s="112" t="str">
        <f t="shared" si="1066"/>
        <v>x</v>
      </c>
      <c r="IL213" s="111"/>
      <c r="IM213" s="112" t="str">
        <f t="shared" si="1067"/>
        <v>x</v>
      </c>
      <c r="IN213" s="112"/>
      <c r="IO213" s="111"/>
      <c r="IP213" s="112" t="str">
        <f t="shared" si="1068"/>
        <v>x</v>
      </c>
      <c r="IQ213" s="112"/>
      <c r="IR213" s="111"/>
      <c r="IS213" s="111"/>
      <c r="IT213" s="111"/>
      <c r="IU213" s="112" t="str">
        <f t="shared" si="1069"/>
        <v>x</v>
      </c>
      <c r="IV213" s="112"/>
      <c r="IW213" s="112" t="str">
        <f t="shared" si="1070"/>
        <v>x</v>
      </c>
      <c r="IX213" s="112" t="str">
        <f t="shared" si="1071"/>
        <v>x</v>
      </c>
      <c r="IY213" s="111"/>
      <c r="IZ213" s="112" t="str">
        <f t="shared" si="1141"/>
        <v>x</v>
      </c>
      <c r="JA213" s="111"/>
      <c r="JB213" s="112"/>
      <c r="JC213" s="111"/>
      <c r="JD213" s="112"/>
      <c r="JE213" s="112"/>
      <c r="JF213" s="112" t="str">
        <f t="shared" si="1073"/>
        <v>x</v>
      </c>
      <c r="JG213" s="112"/>
      <c r="JH213" s="111"/>
      <c r="JI213" s="112"/>
      <c r="JJ213" s="112"/>
      <c r="JK213" s="112" t="str">
        <f t="shared" si="1142"/>
        <v>x</v>
      </c>
      <c r="JL213" s="112" t="str">
        <f t="shared" si="1074"/>
        <v>x</v>
      </c>
      <c r="JM213" s="112"/>
      <c r="JN213" s="112"/>
      <c r="JO213" s="112"/>
      <c r="JP213" s="112"/>
      <c r="JQ213" s="112" t="str">
        <f t="shared" si="1075"/>
        <v>x</v>
      </c>
      <c r="JR213" s="112"/>
      <c r="JS213" s="112" t="str">
        <f t="shared" si="1076"/>
        <v>x</v>
      </c>
      <c r="JT213" s="111"/>
      <c r="JU213" s="111"/>
      <c r="JV213" s="112"/>
      <c r="JW213" s="112"/>
      <c r="JX213" s="112"/>
      <c r="JY213" s="112"/>
      <c r="JZ213" s="112"/>
      <c r="KA213" s="112" t="str">
        <f t="shared" si="1143"/>
        <v>x</v>
      </c>
      <c r="KB213" s="111"/>
      <c r="KC213" s="112" t="str">
        <f t="shared" si="1078"/>
        <v>x</v>
      </c>
      <c r="KD213" s="112"/>
      <c r="KE213" s="112" t="str">
        <f t="shared" si="1144"/>
        <v>x</v>
      </c>
      <c r="KF213" s="112"/>
      <c r="KG213" s="112"/>
      <c r="KH213" s="112"/>
      <c r="KI213" s="112"/>
      <c r="KJ213" s="112"/>
      <c r="KK213" s="112"/>
      <c r="KL213" s="112"/>
      <c r="KM213" s="112"/>
      <c r="KN213" s="112"/>
      <c r="KO213" s="112"/>
      <c r="KP213" s="112"/>
      <c r="KQ213" s="112"/>
      <c r="KR213" s="112"/>
      <c r="KS213" s="112"/>
      <c r="KT213" s="112"/>
      <c r="KU213" s="112"/>
      <c r="KV213" s="112"/>
      <c r="KW213" s="112"/>
      <c r="KX213" s="112"/>
      <c r="KY213" s="112"/>
      <c r="KZ213" s="112"/>
      <c r="LA213" s="112"/>
      <c r="LB213" s="111"/>
      <c r="LC213" s="111"/>
      <c r="LD213" s="111"/>
      <c r="LE213" s="111"/>
      <c r="LF213" s="111"/>
      <c r="LG213" s="111"/>
      <c r="LH213" s="111"/>
      <c r="LI213" s="111"/>
      <c r="LJ213" s="111"/>
      <c r="LK213" s="111"/>
      <c r="LL213" s="111"/>
      <c r="LM213" s="111"/>
      <c r="LN213" s="111"/>
      <c r="LO213" s="111"/>
      <c r="LP213" s="111"/>
      <c r="LQ213" s="111"/>
      <c r="LR213" s="111"/>
      <c r="LS213" s="111"/>
      <c r="LT213" s="111"/>
      <c r="LU213" s="111"/>
      <c r="LV213" s="111"/>
      <c r="LW213" s="111"/>
      <c r="LX213" s="111"/>
      <c r="LY213" s="111"/>
      <c r="LZ213" s="111"/>
      <c r="MA213" s="111"/>
      <c r="MB213" s="111"/>
      <c r="MC213" s="112" t="str">
        <f t="shared" si="1080"/>
        <v>x</v>
      </c>
      <c r="MD213" s="111"/>
      <c r="ME213" s="111"/>
      <c r="MF213" s="111"/>
      <c r="MG213" s="111"/>
      <c r="MH213" s="112" t="str">
        <f t="shared" si="1081"/>
        <v>x</v>
      </c>
    </row>
    <row r="214" spans="1:346" x14ac:dyDescent="0.25">
      <c r="A214" s="110" t="s">
        <v>7</v>
      </c>
      <c r="B214" s="101" t="s">
        <v>87</v>
      </c>
      <c r="C214" s="102"/>
      <c r="D214" s="102"/>
      <c r="E214" s="102"/>
      <c r="F214" s="102"/>
      <c r="G214" s="102"/>
      <c r="H214" s="102"/>
      <c r="I214" s="102"/>
      <c r="J214" s="103"/>
      <c r="K214" s="111"/>
      <c r="L214" s="111"/>
      <c r="M214" s="112" t="str">
        <f t="shared" si="1082"/>
        <v>x</v>
      </c>
      <c r="N214" s="112"/>
      <c r="O214" s="112" t="str">
        <f t="shared" si="1083"/>
        <v>x</v>
      </c>
      <c r="P214" s="112"/>
      <c r="Q214" s="112"/>
      <c r="R214" s="112"/>
      <c r="S214" s="112"/>
      <c r="T214" s="112"/>
      <c r="U214" s="112"/>
      <c r="V214" s="111"/>
      <c r="W214" s="112"/>
      <c r="X214" s="111"/>
      <c r="Y214" s="111"/>
      <c r="Z214" s="111"/>
      <c r="AA214" s="111"/>
      <c r="AB214" s="111"/>
      <c r="AC214" s="112" t="str">
        <f t="shared" si="973"/>
        <v>x</v>
      </c>
      <c r="AD214" s="111"/>
      <c r="AE214" s="112" t="str">
        <f t="shared" si="1084"/>
        <v>x</v>
      </c>
      <c r="AF214" s="111"/>
      <c r="AG214" s="112" t="str">
        <f t="shared" si="1085"/>
        <v>x</v>
      </c>
      <c r="AH214" s="111"/>
      <c r="AI214" s="111"/>
      <c r="AJ214" s="111"/>
      <c r="AK214" s="111"/>
      <c r="AL214" s="111"/>
      <c r="AM214" s="111"/>
      <c r="AN214" s="112"/>
      <c r="AO214" s="112"/>
      <c r="AP214" s="112"/>
      <c r="AQ214" s="112"/>
      <c r="AR214" s="112"/>
      <c r="AS214" s="112"/>
      <c r="AT214" s="112"/>
      <c r="AU214" s="113"/>
      <c r="AV214" s="114" t="str">
        <f t="shared" si="1086"/>
        <v>x</v>
      </c>
      <c r="AW214" s="114" t="str">
        <f t="shared" si="1087"/>
        <v>x</v>
      </c>
      <c r="AX214" s="111"/>
      <c r="AY214" s="111"/>
      <c r="AZ214" s="112" t="str">
        <f t="shared" si="1088"/>
        <v>x</v>
      </c>
      <c r="BA214" s="112" t="str">
        <f t="shared" si="1089"/>
        <v>x</v>
      </c>
      <c r="BB214" s="111"/>
      <c r="BC214" s="111"/>
      <c r="BD214" s="111"/>
      <c r="BE214" s="111"/>
      <c r="BF214" s="111"/>
      <c r="BG214" s="111"/>
      <c r="BH214" s="111"/>
      <c r="BI214" s="111"/>
      <c r="BJ214" s="112" t="str">
        <f t="shared" si="979"/>
        <v>x</v>
      </c>
      <c r="BK214" s="111"/>
      <c r="BL214" s="112" t="str">
        <f t="shared" si="1090"/>
        <v>x</v>
      </c>
      <c r="BM214" s="111"/>
      <c r="BN214" s="111"/>
      <c r="BO214" s="111"/>
      <c r="BP214" s="111"/>
      <c r="BQ214" s="111"/>
      <c r="BR214" s="112" t="str">
        <f t="shared" si="1091"/>
        <v>x</v>
      </c>
      <c r="BS214" s="112"/>
      <c r="BT214" s="111"/>
      <c r="BU214" s="112" t="str">
        <f t="shared" si="1092"/>
        <v>x</v>
      </c>
      <c r="BV214" s="112" t="str">
        <f t="shared" si="983"/>
        <v>x</v>
      </c>
      <c r="BW214" s="112"/>
      <c r="BX214" s="112"/>
      <c r="BY214" s="112"/>
      <c r="BZ214" s="112" t="str">
        <f t="shared" si="1093"/>
        <v>x</v>
      </c>
      <c r="CA214" s="112" t="str">
        <f t="shared" si="1094"/>
        <v>x</v>
      </c>
      <c r="CB214" s="112" t="str">
        <f t="shared" si="1095"/>
        <v>x</v>
      </c>
      <c r="CC214" s="112"/>
      <c r="CD214" s="112"/>
      <c r="CE214" s="112" t="str">
        <f t="shared" si="987"/>
        <v>x</v>
      </c>
      <c r="CF214" s="112" t="str">
        <f t="shared" si="1096"/>
        <v>x</v>
      </c>
      <c r="CG214" s="112" t="str">
        <f t="shared" si="1097"/>
        <v>x</v>
      </c>
      <c r="CH214" s="112" t="str">
        <f t="shared" si="989"/>
        <v>x</v>
      </c>
      <c r="CI214" s="112" t="str">
        <f t="shared" si="1098"/>
        <v>x</v>
      </c>
      <c r="CJ214" s="112" t="str">
        <f t="shared" si="1099"/>
        <v>x</v>
      </c>
      <c r="CK214" s="112" t="str">
        <f t="shared" si="1100"/>
        <v>x</v>
      </c>
      <c r="CL214" s="112"/>
      <c r="CM214" s="112"/>
      <c r="CN214" s="112"/>
      <c r="CO214" s="112" t="str">
        <f t="shared" si="1101"/>
        <v>x</v>
      </c>
      <c r="CP214" s="112"/>
      <c r="CQ214" s="112" t="str">
        <f t="shared" si="1102"/>
        <v>x</v>
      </c>
      <c r="CR214" s="112"/>
      <c r="CS214" s="112"/>
      <c r="CT214" s="112" t="str">
        <f t="shared" si="1103"/>
        <v>x</v>
      </c>
      <c r="CU214" s="112" t="str">
        <f t="shared" si="993"/>
        <v>x</v>
      </c>
      <c r="CV214" s="112" t="str">
        <f t="shared" si="994"/>
        <v>x</v>
      </c>
      <c r="CW214" s="112" t="str">
        <f t="shared" si="995"/>
        <v>x</v>
      </c>
      <c r="CX214" s="112" t="str">
        <f t="shared" si="1104"/>
        <v>x</v>
      </c>
      <c r="CY214" s="112" t="str">
        <f t="shared" si="1105"/>
        <v>x</v>
      </c>
      <c r="CZ214" s="112"/>
      <c r="DA214" s="112"/>
      <c r="DB214" s="115" t="str">
        <f t="shared" si="1106"/>
        <v>x</v>
      </c>
      <c r="DC214" s="112"/>
      <c r="DD214" s="112"/>
      <c r="DE214" s="112" t="str">
        <f t="shared" si="1107"/>
        <v>x</v>
      </c>
      <c r="DF214" s="115" t="str">
        <f t="shared" si="1108"/>
        <v>x</v>
      </c>
      <c r="DG214" s="112" t="str">
        <f t="shared" si="1109"/>
        <v>x</v>
      </c>
      <c r="DH214" s="112" t="str">
        <f t="shared" si="1110"/>
        <v>x</v>
      </c>
      <c r="DI214" s="112" t="str">
        <f t="shared" si="1001"/>
        <v>x</v>
      </c>
      <c r="DJ214" s="112"/>
      <c r="DK214" s="112"/>
      <c r="DL214" s="112"/>
      <c r="DM214" s="112"/>
      <c r="DN214" s="112"/>
      <c r="DO214" s="111"/>
      <c r="DP214" s="112" t="str">
        <f t="shared" si="1111"/>
        <v>x</v>
      </c>
      <c r="DQ214" s="112" t="str">
        <f t="shared" si="1003"/>
        <v>x</v>
      </c>
      <c r="DR214" s="112" t="str">
        <f t="shared" si="1112"/>
        <v>x</v>
      </c>
      <c r="DS214" s="112" t="str">
        <f t="shared" si="1113"/>
        <v>x</v>
      </c>
      <c r="DT214" s="112"/>
      <c r="DU214" s="112" t="str">
        <f t="shared" si="1004"/>
        <v>x</v>
      </c>
      <c r="DV214" s="112"/>
      <c r="DW214" s="112"/>
      <c r="DX214" s="112" t="str">
        <f t="shared" si="1005"/>
        <v>x</v>
      </c>
      <c r="DY214" s="112" t="str">
        <f t="shared" si="1006"/>
        <v>x</v>
      </c>
      <c r="DZ214" s="112" t="str">
        <f t="shared" si="1007"/>
        <v>x</v>
      </c>
      <c r="EA214" s="112" t="str">
        <f t="shared" si="1008"/>
        <v>x</v>
      </c>
      <c r="EB214" s="112" t="str">
        <f t="shared" si="1009"/>
        <v>x</v>
      </c>
      <c r="EC214" s="111"/>
      <c r="ED214" s="111"/>
      <c r="EE214" s="111"/>
      <c r="EF214" s="111"/>
      <c r="EG214" s="111"/>
      <c r="EH214" s="111"/>
      <c r="EI214" s="112"/>
      <c r="EJ214" s="112"/>
      <c r="EK214" s="112"/>
      <c r="EL214" s="112" t="str">
        <f t="shared" si="1010"/>
        <v>x</v>
      </c>
      <c r="EM214" s="112" t="str">
        <f t="shared" si="1114"/>
        <v>x</v>
      </c>
      <c r="EN214" s="111"/>
      <c r="EO214" s="117" t="str">
        <f t="shared" si="1115"/>
        <v>x</v>
      </c>
      <c r="EP214" s="117" t="str">
        <f t="shared" si="1116"/>
        <v>x</v>
      </c>
      <c r="EQ214" s="112" t="str">
        <f t="shared" si="1014"/>
        <v>x</v>
      </c>
      <c r="ER214" s="111"/>
      <c r="ES214" s="111"/>
      <c r="ET214" s="111"/>
      <c r="EU214" s="111"/>
      <c r="EV214" s="112" t="str">
        <f t="shared" si="1015"/>
        <v>x</v>
      </c>
      <c r="EW214" s="112" t="str">
        <f t="shared" si="1016"/>
        <v>x</v>
      </c>
      <c r="EX214" s="112" t="str">
        <f t="shared" si="1117"/>
        <v>x</v>
      </c>
      <c r="EY214" s="112" t="str">
        <f t="shared" si="1018"/>
        <v>x</v>
      </c>
      <c r="EZ214" s="112"/>
      <c r="FA214" s="111"/>
      <c r="FB214" s="111"/>
      <c r="FC214" s="112" t="str">
        <f t="shared" si="1118"/>
        <v>x</v>
      </c>
      <c r="FD214" s="112" t="str">
        <f t="shared" si="1119"/>
        <v>x</v>
      </c>
      <c r="FE214" s="111"/>
      <c r="FF214" s="112" t="str">
        <f t="shared" si="1120"/>
        <v>x</v>
      </c>
      <c r="FG214" s="111"/>
      <c r="FH214" s="111"/>
      <c r="FI214" s="112"/>
      <c r="FJ214" s="112" t="str">
        <f t="shared" si="1121"/>
        <v>x</v>
      </c>
      <c r="FK214" s="112" t="str">
        <f t="shared" si="1122"/>
        <v>x</v>
      </c>
      <c r="FL214" s="112"/>
      <c r="FM214" s="112" t="str">
        <f t="shared" si="1024"/>
        <v>x</v>
      </c>
      <c r="FN214" s="112" t="str">
        <f t="shared" si="1123"/>
        <v>x</v>
      </c>
      <c r="FO214" s="112" t="str">
        <f t="shared" si="1025"/>
        <v>x</v>
      </c>
      <c r="FP214" s="112"/>
      <c r="FQ214" s="112" t="str">
        <f t="shared" si="1026"/>
        <v>x</v>
      </c>
      <c r="FR214" s="112" t="str">
        <f t="shared" si="1027"/>
        <v>x</v>
      </c>
      <c r="FS214" s="112" t="str">
        <f t="shared" si="1028"/>
        <v>x</v>
      </c>
      <c r="FT214" s="112" t="str">
        <f t="shared" si="1029"/>
        <v>x</v>
      </c>
      <c r="FU214" s="112" t="str">
        <f t="shared" si="1030"/>
        <v>x</v>
      </c>
      <c r="FV214" s="112" t="str">
        <f t="shared" si="1031"/>
        <v>x</v>
      </c>
      <c r="FW214" s="112" t="str">
        <f t="shared" si="1032"/>
        <v>x</v>
      </c>
      <c r="FX214" s="112" t="str">
        <f t="shared" si="1033"/>
        <v>x</v>
      </c>
      <c r="FY214" s="112" t="str">
        <f t="shared" si="1034"/>
        <v>x</v>
      </c>
      <c r="FZ214" s="112" t="str">
        <f t="shared" si="1035"/>
        <v>x</v>
      </c>
      <c r="GA214" s="112" t="str">
        <f t="shared" si="1036"/>
        <v>x</v>
      </c>
      <c r="GB214" s="112" t="str">
        <f t="shared" si="1037"/>
        <v>x</v>
      </c>
      <c r="GC214" s="112" t="str">
        <f t="shared" si="1124"/>
        <v>x</v>
      </c>
      <c r="GD214" s="112" t="str">
        <f t="shared" si="1039"/>
        <v>x</v>
      </c>
      <c r="GE214" s="112" t="str">
        <f t="shared" si="1125"/>
        <v>x</v>
      </c>
      <c r="GF214" s="112" t="str">
        <f t="shared" si="1040"/>
        <v>x</v>
      </c>
      <c r="GG214" s="112" t="str">
        <f t="shared" si="1041"/>
        <v>x</v>
      </c>
      <c r="GH214" s="112" t="str">
        <f t="shared" si="1126"/>
        <v>x</v>
      </c>
      <c r="GI214" s="112" t="str">
        <f t="shared" si="1127"/>
        <v>x</v>
      </c>
      <c r="GJ214" s="112" t="str">
        <f t="shared" si="1128"/>
        <v>x</v>
      </c>
      <c r="GK214" s="111"/>
      <c r="GL214" s="112" t="str">
        <f t="shared" si="1045"/>
        <v>x</v>
      </c>
      <c r="GM214" s="112" t="str">
        <f t="shared" si="1046"/>
        <v>x</v>
      </c>
      <c r="GN214" s="112"/>
      <c r="GO214" s="112" t="str">
        <f t="shared" si="1129"/>
        <v>x</v>
      </c>
      <c r="GP214" s="112" t="str">
        <f t="shared" si="1130"/>
        <v>x</v>
      </c>
      <c r="GQ214" s="112" t="str">
        <f t="shared" si="1131"/>
        <v>x</v>
      </c>
      <c r="GR214" s="112" t="str">
        <f t="shared" si="1132"/>
        <v>x</v>
      </c>
      <c r="GS214" s="112" t="str">
        <f t="shared" si="1050"/>
        <v>x</v>
      </c>
      <c r="GT214" s="112" t="str">
        <f t="shared" si="1051"/>
        <v>x</v>
      </c>
      <c r="GU214" s="112" t="str">
        <f t="shared" si="1052"/>
        <v>x</v>
      </c>
      <c r="GV214" s="112" t="str">
        <f t="shared" si="1053"/>
        <v>x</v>
      </c>
      <c r="GW214" s="112" t="str">
        <f t="shared" si="1054"/>
        <v>x</v>
      </c>
      <c r="GX214" s="112" t="str">
        <f t="shared" si="1055"/>
        <v>x</v>
      </c>
      <c r="GY214" s="112" t="str">
        <f t="shared" si="1056"/>
        <v>x</v>
      </c>
      <c r="GZ214" s="112" t="str">
        <f t="shared" si="1057"/>
        <v>x</v>
      </c>
      <c r="HA214" s="112" t="str">
        <f t="shared" si="1133"/>
        <v>x</v>
      </c>
      <c r="HB214" s="112" t="str">
        <f t="shared" si="1134"/>
        <v>x</v>
      </c>
      <c r="HC214" s="111"/>
      <c r="HD214" s="111"/>
      <c r="HE214" s="111"/>
      <c r="HF214" s="111"/>
      <c r="HG214" s="111"/>
      <c r="HH214" s="112" t="str">
        <f t="shared" si="1135"/>
        <v>x</v>
      </c>
      <c r="HI214" s="111"/>
      <c r="HJ214" s="112"/>
      <c r="HK214" s="112" t="str">
        <f t="shared" si="1136"/>
        <v>x</v>
      </c>
      <c r="HL214" s="112"/>
      <c r="HM214" s="112"/>
      <c r="HN214" s="112"/>
      <c r="HO214" s="112"/>
      <c r="HP214" s="112"/>
      <c r="HQ214" s="112"/>
      <c r="HR214" s="112"/>
      <c r="HS214" s="112"/>
      <c r="HT214" s="112"/>
      <c r="HU214" s="112"/>
      <c r="HV214" s="112" t="str">
        <f t="shared" si="1059"/>
        <v>x</v>
      </c>
      <c r="HW214" s="112" t="str">
        <f t="shared" si="1137"/>
        <v>x</v>
      </c>
      <c r="HX214" s="112" t="str">
        <f t="shared" si="1138"/>
        <v>x</v>
      </c>
      <c r="HY214" s="112" t="str">
        <f t="shared" si="1139"/>
        <v>x</v>
      </c>
      <c r="HZ214" s="112"/>
      <c r="IA214" s="112"/>
      <c r="IB214" s="112"/>
      <c r="IC214" s="112"/>
      <c r="ID214" s="112"/>
      <c r="IE214" s="112"/>
      <c r="IF214" s="112"/>
      <c r="IG214" s="112" t="str">
        <f t="shared" si="1140"/>
        <v>x</v>
      </c>
      <c r="IH214" s="112" t="str">
        <f t="shared" si="1063"/>
        <v>x</v>
      </c>
      <c r="II214" s="112" t="str">
        <f t="shared" si="1064"/>
        <v>x</v>
      </c>
      <c r="IJ214" s="112" t="str">
        <f t="shared" si="1065"/>
        <v>x</v>
      </c>
      <c r="IK214" s="112" t="str">
        <f t="shared" si="1066"/>
        <v>x</v>
      </c>
      <c r="IL214" s="111"/>
      <c r="IM214" s="112" t="str">
        <f t="shared" si="1067"/>
        <v>x</v>
      </c>
      <c r="IN214" s="112"/>
      <c r="IO214" s="111"/>
      <c r="IP214" s="112" t="str">
        <f t="shared" si="1068"/>
        <v>x</v>
      </c>
      <c r="IQ214" s="112"/>
      <c r="IR214" s="111"/>
      <c r="IS214" s="111"/>
      <c r="IT214" s="111"/>
      <c r="IU214" s="112" t="str">
        <f t="shared" si="1069"/>
        <v>x</v>
      </c>
      <c r="IV214" s="112"/>
      <c r="IW214" s="112" t="str">
        <f t="shared" si="1070"/>
        <v>x</v>
      </c>
      <c r="IX214" s="112" t="str">
        <f t="shared" si="1071"/>
        <v>x</v>
      </c>
      <c r="IY214" s="111"/>
      <c r="IZ214" s="112" t="str">
        <f t="shared" si="1141"/>
        <v>x</v>
      </c>
      <c r="JA214" s="111"/>
      <c r="JB214" s="112"/>
      <c r="JC214" s="111"/>
      <c r="JD214" s="112"/>
      <c r="JE214" s="112"/>
      <c r="JF214" s="112" t="str">
        <f t="shared" si="1073"/>
        <v>x</v>
      </c>
      <c r="JG214" s="112"/>
      <c r="JH214" s="111"/>
      <c r="JI214" s="112"/>
      <c r="JJ214" s="112"/>
      <c r="JK214" s="112" t="str">
        <f t="shared" si="1142"/>
        <v>x</v>
      </c>
      <c r="JL214" s="112" t="str">
        <f t="shared" si="1074"/>
        <v>x</v>
      </c>
      <c r="JM214" s="112"/>
      <c r="JN214" s="112"/>
      <c r="JO214" s="112"/>
      <c r="JP214" s="112"/>
      <c r="JQ214" s="112" t="str">
        <f t="shared" si="1075"/>
        <v>x</v>
      </c>
      <c r="JR214" s="112"/>
      <c r="JS214" s="112" t="str">
        <f t="shared" si="1076"/>
        <v>x</v>
      </c>
      <c r="JT214" s="111"/>
      <c r="JU214" s="111"/>
      <c r="JV214" s="112"/>
      <c r="JW214" s="112"/>
      <c r="JX214" s="112"/>
      <c r="JY214" s="112"/>
      <c r="JZ214" s="112"/>
      <c r="KA214" s="112" t="str">
        <f t="shared" si="1143"/>
        <v>x</v>
      </c>
      <c r="KB214" s="111"/>
      <c r="KC214" s="112" t="str">
        <f t="shared" si="1078"/>
        <v>x</v>
      </c>
      <c r="KD214" s="112"/>
      <c r="KE214" s="112" t="str">
        <f t="shared" si="1144"/>
        <v>x</v>
      </c>
      <c r="KF214" s="112"/>
      <c r="KG214" s="112"/>
      <c r="KH214" s="112"/>
      <c r="KI214" s="112"/>
      <c r="KJ214" s="112"/>
      <c r="KK214" s="112"/>
      <c r="KL214" s="112"/>
      <c r="KM214" s="112"/>
      <c r="KN214" s="112"/>
      <c r="KO214" s="112"/>
      <c r="KP214" s="112"/>
      <c r="KQ214" s="112"/>
      <c r="KR214" s="112"/>
      <c r="KS214" s="112"/>
      <c r="KT214" s="112"/>
      <c r="KU214" s="112"/>
      <c r="KV214" s="112"/>
      <c r="KW214" s="112"/>
      <c r="KX214" s="112"/>
      <c r="KY214" s="112"/>
      <c r="KZ214" s="112"/>
      <c r="LA214" s="112"/>
      <c r="LB214" s="111"/>
      <c r="LC214" s="111"/>
      <c r="LD214" s="111"/>
      <c r="LE214" s="111"/>
      <c r="LF214" s="111"/>
      <c r="LG214" s="111"/>
      <c r="LH214" s="111"/>
      <c r="LI214" s="111"/>
      <c r="LJ214" s="111"/>
      <c r="LK214" s="111"/>
      <c r="LL214" s="111"/>
      <c r="LM214" s="111"/>
      <c r="LN214" s="111"/>
      <c r="LO214" s="111"/>
      <c r="LP214" s="111"/>
      <c r="LQ214" s="111"/>
      <c r="LR214" s="111"/>
      <c r="LS214" s="111"/>
      <c r="LT214" s="111"/>
      <c r="LU214" s="111"/>
      <c r="LV214" s="111"/>
      <c r="LW214" s="111"/>
      <c r="LX214" s="111"/>
      <c r="LY214" s="111"/>
      <c r="LZ214" s="111"/>
      <c r="MA214" s="111"/>
      <c r="MB214" s="111"/>
      <c r="MC214" s="112" t="str">
        <f t="shared" si="1080"/>
        <v>x</v>
      </c>
      <c r="MD214" s="111"/>
      <c r="ME214" s="111"/>
      <c r="MF214" s="111"/>
      <c r="MG214" s="111"/>
      <c r="MH214" s="112" t="str">
        <f t="shared" si="1081"/>
        <v>x</v>
      </c>
    </row>
    <row r="215" spans="1:346" x14ac:dyDescent="0.25">
      <c r="A215" s="110" t="s">
        <v>7</v>
      </c>
      <c r="B215" s="101" t="s">
        <v>155</v>
      </c>
      <c r="C215" s="102"/>
      <c r="D215" s="102"/>
      <c r="E215" s="102"/>
      <c r="F215" s="102"/>
      <c r="G215" s="102"/>
      <c r="H215" s="102"/>
      <c r="I215" s="102"/>
      <c r="J215" s="103"/>
      <c r="K215" s="111"/>
      <c r="L215" s="111"/>
      <c r="M215" s="112" t="str">
        <f t="shared" si="1082"/>
        <v>x</v>
      </c>
      <c r="N215" s="112"/>
      <c r="O215" s="112" t="str">
        <f t="shared" si="1083"/>
        <v>x</v>
      </c>
      <c r="P215" s="112"/>
      <c r="Q215" s="112"/>
      <c r="R215" s="112"/>
      <c r="S215" s="112"/>
      <c r="T215" s="112"/>
      <c r="U215" s="112"/>
      <c r="V215" s="111"/>
      <c r="W215" s="112"/>
      <c r="X215" s="111"/>
      <c r="Y215" s="111"/>
      <c r="Z215" s="111"/>
      <c r="AA215" s="111"/>
      <c r="AB215" s="111"/>
      <c r="AC215" s="112" t="str">
        <f t="shared" si="973"/>
        <v>x</v>
      </c>
      <c r="AD215" s="111"/>
      <c r="AE215" s="112" t="str">
        <f t="shared" si="1084"/>
        <v>x</v>
      </c>
      <c r="AF215" s="111"/>
      <c r="AG215" s="112" t="str">
        <f t="shared" si="1085"/>
        <v>x</v>
      </c>
      <c r="AH215" s="111"/>
      <c r="AI215" s="111"/>
      <c r="AJ215" s="111"/>
      <c r="AK215" s="111"/>
      <c r="AL215" s="111"/>
      <c r="AM215" s="111"/>
      <c r="AN215" s="112"/>
      <c r="AO215" s="112"/>
      <c r="AP215" s="112"/>
      <c r="AQ215" s="112"/>
      <c r="AR215" s="112"/>
      <c r="AS215" s="112"/>
      <c r="AT215" s="112"/>
      <c r="AU215" s="113"/>
      <c r="AV215" s="114" t="str">
        <f t="shared" si="1086"/>
        <v>x</v>
      </c>
      <c r="AW215" s="114" t="str">
        <f t="shared" si="1087"/>
        <v>x</v>
      </c>
      <c r="AX215" s="111"/>
      <c r="AY215" s="111"/>
      <c r="AZ215" s="112" t="str">
        <f t="shared" si="1088"/>
        <v>x</v>
      </c>
      <c r="BA215" s="112" t="str">
        <f t="shared" si="1089"/>
        <v>x</v>
      </c>
      <c r="BB215" s="111"/>
      <c r="BC215" s="111"/>
      <c r="BD215" s="111"/>
      <c r="BE215" s="111"/>
      <c r="BF215" s="111"/>
      <c r="BG215" s="111"/>
      <c r="BH215" s="111"/>
      <c r="BI215" s="111"/>
      <c r="BJ215" s="112" t="str">
        <f t="shared" si="979"/>
        <v>x</v>
      </c>
      <c r="BK215" s="111"/>
      <c r="BL215" s="112" t="str">
        <f t="shared" si="1090"/>
        <v>x</v>
      </c>
      <c r="BM215" s="111"/>
      <c r="BN215" s="111"/>
      <c r="BO215" s="111"/>
      <c r="BP215" s="111"/>
      <c r="BQ215" s="111"/>
      <c r="BR215" s="112" t="str">
        <f t="shared" si="1091"/>
        <v>x</v>
      </c>
      <c r="BS215" s="112"/>
      <c r="BT215" s="111"/>
      <c r="BU215" s="112" t="str">
        <f t="shared" si="1092"/>
        <v>x</v>
      </c>
      <c r="BV215" s="112" t="str">
        <f t="shared" si="983"/>
        <v>x</v>
      </c>
      <c r="BW215" s="112"/>
      <c r="BX215" s="112"/>
      <c r="BY215" s="112"/>
      <c r="BZ215" s="112" t="str">
        <f t="shared" si="1093"/>
        <v>x</v>
      </c>
      <c r="CA215" s="112" t="str">
        <f t="shared" si="1094"/>
        <v>x</v>
      </c>
      <c r="CB215" s="112" t="str">
        <f t="shared" si="1095"/>
        <v>x</v>
      </c>
      <c r="CC215" s="112"/>
      <c r="CD215" s="112"/>
      <c r="CE215" s="112" t="str">
        <f t="shared" si="987"/>
        <v>x</v>
      </c>
      <c r="CF215" s="112" t="str">
        <f t="shared" si="1096"/>
        <v>x</v>
      </c>
      <c r="CG215" s="112" t="str">
        <f t="shared" si="1097"/>
        <v>x</v>
      </c>
      <c r="CH215" s="112" t="str">
        <f t="shared" si="989"/>
        <v>x</v>
      </c>
      <c r="CI215" s="112" t="str">
        <f t="shared" si="1098"/>
        <v>x</v>
      </c>
      <c r="CJ215" s="112" t="str">
        <f t="shared" si="1099"/>
        <v>x</v>
      </c>
      <c r="CK215" s="112" t="str">
        <f t="shared" si="1100"/>
        <v>x</v>
      </c>
      <c r="CL215" s="112"/>
      <c r="CM215" s="112"/>
      <c r="CN215" s="112"/>
      <c r="CO215" s="112" t="str">
        <f t="shared" si="1101"/>
        <v>x</v>
      </c>
      <c r="CP215" s="112"/>
      <c r="CQ215" s="112" t="str">
        <f t="shared" si="1102"/>
        <v>x</v>
      </c>
      <c r="CR215" s="112"/>
      <c r="CS215" s="112"/>
      <c r="CT215" s="112" t="str">
        <f t="shared" si="1103"/>
        <v>x</v>
      </c>
      <c r="CU215" s="112" t="str">
        <f t="shared" si="993"/>
        <v>x</v>
      </c>
      <c r="CV215" s="112" t="str">
        <f t="shared" si="994"/>
        <v>x</v>
      </c>
      <c r="CW215" s="112" t="str">
        <f t="shared" si="995"/>
        <v>x</v>
      </c>
      <c r="CX215" s="112" t="str">
        <f t="shared" si="1104"/>
        <v>x</v>
      </c>
      <c r="CY215" s="112" t="str">
        <f t="shared" si="1105"/>
        <v>x</v>
      </c>
      <c r="CZ215" s="112"/>
      <c r="DA215" s="112"/>
      <c r="DB215" s="115" t="str">
        <f t="shared" si="1106"/>
        <v>x</v>
      </c>
      <c r="DC215" s="112"/>
      <c r="DD215" s="112"/>
      <c r="DE215" s="112" t="str">
        <f t="shared" si="1107"/>
        <v>x</v>
      </c>
      <c r="DF215" s="115" t="str">
        <f t="shared" si="1108"/>
        <v>x</v>
      </c>
      <c r="DG215" s="112" t="str">
        <f t="shared" si="1109"/>
        <v>x</v>
      </c>
      <c r="DH215" s="112" t="str">
        <f t="shared" si="1110"/>
        <v>x</v>
      </c>
      <c r="DI215" s="112" t="str">
        <f t="shared" si="1001"/>
        <v>x</v>
      </c>
      <c r="DJ215" s="112"/>
      <c r="DK215" s="112"/>
      <c r="DL215" s="112"/>
      <c r="DM215" s="112"/>
      <c r="DN215" s="112"/>
      <c r="DO215" s="111"/>
      <c r="DP215" s="112" t="str">
        <f t="shared" si="1111"/>
        <v>x</v>
      </c>
      <c r="DQ215" s="112" t="str">
        <f t="shared" si="1003"/>
        <v>x</v>
      </c>
      <c r="DR215" s="112" t="str">
        <f t="shared" si="1112"/>
        <v>x</v>
      </c>
      <c r="DS215" s="112" t="str">
        <f t="shared" si="1113"/>
        <v>x</v>
      </c>
      <c r="DT215" s="112"/>
      <c r="DU215" s="112" t="str">
        <f t="shared" si="1004"/>
        <v>x</v>
      </c>
      <c r="DV215" s="112"/>
      <c r="DW215" s="112"/>
      <c r="DX215" s="112" t="str">
        <f t="shared" si="1005"/>
        <v>x</v>
      </c>
      <c r="DY215" s="112" t="str">
        <f t="shared" si="1006"/>
        <v>x</v>
      </c>
      <c r="DZ215" s="112" t="str">
        <f t="shared" si="1007"/>
        <v>x</v>
      </c>
      <c r="EA215" s="112" t="str">
        <f t="shared" si="1008"/>
        <v>x</v>
      </c>
      <c r="EB215" s="112" t="str">
        <f t="shared" si="1009"/>
        <v>x</v>
      </c>
      <c r="EC215" s="111"/>
      <c r="ED215" s="111"/>
      <c r="EE215" s="111"/>
      <c r="EF215" s="111"/>
      <c r="EG215" s="111"/>
      <c r="EH215" s="111"/>
      <c r="EI215" s="112"/>
      <c r="EJ215" s="112"/>
      <c r="EK215" s="112"/>
      <c r="EL215" s="112" t="str">
        <f t="shared" si="1010"/>
        <v>x</v>
      </c>
      <c r="EM215" s="112" t="str">
        <f t="shared" si="1114"/>
        <v>x</v>
      </c>
      <c r="EN215" s="111"/>
      <c r="EO215" s="117" t="str">
        <f t="shared" si="1115"/>
        <v>x</v>
      </c>
      <c r="EP215" s="117" t="str">
        <f t="shared" si="1116"/>
        <v>x</v>
      </c>
      <c r="EQ215" s="112" t="str">
        <f t="shared" si="1014"/>
        <v>x</v>
      </c>
      <c r="ER215" s="111"/>
      <c r="ES215" s="111"/>
      <c r="ET215" s="111"/>
      <c r="EU215" s="111"/>
      <c r="EV215" s="112" t="str">
        <f t="shared" si="1015"/>
        <v>x</v>
      </c>
      <c r="EW215" s="112" t="str">
        <f t="shared" si="1016"/>
        <v>x</v>
      </c>
      <c r="EX215" s="112" t="str">
        <f t="shared" si="1117"/>
        <v>x</v>
      </c>
      <c r="EY215" s="112" t="str">
        <f t="shared" si="1018"/>
        <v>x</v>
      </c>
      <c r="EZ215" s="112"/>
      <c r="FA215" s="111"/>
      <c r="FB215" s="111"/>
      <c r="FC215" s="112" t="str">
        <f t="shared" si="1118"/>
        <v>x</v>
      </c>
      <c r="FD215" s="112" t="str">
        <f t="shared" si="1119"/>
        <v>x</v>
      </c>
      <c r="FE215" s="111"/>
      <c r="FF215" s="112" t="str">
        <f t="shared" si="1120"/>
        <v>x</v>
      </c>
      <c r="FG215" s="111"/>
      <c r="FH215" s="111"/>
      <c r="FI215" s="112"/>
      <c r="FJ215" s="112" t="str">
        <f t="shared" si="1121"/>
        <v>x</v>
      </c>
      <c r="FK215" s="112" t="str">
        <f t="shared" si="1122"/>
        <v>x</v>
      </c>
      <c r="FL215" s="112"/>
      <c r="FM215" s="112" t="str">
        <f t="shared" si="1024"/>
        <v>x</v>
      </c>
      <c r="FN215" s="112" t="str">
        <f t="shared" si="1123"/>
        <v>x</v>
      </c>
      <c r="FO215" s="112" t="str">
        <f t="shared" si="1025"/>
        <v>x</v>
      </c>
      <c r="FP215" s="112"/>
      <c r="FQ215" s="112" t="str">
        <f t="shared" si="1026"/>
        <v>x</v>
      </c>
      <c r="FR215" s="112" t="str">
        <f t="shared" si="1027"/>
        <v>x</v>
      </c>
      <c r="FS215" s="112" t="str">
        <f t="shared" si="1028"/>
        <v>x</v>
      </c>
      <c r="FT215" s="112" t="str">
        <f t="shared" si="1029"/>
        <v>x</v>
      </c>
      <c r="FU215" s="112" t="str">
        <f t="shared" si="1030"/>
        <v>x</v>
      </c>
      <c r="FV215" s="112" t="str">
        <f t="shared" si="1031"/>
        <v>x</v>
      </c>
      <c r="FW215" s="112" t="str">
        <f t="shared" si="1032"/>
        <v>x</v>
      </c>
      <c r="FX215" s="112" t="str">
        <f t="shared" si="1033"/>
        <v>x</v>
      </c>
      <c r="FY215" s="112" t="str">
        <f t="shared" si="1034"/>
        <v>x</v>
      </c>
      <c r="FZ215" s="112" t="str">
        <f t="shared" si="1035"/>
        <v>x</v>
      </c>
      <c r="GA215" s="112" t="str">
        <f t="shared" si="1036"/>
        <v>x</v>
      </c>
      <c r="GB215" s="112" t="str">
        <f t="shared" si="1037"/>
        <v>x</v>
      </c>
      <c r="GC215" s="112" t="str">
        <f t="shared" si="1124"/>
        <v>x</v>
      </c>
      <c r="GD215" s="112" t="str">
        <f t="shared" si="1039"/>
        <v>x</v>
      </c>
      <c r="GE215" s="112" t="str">
        <f t="shared" si="1125"/>
        <v>x</v>
      </c>
      <c r="GF215" s="112" t="str">
        <f t="shared" si="1040"/>
        <v>x</v>
      </c>
      <c r="GG215" s="112" t="str">
        <f t="shared" si="1041"/>
        <v>x</v>
      </c>
      <c r="GH215" s="112" t="str">
        <f t="shared" si="1126"/>
        <v>x</v>
      </c>
      <c r="GI215" s="112" t="str">
        <f t="shared" si="1127"/>
        <v>x</v>
      </c>
      <c r="GJ215" s="112" t="str">
        <f t="shared" si="1128"/>
        <v>x</v>
      </c>
      <c r="GK215" s="111"/>
      <c r="GL215" s="112" t="str">
        <f t="shared" si="1045"/>
        <v>x</v>
      </c>
      <c r="GM215" s="112" t="str">
        <f t="shared" si="1046"/>
        <v>x</v>
      </c>
      <c r="GN215" s="112"/>
      <c r="GO215" s="112" t="str">
        <f t="shared" si="1129"/>
        <v>x</v>
      </c>
      <c r="GP215" s="112" t="str">
        <f t="shared" si="1130"/>
        <v>x</v>
      </c>
      <c r="GQ215" s="112" t="str">
        <f t="shared" si="1131"/>
        <v>x</v>
      </c>
      <c r="GR215" s="112" t="str">
        <f t="shared" si="1132"/>
        <v>x</v>
      </c>
      <c r="GS215" s="112" t="str">
        <f t="shared" si="1050"/>
        <v>x</v>
      </c>
      <c r="GT215" s="112" t="str">
        <f t="shared" si="1051"/>
        <v>x</v>
      </c>
      <c r="GU215" s="112" t="str">
        <f t="shared" si="1052"/>
        <v>x</v>
      </c>
      <c r="GV215" s="112" t="str">
        <f t="shared" si="1053"/>
        <v>x</v>
      </c>
      <c r="GW215" s="112" t="str">
        <f t="shared" si="1054"/>
        <v>x</v>
      </c>
      <c r="GX215" s="112" t="str">
        <f t="shared" si="1055"/>
        <v>x</v>
      </c>
      <c r="GY215" s="112" t="str">
        <f t="shared" si="1056"/>
        <v>x</v>
      </c>
      <c r="GZ215" s="112" t="str">
        <f t="shared" si="1057"/>
        <v>x</v>
      </c>
      <c r="HA215" s="112" t="str">
        <f t="shared" si="1133"/>
        <v>x</v>
      </c>
      <c r="HB215" s="112" t="str">
        <f t="shared" si="1134"/>
        <v>x</v>
      </c>
      <c r="HC215" s="111"/>
      <c r="HD215" s="111"/>
      <c r="HE215" s="111"/>
      <c r="HF215" s="111"/>
      <c r="HG215" s="111"/>
      <c r="HH215" s="112" t="str">
        <f t="shared" si="1135"/>
        <v>x</v>
      </c>
      <c r="HI215" s="111"/>
      <c r="HJ215" s="112"/>
      <c r="HK215" s="112" t="str">
        <f t="shared" si="1136"/>
        <v>x</v>
      </c>
      <c r="HL215" s="112"/>
      <c r="HM215" s="112"/>
      <c r="HN215" s="112"/>
      <c r="HO215" s="112"/>
      <c r="HP215" s="112"/>
      <c r="HQ215" s="112"/>
      <c r="HR215" s="112"/>
      <c r="HS215" s="112"/>
      <c r="HT215" s="112"/>
      <c r="HU215" s="112"/>
      <c r="HV215" s="112" t="str">
        <f t="shared" si="1059"/>
        <v>x</v>
      </c>
      <c r="HW215" s="112" t="str">
        <f t="shared" si="1137"/>
        <v>x</v>
      </c>
      <c r="HX215" s="112" t="str">
        <f t="shared" si="1138"/>
        <v>x</v>
      </c>
      <c r="HY215" s="112" t="str">
        <f t="shared" si="1139"/>
        <v>x</v>
      </c>
      <c r="HZ215" s="112"/>
      <c r="IA215" s="112"/>
      <c r="IB215" s="112"/>
      <c r="IC215" s="112"/>
      <c r="ID215" s="112"/>
      <c r="IE215" s="112"/>
      <c r="IF215" s="112"/>
      <c r="IG215" s="112" t="str">
        <f t="shared" si="1140"/>
        <v>x</v>
      </c>
      <c r="IH215" s="112" t="str">
        <f t="shared" si="1063"/>
        <v>x</v>
      </c>
      <c r="II215" s="112" t="str">
        <f t="shared" si="1064"/>
        <v>x</v>
      </c>
      <c r="IJ215" s="112" t="str">
        <f t="shared" si="1065"/>
        <v>x</v>
      </c>
      <c r="IK215" s="112" t="str">
        <f t="shared" si="1066"/>
        <v>x</v>
      </c>
      <c r="IL215" s="111"/>
      <c r="IM215" s="112" t="str">
        <f t="shared" si="1067"/>
        <v>x</v>
      </c>
      <c r="IN215" s="112"/>
      <c r="IO215" s="111"/>
      <c r="IP215" s="112" t="str">
        <f t="shared" si="1068"/>
        <v>x</v>
      </c>
      <c r="IQ215" s="112"/>
      <c r="IR215" s="111"/>
      <c r="IS215" s="111"/>
      <c r="IT215" s="111"/>
      <c r="IU215" s="112" t="str">
        <f t="shared" si="1069"/>
        <v>x</v>
      </c>
      <c r="IV215" s="112"/>
      <c r="IW215" s="112" t="str">
        <f t="shared" si="1070"/>
        <v>x</v>
      </c>
      <c r="IX215" s="112" t="str">
        <f t="shared" si="1071"/>
        <v>x</v>
      </c>
      <c r="IY215" s="111"/>
      <c r="IZ215" s="112" t="str">
        <f t="shared" si="1141"/>
        <v>x</v>
      </c>
      <c r="JA215" s="111"/>
      <c r="JB215" s="112"/>
      <c r="JC215" s="111"/>
      <c r="JD215" s="112"/>
      <c r="JE215" s="112"/>
      <c r="JF215" s="112" t="str">
        <f t="shared" si="1073"/>
        <v>x</v>
      </c>
      <c r="JG215" s="112"/>
      <c r="JH215" s="111"/>
      <c r="JI215" s="112"/>
      <c r="JJ215" s="112"/>
      <c r="JK215" s="112" t="str">
        <f t="shared" si="1142"/>
        <v>x</v>
      </c>
      <c r="JL215" s="112" t="str">
        <f t="shared" si="1074"/>
        <v>x</v>
      </c>
      <c r="JM215" s="112"/>
      <c r="JN215" s="112"/>
      <c r="JO215" s="112"/>
      <c r="JP215" s="112"/>
      <c r="JQ215" s="112" t="str">
        <f t="shared" si="1075"/>
        <v>x</v>
      </c>
      <c r="JR215" s="112"/>
      <c r="JS215" s="112" t="str">
        <f t="shared" si="1076"/>
        <v>x</v>
      </c>
      <c r="JT215" s="111"/>
      <c r="JU215" s="111"/>
      <c r="JV215" s="112"/>
      <c r="JW215" s="112"/>
      <c r="JX215" s="112"/>
      <c r="JY215" s="112"/>
      <c r="JZ215" s="112"/>
      <c r="KA215" s="112" t="str">
        <f t="shared" si="1143"/>
        <v>x</v>
      </c>
      <c r="KB215" s="111"/>
      <c r="KC215" s="112" t="str">
        <f t="shared" si="1078"/>
        <v>x</v>
      </c>
      <c r="KD215" s="112"/>
      <c r="KE215" s="112" t="str">
        <f t="shared" si="1144"/>
        <v>x</v>
      </c>
      <c r="KF215" s="112"/>
      <c r="KG215" s="112"/>
      <c r="KH215" s="112"/>
      <c r="KI215" s="112"/>
      <c r="KJ215" s="112"/>
      <c r="KK215" s="112"/>
      <c r="KL215" s="112"/>
      <c r="KM215" s="112"/>
      <c r="KN215" s="112"/>
      <c r="KO215" s="112"/>
      <c r="KP215" s="112"/>
      <c r="KQ215" s="112"/>
      <c r="KR215" s="112"/>
      <c r="KS215" s="112"/>
      <c r="KT215" s="112"/>
      <c r="KU215" s="112"/>
      <c r="KV215" s="112"/>
      <c r="KW215" s="112"/>
      <c r="KX215" s="112"/>
      <c r="KY215" s="112"/>
      <c r="KZ215" s="112"/>
      <c r="LA215" s="112"/>
      <c r="LB215" s="111"/>
      <c r="LC215" s="111"/>
      <c r="LD215" s="111"/>
      <c r="LE215" s="111"/>
      <c r="LF215" s="111"/>
      <c r="LG215" s="111"/>
      <c r="LH215" s="111"/>
      <c r="LI215" s="111"/>
      <c r="LJ215" s="111"/>
      <c r="LK215" s="111"/>
      <c r="LL215" s="111"/>
      <c r="LM215" s="111"/>
      <c r="LN215" s="111"/>
      <c r="LO215" s="111"/>
      <c r="LP215" s="111"/>
      <c r="LQ215" s="111"/>
      <c r="LR215" s="111"/>
      <c r="LS215" s="111"/>
      <c r="LT215" s="111"/>
      <c r="LU215" s="111"/>
      <c r="LV215" s="111"/>
      <c r="LW215" s="111"/>
      <c r="LX215" s="111"/>
      <c r="LY215" s="111"/>
      <c r="LZ215" s="111"/>
      <c r="MA215" s="111"/>
      <c r="MB215" s="111"/>
      <c r="MC215" s="112" t="str">
        <f t="shared" si="1080"/>
        <v>x</v>
      </c>
      <c r="MD215" s="111"/>
      <c r="ME215" s="111"/>
      <c r="MF215" s="111"/>
      <c r="MG215" s="111"/>
      <c r="MH215" s="112" t="str">
        <f t="shared" si="1081"/>
        <v>x</v>
      </c>
    </row>
    <row r="216" spans="1:346" x14ac:dyDescent="0.25">
      <c r="A216" s="101" t="s">
        <v>132</v>
      </c>
      <c r="B216" s="102"/>
      <c r="C216" s="102"/>
      <c r="D216" s="102"/>
      <c r="E216" s="102"/>
      <c r="F216" s="102"/>
      <c r="G216" s="102"/>
      <c r="H216" s="102"/>
      <c r="I216" s="102"/>
      <c r="J216" s="103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6"/>
      <c r="AV216" s="106"/>
      <c r="AW216" s="106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9"/>
      <c r="EP216" s="109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5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4"/>
      <c r="JJ216" s="104"/>
      <c r="JK216" s="104"/>
      <c r="JL216" s="104"/>
      <c r="JM216" s="104"/>
      <c r="JN216" s="104"/>
      <c r="JO216" s="104"/>
      <c r="JP216" s="104"/>
      <c r="JQ216" s="104"/>
      <c r="JR216" s="104"/>
      <c r="JS216" s="104"/>
      <c r="JT216" s="104"/>
      <c r="JU216" s="104"/>
      <c r="JV216" s="104"/>
      <c r="JW216" s="104"/>
      <c r="JX216" s="104"/>
      <c r="JY216" s="104"/>
      <c r="JZ216" s="104"/>
      <c r="KA216" s="104"/>
      <c r="KB216" s="104"/>
      <c r="KC216" s="104"/>
      <c r="KD216" s="104"/>
      <c r="KE216" s="104"/>
      <c r="KF216" s="104"/>
      <c r="KG216" s="104"/>
      <c r="KH216" s="104"/>
      <c r="KI216" s="104"/>
      <c r="KJ216" s="104"/>
      <c r="KK216" s="104"/>
      <c r="KL216" s="104"/>
      <c r="KM216" s="104"/>
      <c r="KN216" s="104"/>
      <c r="KO216" s="104"/>
      <c r="KP216" s="104"/>
      <c r="KQ216" s="104"/>
      <c r="KR216" s="104"/>
      <c r="KS216" s="104"/>
      <c r="KT216" s="104"/>
      <c r="KU216" s="104"/>
      <c r="KV216" s="104"/>
      <c r="KW216" s="104"/>
      <c r="KX216" s="104"/>
      <c r="KY216" s="104"/>
      <c r="KZ216" s="104"/>
      <c r="LA216" s="104"/>
      <c r="LB216" s="104"/>
      <c r="LC216" s="104"/>
      <c r="LD216" s="104"/>
      <c r="LE216" s="104"/>
      <c r="LF216" s="104"/>
      <c r="LG216" s="104"/>
      <c r="LH216" s="104"/>
      <c r="LI216" s="104"/>
      <c r="LJ216" s="104"/>
      <c r="LK216" s="104"/>
      <c r="LL216" s="104"/>
      <c r="LM216" s="104"/>
      <c r="LN216" s="104"/>
      <c r="LO216" s="104"/>
      <c r="LP216" s="104"/>
      <c r="LQ216" s="104"/>
      <c r="LR216" s="104"/>
      <c r="LS216" s="104"/>
      <c r="LT216" s="104"/>
      <c r="LU216" s="104"/>
      <c r="LV216" s="104"/>
      <c r="LW216" s="104"/>
      <c r="LX216" s="104"/>
      <c r="LY216" s="104"/>
      <c r="LZ216" s="104"/>
      <c r="MA216" s="104"/>
      <c r="MB216" s="104"/>
      <c r="MC216" s="104"/>
      <c r="MD216" s="104"/>
      <c r="ME216" s="104"/>
      <c r="MF216" s="104"/>
      <c r="MG216" s="104"/>
      <c r="MH216" s="104"/>
    </row>
    <row r="217" spans="1:346" x14ac:dyDescent="0.25">
      <c r="A217" s="110" t="s">
        <v>132</v>
      </c>
      <c r="B217" s="101" t="s">
        <v>133</v>
      </c>
      <c r="C217" s="102"/>
      <c r="D217" s="102"/>
      <c r="E217" s="102"/>
      <c r="F217" s="102"/>
      <c r="G217" s="102"/>
      <c r="H217" s="102"/>
      <c r="I217" s="102"/>
      <c r="J217" s="103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3"/>
      <c r="AV217" s="114" t="str">
        <f t="shared" ref="AV217:AV218" si="1145">HYPERLINK("http://sab.landtag.sachsen.de/dokumente/landtagskurier/SAB_DeutschLernen_DinA5_WEB141115.pdf","x")</f>
        <v>x</v>
      </c>
      <c r="AW217" s="114" t="str">
        <f t="shared" ref="AW217:AW218" si="1146">HYPERLINK("http://sab.landtag.sachsen.de/dokumente/landtagskurier/SAB_PL_Lernposter_WEB091115.pdf","x")</f>
        <v>x</v>
      </c>
      <c r="AX217" s="111"/>
      <c r="AY217" s="111"/>
      <c r="AZ217" s="112" t="str">
        <f t="shared" ref="AZ217:AZ218" si="114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17" s="112" t="str">
        <f t="shared" ref="BA217:BA218" si="1148">HYPERLINK("http://wie-kann-ich-helfen.info/WoerterbuchAnalphabet_innen_%28c%29_Dagmar_Schmeelcke.pdf","x")</f>
        <v>x</v>
      </c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2" t="str">
        <f t="shared" ref="BL217:BL218" si="1149">HYPERLINK("http://www.frnrw.de/images/Aus_den_Initiativen/Ehrenamtler/2015/Dictionary_x10_print-2.pdf","x")</f>
        <v>x</v>
      </c>
      <c r="BM217" s="111"/>
      <c r="BN217" s="111"/>
      <c r="BO217" s="111"/>
      <c r="BP217" s="111"/>
      <c r="BQ217" s="111"/>
      <c r="BR217" s="112" t="str">
        <f t="shared" ref="BR217:BR218" si="1150">HYPERLINK("http://www.goethe.de/lrn/prj/wnd/deu/lti/deindex.htm#13322010","x")</f>
        <v>x</v>
      </c>
      <c r="BS217" s="112"/>
      <c r="BT217" s="111"/>
      <c r="BU217" s="112" t="str">
        <f t="shared" ref="BU217:BU218" si="1151">HYPERLINK("https://s3-eu-west-1.amazonaws.com/lingolia/download/lingolia_daf.pdf","x")</f>
        <v>x</v>
      </c>
      <c r="BV217" s="112"/>
      <c r="BW217" s="112"/>
      <c r="BX217" s="112"/>
      <c r="BY217" s="112"/>
      <c r="BZ217" s="112" t="str">
        <f t="shared" ref="BZ217:BZ218" si="1152">HYPERLINK("http://www.hueber.de/shared/uebungen/schritte-plus","x")</f>
        <v>x</v>
      </c>
      <c r="CA217" s="112" t="str">
        <f t="shared" ref="CA217:CA218" si="1153">HYPERLINK("https://www.hueber.de/shared/uebungen/menschen-hier/ab/a1-1/menu.html","x")</f>
        <v>x</v>
      </c>
      <c r="CB217" s="112" t="str">
        <f t="shared" ref="CB217:CB218" si="1154">HYPERLINK("http://www.goethe-verlag.com/DE/","x")</f>
        <v>x</v>
      </c>
      <c r="CC217" s="112"/>
      <c r="CD217" s="112"/>
      <c r="CE217" s="111"/>
      <c r="CF217" s="111"/>
      <c r="CG217" s="111"/>
      <c r="CH217" s="111"/>
      <c r="CI217" s="111"/>
      <c r="CJ217" s="112" t="str">
        <f t="shared" ref="CJ217:CJ218" si="1155">HYPERLINK("http://www.e-migrantinnen.de/index.php?de_wichtige-links","x")</f>
        <v>x</v>
      </c>
      <c r="CK217" s="112"/>
      <c r="CL217" s="112"/>
      <c r="CM217" s="112"/>
      <c r="CN217" s="112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2"/>
      <c r="CZ217" s="112"/>
      <c r="DA217" s="112"/>
      <c r="DB217" s="115"/>
      <c r="DC217" s="112"/>
      <c r="DD217" s="112"/>
      <c r="DE217" s="112" t="str">
        <f t="shared" ref="DE217:DE218" si="1156">HYPERLINK("http://fi-lohmar-siegburg.de/data/documents/130-37_Inklusion_im_Anfangsunterricht_-_Poster_mit_Situationsbildern.pdf","x")</f>
        <v>x</v>
      </c>
      <c r="DF217" s="115" t="str">
        <f t="shared" ref="DF217:DF218" si="1157">HYPERLINK("http://s3-eu-west-1.amazonaws.com/lingolia/calendar/2016/lingolia_2016_de.pdf","x")</f>
        <v>x</v>
      </c>
      <c r="DG217" s="112" t="str">
        <f t="shared" ref="DG217:DG218" si="1158">HYPERLINK("http://www.bibliomedia.ch/de/angebote/img/Wimmelbild.jpg","x")</f>
        <v>x</v>
      </c>
      <c r="DH217" s="112" t="str">
        <f t="shared" ref="DH217:DH218" si="1159">HYPERLINK("http://www.bibliomedia.ch/de/angebote/dokumente/Wimmelbild_Fehler.jpg","x")</f>
        <v>x</v>
      </c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8"/>
      <c r="EP217" s="118"/>
      <c r="EQ217" s="111"/>
      <c r="ER217" s="111"/>
      <c r="ES217" s="111"/>
      <c r="ET217" s="111"/>
      <c r="EU217" s="111"/>
      <c r="EV217" s="112" t="str">
        <f t="shared" ref="EV217:EV218" si="1160">HYPERLINK("http://www.lak-rlp.de/fileadmin/redakteure/pdf/download/Piktogramme_Dosieretiketten_AoG.pdf","x")</f>
        <v>x</v>
      </c>
      <c r="EW217" s="111"/>
      <c r="EX217" s="111"/>
      <c r="EY217" s="111"/>
      <c r="EZ217" s="111"/>
      <c r="FA217" s="111"/>
      <c r="FB217" s="111"/>
      <c r="FC217" s="112" t="str">
        <f t="shared" ref="FC217:FC218" si="1161">HYPERLINK("http://mige.ix-tech.de/index.php?id=241","x")</f>
        <v>x</v>
      </c>
      <c r="FD217" s="112" t="str">
        <f t="shared" ref="FD217:FD218" si="1162">HYPERLINK("http://sghanstedt.elbnetz.com/ueber-uns/","x")</f>
        <v>x</v>
      </c>
      <c r="FE217" s="111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1"/>
      <c r="FS217" s="111"/>
      <c r="FT217" s="111"/>
      <c r="FU217" s="111"/>
      <c r="FV217" s="111"/>
      <c r="FW217" s="111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1"/>
      <c r="GN217" s="111"/>
      <c r="GO217" s="111"/>
      <c r="GP217" s="111"/>
      <c r="GQ217" s="111"/>
      <c r="GR217" s="111"/>
      <c r="GS217" s="111"/>
      <c r="GT217" s="111"/>
      <c r="GU217" s="111"/>
      <c r="GV217" s="111"/>
      <c r="GW217" s="111"/>
      <c r="GX217" s="111"/>
      <c r="GY217" s="111"/>
      <c r="GZ217" s="111"/>
      <c r="HA217" s="111"/>
      <c r="HB217" s="112" t="str">
        <f t="shared" si="628"/>
        <v>x</v>
      </c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2" t="str">
        <f t="shared" ref="HX217:HX218" si="1163">HYPERLINK("http://www.selfhelpfortrauma.org/","x")</f>
        <v>x</v>
      </c>
      <c r="HY217" s="112" t="str">
        <f t="shared" ref="HY217:HY218" si="1164">HYPERLINK("http://peacefulheart.se/wp-content/uploads/2014/12/Resolving-Yesterday-20141201-Self-Tapping.pdf","x")</f>
        <v>x</v>
      </c>
      <c r="HZ217" s="112" t="str">
        <f>HYPERLINK("http://peacefulheart.se/wp-content/uploads/2012/07/manual_svenska.pdf","x")</f>
        <v>x</v>
      </c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  <c r="IY217" s="111"/>
      <c r="IZ217" s="111"/>
      <c r="JA217" s="111"/>
      <c r="JB217" s="111"/>
      <c r="JC217" s="111"/>
      <c r="JD217" s="111"/>
      <c r="JE217" s="111"/>
      <c r="JF217" s="111"/>
      <c r="JG217" s="111"/>
      <c r="JH217" s="111"/>
      <c r="JI217" s="111"/>
      <c r="JJ217" s="111"/>
      <c r="JK217" s="111"/>
      <c r="JL217" s="111"/>
      <c r="JM217" s="111"/>
      <c r="JN217" s="111"/>
      <c r="JO217" s="111"/>
      <c r="JP217" s="111"/>
      <c r="JQ217" s="111"/>
      <c r="JR217" s="111"/>
      <c r="JS217" s="111"/>
      <c r="JT217" s="111"/>
      <c r="JU217" s="111"/>
      <c r="JV217" s="111"/>
      <c r="JW217" s="111"/>
      <c r="JX217" s="111"/>
      <c r="JY217" s="111"/>
      <c r="JZ217" s="111"/>
      <c r="KA217" s="111"/>
      <c r="KB217" s="111"/>
      <c r="KC217" s="111"/>
      <c r="KD217" s="111"/>
      <c r="KE217" s="111"/>
      <c r="KF217" s="111"/>
      <c r="KG217" s="111"/>
      <c r="KH217" s="111"/>
      <c r="KI217" s="111"/>
      <c r="KJ217" s="111"/>
      <c r="KK217" s="111"/>
      <c r="KL217" s="111"/>
      <c r="KM217" s="111"/>
      <c r="KN217" s="111"/>
      <c r="KO217" s="111"/>
      <c r="KP217" s="111"/>
      <c r="KQ217" s="111"/>
      <c r="KR217" s="111"/>
      <c r="KS217" s="111"/>
      <c r="KT217" s="111"/>
      <c r="KU217" s="111"/>
      <c r="KV217" s="111"/>
      <c r="KW217" s="111"/>
      <c r="KX217" s="111"/>
      <c r="KY217" s="111"/>
      <c r="KZ217" s="111"/>
      <c r="LA217" s="111"/>
      <c r="LB217" s="111"/>
      <c r="LC217" s="111"/>
      <c r="LD217" s="111"/>
      <c r="LE217" s="111"/>
      <c r="LF217" s="111"/>
      <c r="LG217" s="111"/>
      <c r="LH217" s="111"/>
      <c r="LI217" s="111"/>
      <c r="LJ217" s="111"/>
      <c r="LK217" s="111"/>
      <c r="LL217" s="111"/>
      <c r="LM217" s="111"/>
      <c r="LN217" s="111"/>
      <c r="LO217" s="111"/>
      <c r="LP217" s="111"/>
      <c r="LQ217" s="111"/>
      <c r="LR217" s="111"/>
      <c r="LS217" s="111"/>
      <c r="LT217" s="111"/>
      <c r="LU217" s="111"/>
      <c r="LV217" s="111"/>
      <c r="LW217" s="111"/>
      <c r="LX217" s="111"/>
      <c r="LY217" s="111"/>
      <c r="LZ217" s="111"/>
      <c r="MA217" s="111"/>
      <c r="MB217" s="111"/>
      <c r="MC217" s="111"/>
      <c r="MD217" s="111"/>
      <c r="ME217" s="111"/>
      <c r="MF217" s="111"/>
      <c r="MG217" s="111"/>
      <c r="MH217" s="111"/>
    </row>
    <row r="218" spans="1:346" x14ac:dyDescent="0.25">
      <c r="A218" s="110" t="s">
        <v>132</v>
      </c>
      <c r="B218" s="101" t="s">
        <v>134</v>
      </c>
      <c r="C218" s="102"/>
      <c r="D218" s="102"/>
      <c r="E218" s="102"/>
      <c r="F218" s="102"/>
      <c r="G218" s="102"/>
      <c r="H218" s="102"/>
      <c r="I218" s="102"/>
      <c r="J218" s="103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3"/>
      <c r="AV218" s="114" t="str">
        <f t="shared" si="1145"/>
        <v>x</v>
      </c>
      <c r="AW218" s="114" t="str">
        <f t="shared" si="1146"/>
        <v>x</v>
      </c>
      <c r="AX218" s="111"/>
      <c r="AY218" s="111"/>
      <c r="AZ218" s="112" t="str">
        <f t="shared" si="1147"/>
        <v>x</v>
      </c>
      <c r="BA218" s="112" t="str">
        <f t="shared" si="1148"/>
        <v>x</v>
      </c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2" t="str">
        <f t="shared" si="1149"/>
        <v>x</v>
      </c>
      <c r="BM218" s="111"/>
      <c r="BN218" s="111"/>
      <c r="BO218" s="111"/>
      <c r="BP218" s="111"/>
      <c r="BQ218" s="111"/>
      <c r="BR218" s="112" t="str">
        <f t="shared" si="1150"/>
        <v>x</v>
      </c>
      <c r="BS218" s="112"/>
      <c r="BT218" s="111"/>
      <c r="BU218" s="112" t="str">
        <f t="shared" si="1151"/>
        <v>x</v>
      </c>
      <c r="BV218" s="112"/>
      <c r="BW218" s="112"/>
      <c r="BX218" s="112"/>
      <c r="BY218" s="112"/>
      <c r="BZ218" s="112" t="str">
        <f t="shared" si="1152"/>
        <v>x</v>
      </c>
      <c r="CA218" s="112" t="str">
        <f t="shared" si="1153"/>
        <v>x</v>
      </c>
      <c r="CB218" s="112" t="str">
        <f t="shared" si="1154"/>
        <v>x</v>
      </c>
      <c r="CC218" s="112"/>
      <c r="CD218" s="112"/>
      <c r="CE218" s="111"/>
      <c r="CF218" s="111"/>
      <c r="CG218" s="111"/>
      <c r="CH218" s="111"/>
      <c r="CI218" s="111"/>
      <c r="CJ218" s="112" t="str">
        <f t="shared" si="1155"/>
        <v>x</v>
      </c>
      <c r="CK218" s="112"/>
      <c r="CL218" s="112"/>
      <c r="CM218" s="112"/>
      <c r="CN218" s="112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2"/>
      <c r="CZ218" s="112"/>
      <c r="DA218" s="112"/>
      <c r="DB218" s="115"/>
      <c r="DC218" s="112"/>
      <c r="DD218" s="112"/>
      <c r="DE218" s="112" t="str">
        <f t="shared" si="1156"/>
        <v>x</v>
      </c>
      <c r="DF218" s="115" t="str">
        <f t="shared" si="1157"/>
        <v>x</v>
      </c>
      <c r="DG218" s="112" t="str">
        <f t="shared" si="1158"/>
        <v>x</v>
      </c>
      <c r="DH218" s="112" t="str">
        <f t="shared" si="1159"/>
        <v>x</v>
      </c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8"/>
      <c r="EP218" s="118"/>
      <c r="EQ218" s="111"/>
      <c r="ER218" s="111"/>
      <c r="ES218" s="111"/>
      <c r="ET218" s="111"/>
      <c r="EU218" s="111"/>
      <c r="EV218" s="112" t="str">
        <f t="shared" si="1160"/>
        <v>x</v>
      </c>
      <c r="EW218" s="111"/>
      <c r="EX218" s="111"/>
      <c r="EY218" s="111"/>
      <c r="EZ218" s="111"/>
      <c r="FA218" s="111"/>
      <c r="FB218" s="111"/>
      <c r="FC218" s="112" t="str">
        <f t="shared" si="1161"/>
        <v>x</v>
      </c>
      <c r="FD218" s="112" t="str">
        <f t="shared" si="1162"/>
        <v>x</v>
      </c>
      <c r="FE218" s="111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1"/>
      <c r="FS218" s="111"/>
      <c r="FT218" s="111"/>
      <c r="FU218" s="111"/>
      <c r="FV218" s="111"/>
      <c r="FW218" s="111"/>
      <c r="FX218" s="111"/>
      <c r="FY218" s="111"/>
      <c r="FZ218" s="111"/>
      <c r="GA218" s="111"/>
      <c r="GB218" s="111"/>
      <c r="GC218" s="111"/>
      <c r="GD218" s="111"/>
      <c r="GE218" s="111"/>
      <c r="GF218" s="111"/>
      <c r="GG218" s="111"/>
      <c r="GH218" s="111"/>
      <c r="GI218" s="111"/>
      <c r="GJ218" s="111"/>
      <c r="GK218" s="111"/>
      <c r="GL218" s="111"/>
      <c r="GM218" s="111"/>
      <c r="GN218" s="111"/>
      <c r="GO218" s="111"/>
      <c r="GP218" s="111"/>
      <c r="GQ218" s="111"/>
      <c r="GR218" s="111"/>
      <c r="GS218" s="111"/>
      <c r="GT218" s="111"/>
      <c r="GU218" s="111"/>
      <c r="GV218" s="111"/>
      <c r="GW218" s="111"/>
      <c r="GX218" s="111"/>
      <c r="GY218" s="111"/>
      <c r="GZ218" s="111"/>
      <c r="HA218" s="111"/>
      <c r="HB218" s="112" t="str">
        <f t="shared" si="628"/>
        <v>x</v>
      </c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2" t="str">
        <f t="shared" si="1163"/>
        <v>x</v>
      </c>
      <c r="HY218" s="112" t="str">
        <f t="shared" si="1164"/>
        <v>x</v>
      </c>
      <c r="HZ218" s="112" t="str">
        <f>HYPERLINK("http://peacefulheart.se/wp-content/uploads/2012/07/manual_svenska.pdf","x")</f>
        <v>x</v>
      </c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  <c r="IY218" s="111"/>
      <c r="IZ218" s="111"/>
      <c r="JA218" s="111"/>
      <c r="JB218" s="111"/>
      <c r="JC218" s="111"/>
      <c r="JD218" s="111"/>
      <c r="JE218" s="111"/>
      <c r="JF218" s="111"/>
      <c r="JG218" s="111"/>
      <c r="JH218" s="111"/>
      <c r="JI218" s="111"/>
      <c r="JJ218" s="111"/>
      <c r="JK218" s="111"/>
      <c r="JL218" s="111"/>
      <c r="JM218" s="111"/>
      <c r="JN218" s="111"/>
      <c r="JO218" s="111"/>
      <c r="JP218" s="111"/>
      <c r="JQ218" s="111"/>
      <c r="JR218" s="111"/>
      <c r="JS218" s="111"/>
      <c r="JT218" s="111"/>
      <c r="JU218" s="111"/>
      <c r="JV218" s="111"/>
      <c r="JW218" s="111"/>
      <c r="JX218" s="111"/>
      <c r="JY218" s="111"/>
      <c r="JZ218" s="111"/>
      <c r="KA218" s="111"/>
      <c r="KB218" s="111"/>
      <c r="KC218" s="111"/>
      <c r="KD218" s="111"/>
      <c r="KE218" s="111"/>
      <c r="KF218" s="111"/>
      <c r="KG218" s="111"/>
      <c r="KH218" s="111"/>
      <c r="KI218" s="111"/>
      <c r="KJ218" s="111"/>
      <c r="KK218" s="111"/>
      <c r="KL218" s="111"/>
      <c r="KM218" s="111"/>
      <c r="KN218" s="111"/>
      <c r="KO218" s="111"/>
      <c r="KP218" s="111"/>
      <c r="KQ218" s="111"/>
      <c r="KR218" s="111"/>
      <c r="KS218" s="111"/>
      <c r="KT218" s="111"/>
      <c r="KU218" s="111"/>
      <c r="KV218" s="111"/>
      <c r="KW218" s="111"/>
      <c r="KX218" s="111"/>
      <c r="KY218" s="111"/>
      <c r="KZ218" s="111"/>
      <c r="LA218" s="111"/>
      <c r="LB218" s="111"/>
      <c r="LC218" s="111"/>
      <c r="LD218" s="111"/>
      <c r="LE218" s="111"/>
      <c r="LF218" s="111"/>
      <c r="LG218" s="111"/>
      <c r="LH218" s="111"/>
      <c r="LI218" s="111"/>
      <c r="LJ218" s="111"/>
      <c r="LK218" s="111"/>
      <c r="LL218" s="111"/>
      <c r="LM218" s="111"/>
      <c r="LN218" s="111"/>
      <c r="LO218" s="111"/>
      <c r="LP218" s="111"/>
      <c r="LQ218" s="111"/>
      <c r="LR218" s="111"/>
      <c r="LS218" s="111"/>
      <c r="LT218" s="111"/>
      <c r="LU218" s="111"/>
      <c r="LV218" s="111"/>
      <c r="LW218" s="111"/>
      <c r="LX218" s="111"/>
      <c r="LY218" s="111"/>
      <c r="LZ218" s="111"/>
      <c r="MA218" s="111"/>
      <c r="MB218" s="111"/>
      <c r="MC218" s="111"/>
      <c r="MD218" s="111"/>
      <c r="ME218" s="111"/>
      <c r="MF218" s="111"/>
      <c r="MG218" s="111"/>
      <c r="MH218" s="111"/>
    </row>
    <row r="219" spans="1:346" x14ac:dyDescent="0.25">
      <c r="A219" s="101" t="s">
        <v>9</v>
      </c>
      <c r="B219" s="102"/>
      <c r="C219" s="102"/>
      <c r="D219" s="102"/>
      <c r="E219" s="102"/>
      <c r="F219" s="102"/>
      <c r="G219" s="102"/>
      <c r="H219" s="102"/>
      <c r="I219" s="102"/>
      <c r="J219" s="103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6"/>
      <c r="AV219" s="106"/>
      <c r="AW219" s="106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9"/>
      <c r="EP219" s="109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5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4"/>
      <c r="JJ219" s="104"/>
      <c r="JK219" s="104"/>
      <c r="JL219" s="104"/>
      <c r="JM219" s="104"/>
      <c r="JN219" s="104"/>
      <c r="JO219" s="104"/>
      <c r="JP219" s="104"/>
      <c r="JQ219" s="104"/>
      <c r="JR219" s="104"/>
      <c r="JS219" s="104"/>
      <c r="JT219" s="104"/>
      <c r="JU219" s="104"/>
      <c r="JV219" s="104"/>
      <c r="JW219" s="104"/>
      <c r="JX219" s="104"/>
      <c r="JY219" s="104"/>
      <c r="JZ219" s="104"/>
      <c r="KA219" s="104"/>
      <c r="KB219" s="104"/>
      <c r="KC219" s="104"/>
      <c r="KD219" s="104"/>
      <c r="KE219" s="104"/>
      <c r="KF219" s="104"/>
      <c r="KG219" s="104"/>
      <c r="KH219" s="104"/>
      <c r="KI219" s="104"/>
      <c r="KJ219" s="104"/>
      <c r="KK219" s="104"/>
      <c r="KL219" s="104"/>
      <c r="KM219" s="104"/>
      <c r="KN219" s="104"/>
      <c r="KO219" s="104"/>
      <c r="KP219" s="104"/>
      <c r="KQ219" s="104"/>
      <c r="KR219" s="104"/>
      <c r="KS219" s="104"/>
      <c r="KT219" s="104"/>
      <c r="KU219" s="104"/>
      <c r="KV219" s="104"/>
      <c r="KW219" s="104"/>
      <c r="KX219" s="104"/>
      <c r="KY219" s="104"/>
      <c r="KZ219" s="104"/>
      <c r="LA219" s="104"/>
      <c r="LB219" s="104"/>
      <c r="LC219" s="104"/>
      <c r="LD219" s="104"/>
      <c r="LE219" s="104"/>
      <c r="LF219" s="104"/>
      <c r="LG219" s="104"/>
      <c r="LH219" s="104"/>
      <c r="LI219" s="104"/>
      <c r="LJ219" s="104"/>
      <c r="LK219" s="104"/>
      <c r="LL219" s="104"/>
      <c r="LM219" s="104"/>
      <c r="LN219" s="104"/>
      <c r="LO219" s="104"/>
      <c r="LP219" s="104"/>
      <c r="LQ219" s="104"/>
      <c r="LR219" s="104"/>
      <c r="LS219" s="104"/>
      <c r="LT219" s="104"/>
      <c r="LU219" s="104"/>
      <c r="LV219" s="104"/>
      <c r="LW219" s="104"/>
      <c r="LX219" s="104"/>
      <c r="LY219" s="104"/>
      <c r="LZ219" s="104"/>
      <c r="MA219" s="104"/>
      <c r="MB219" s="104"/>
      <c r="MC219" s="104"/>
      <c r="MD219" s="104"/>
      <c r="ME219" s="104"/>
      <c r="MF219" s="104"/>
      <c r="MG219" s="104"/>
      <c r="MH219" s="104"/>
    </row>
    <row r="220" spans="1:346" x14ac:dyDescent="0.25">
      <c r="A220" s="110" t="s">
        <v>9</v>
      </c>
      <c r="B220" s="101" t="s">
        <v>76</v>
      </c>
      <c r="C220" s="102"/>
      <c r="D220" s="102"/>
      <c r="E220" s="102"/>
      <c r="F220" s="102"/>
      <c r="G220" s="102"/>
      <c r="H220" s="102"/>
      <c r="I220" s="102"/>
      <c r="J220" s="103"/>
      <c r="K220" s="111"/>
      <c r="L220" s="111"/>
      <c r="M220" s="112" t="str">
        <f t="shared" ref="M220:M223" si="1165">HYPERLINK("http://www.ag-fluechtlingshilfe-wetterau.de/uploads/infos/170.pdf","x")</f>
        <v>x</v>
      </c>
      <c r="N220" s="112"/>
      <c r="O220" s="112" t="str">
        <f>HYPERLINK("http://www.awb-ahrweiler.de/admin/data/ddownload/Abfall%20Sonderhinweise-Serbisch%202015.pdf","x")</f>
        <v>x</v>
      </c>
      <c r="P220" s="112"/>
      <c r="Q220" s="112"/>
      <c r="R220" s="112"/>
      <c r="S220" s="112"/>
      <c r="T220" s="112"/>
      <c r="U220" s="112"/>
      <c r="V220" s="111"/>
      <c r="W220" s="112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2" t="str">
        <f t="shared" ref="AG220:AG223" si="1166">HYPERLINK("http://sghanstedt.elbnetz.com/ueber-uns/","x")</f>
        <v>x</v>
      </c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3"/>
      <c r="AV220" s="114" t="str">
        <f t="shared" ref="AV220:AV223" si="1167">HYPERLINK("http://sab.landtag.sachsen.de/dokumente/landtagskurier/SAB_DeutschLernen_DinA5_WEB141115.pdf","x")</f>
        <v>x</v>
      </c>
      <c r="AW220" s="114" t="str">
        <f t="shared" ref="AW220:AW223" si="1168">HYPERLINK("http://sab.landtag.sachsen.de/dokumente/landtagskurier/SAB_PL_Lernposter_WEB091115.pdf","x")</f>
        <v>x</v>
      </c>
      <c r="AX220" s="111"/>
      <c r="AY220" s="111"/>
      <c r="AZ220" s="112" t="str">
        <f t="shared" ref="AZ220:AZ223" si="11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20" s="112" t="str">
        <f t="shared" ref="BA220:BA223" si="1170">HYPERLINK("http://wie-kann-ich-helfen.info/WoerterbuchAnalphabet_innen_%28c%29_Dagmar_Schmeelcke.pdf","x")</f>
        <v>x</v>
      </c>
      <c r="BB220" s="111"/>
      <c r="BC220" s="111"/>
      <c r="BD220" s="111"/>
      <c r="BE220" s="111"/>
      <c r="BF220" s="111"/>
      <c r="BG220" s="112" t="str">
        <f t="shared" ref="BG220:BG223" si="1171">HYPERLINK("http://www.refugeephrasebook.de/pdf/germany150920.pdf","x")</f>
        <v>x</v>
      </c>
      <c r="BH220" s="112" t="str">
        <f t="shared" ref="BH220:BH223" si="1172">HYPERLINK("https://www.advanced-online.eu/downloads/RefugeePhrasebookCards_German-Bosnian-Croatian-Serbian.pdf","x")</f>
        <v>x</v>
      </c>
      <c r="BI220" s="111"/>
      <c r="BJ220" s="111"/>
      <c r="BK220" s="112" t="str">
        <f>HYPERLINK("http://www.bundessprachenamt.de/deutsch/wir_ueber_uns/nachrichten/2015/20151103/Verständigungshilfe_Serbisch_07_12_2015.pdf","x")</f>
        <v>x</v>
      </c>
      <c r="BL220" s="112" t="str">
        <f t="shared" ref="BL220:BL223" si="1173">HYPERLINK("http://www.frnrw.de/images/Aus_den_Initiativen/Ehrenamtler/2015/Dictionary_x10_print-2.pdf","x")</f>
        <v>x</v>
      </c>
      <c r="BM220" s="111"/>
      <c r="BN220" s="111"/>
      <c r="BO220" s="111"/>
      <c r="BP220" s="111"/>
      <c r="BQ220" s="111"/>
      <c r="BR220" s="112" t="str">
        <f t="shared" ref="BR220:BR223" si="1174">HYPERLINK("http://www.goethe.de/lrn/prj/wnd/deu/lti/deindex.htm#13322010","x")</f>
        <v>x</v>
      </c>
      <c r="BS220" s="112"/>
      <c r="BT220" s="111"/>
      <c r="BU220" s="112" t="str">
        <f t="shared" ref="BU220:BU223" si="1175">HYPERLINK("https://s3-eu-west-1.amazonaws.com/lingolia/download/lingolia_daf.pdf","x")</f>
        <v>x</v>
      </c>
      <c r="BV220" s="112" t="str">
        <f t="shared" ref="BV220:BV223" si="1176">HYPERLINK("http://www.welcomegrooves.de/wp-content/uploads/2015/10/welcomegrooves_DE-BOSNISCH-SERBISCH_latein.pdf","x")</f>
        <v>x</v>
      </c>
      <c r="BW220" s="112"/>
      <c r="BX220" s="112"/>
      <c r="BY220" s="112"/>
      <c r="BZ220" s="112" t="str">
        <f t="shared" ref="BZ220:BZ223" si="1177">HYPERLINK("http://www.hueber.de/shared/uebungen/schritte-plus","x")</f>
        <v>x</v>
      </c>
      <c r="CA220" s="112" t="str">
        <f t="shared" ref="CA220:CA223" si="1178">HYPERLINK("https://www.hueber.de/shared/uebungen/menschen-hier/ab/a1-1/menu.html","x")</f>
        <v>x</v>
      </c>
      <c r="CB220" s="112" t="str">
        <f t="shared" ref="CB220:CB223" si="1179">HYPERLINK("http://www.goethe-verlag.com/DE/","x")</f>
        <v>x</v>
      </c>
      <c r="CC220" s="112"/>
      <c r="CD220" s="112"/>
      <c r="CE220" s="111"/>
      <c r="CF220" s="112" t="str">
        <f t="shared" ref="CF220:CF223" si="1180">HYPERLINK("http://www.braunschweig.de/leben/frauen/hilfe/Ohne-Gewalt-leben.pdf","x")</f>
        <v>x</v>
      </c>
      <c r="CG220" s="112" t="str">
        <f>HYPERLINK("http://mifkjf.rlp.de/fileadmin/mifkjf/Frauen/Gewalt_gegen_Frauen/Downloads/Broschueren_Flyer/Flyer_Gewalt_serbisch.pdf","x")</f>
        <v>x</v>
      </c>
      <c r="CH220" s="112"/>
      <c r="CI220" s="112" t="str">
        <f t="shared" ref="CI220:CI223" si="1181">HYPERLINK("https://www.hilfetelefon.de/fileadmin/hilfetelefon_de/Materialien/weitere_werbemittel/Klappflyer_Vorder-_und_Rueckseite_opt2.pdf","x")</f>
        <v>x</v>
      </c>
      <c r="CJ220" s="112" t="str">
        <f t="shared" ref="CJ220:CJ223" si="1182">HYPERLINK("http://www.e-migrantinnen.de/index.php?de_wichtige-links","x")</f>
        <v>x</v>
      </c>
      <c r="CK220" s="112"/>
      <c r="CL220" s="112"/>
      <c r="CM220" s="112"/>
      <c r="CN220" s="112"/>
      <c r="CO220" s="112" t="str">
        <f>HYPERLINK("http://www.schwanger-und-viele-fragen.de/sr/","x")</f>
        <v>x</v>
      </c>
      <c r="CP220" s="112"/>
      <c r="CQ220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R220" s="112"/>
      <c r="CS220" s="112"/>
      <c r="CT220" s="112"/>
      <c r="CU220" s="112"/>
      <c r="CV220" s="112"/>
      <c r="CW220" s="112"/>
      <c r="CX220" s="112"/>
      <c r="CY220" s="112"/>
      <c r="CZ220" s="112" t="str">
        <f t="shared" ref="CZ220:CZ223" si="1183">HYPERLINK("http://sichere-orte-schaffen.de/wp-content/uploads/Minibrosch_Fluechtlinge_multilang.pdf","x")</f>
        <v>x</v>
      </c>
      <c r="DA220" s="112"/>
      <c r="DB220" s="115"/>
      <c r="DC220" s="112"/>
      <c r="DD220" s="112"/>
      <c r="DE220" s="112" t="str">
        <f t="shared" ref="DE220:DE223" si="1184">HYPERLINK("http://fi-lohmar-siegburg.de/data/documents/130-37_Inklusion_im_Anfangsunterricht_-_Poster_mit_Situationsbildern.pdf","x")</f>
        <v>x</v>
      </c>
      <c r="DF220" s="115" t="str">
        <f t="shared" ref="DF220:DF223" si="1185">HYPERLINK("http://s3-eu-west-1.amazonaws.com/lingolia/calendar/2016/lingolia_2016_de.pdf","x")</f>
        <v>x</v>
      </c>
      <c r="DG220" s="112" t="str">
        <f t="shared" ref="DG220:DG223" si="1186">HYPERLINK("http://www.bibliomedia.ch/de/angebote/img/Wimmelbild.jpg","x")</f>
        <v>x</v>
      </c>
      <c r="DH220" s="112" t="str">
        <f t="shared" ref="DH220:DH223" si="1187">HYPERLINK("http://www.bibliomedia.ch/de/angebote/dokumente/Wimmelbild_Fehler.jpg","x")</f>
        <v>x</v>
      </c>
      <c r="DI220" s="112" t="str">
        <f>HYPERLINK("http://www.bibliomedia.ch/de/angebote/dokumente/Glossar_serbisch.pdf","x")</f>
        <v>x</v>
      </c>
      <c r="DJ220" s="112"/>
      <c r="DK220" s="112" t="str">
        <f>HYPERLINK("http://www.carlsen.de/sites/default/files/Walter-ebook_serbisch_klein.pdf","x")</f>
        <v>x</v>
      </c>
      <c r="DL220" s="112"/>
      <c r="DM220" s="112"/>
      <c r="DN220" s="112"/>
      <c r="DO220" s="111"/>
      <c r="DP220" s="112" t="str">
        <f t="shared" ref="DP220:DP223" si="1188">HYPERLINK("http://tipdoc.de/bus/grafik/kinder-tip/SCHULTIP_give_BulgRoSRB.pdf","x")</f>
        <v>x</v>
      </c>
      <c r="DQ220" s="111"/>
      <c r="DR220" s="112" t="str">
        <f>HYPERLINK("http://bildung.koeln.de/materialbibliothek/download.php?idx=f09a11728f4654f447ae3a08d82e9a14","x")</f>
        <v>x</v>
      </c>
      <c r="DS220" s="112" t="str">
        <f>HYPERLINK("http://bildung.koeln.de/materialbibliothek/download.php?idx=710a401fffc6b79562005c71273ff463","x")</f>
        <v>x</v>
      </c>
      <c r="DT220" s="111"/>
      <c r="DU220" s="112" t="str">
        <f t="shared" ref="DU220:DU223" si="1189">HYPERLINK("https://www.bmbf.de/pub/Kausa_Elternbroschuere_bosn_kroat_serb.pdf","x")</f>
        <v>x</v>
      </c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2" t="str">
        <f>HYPERLINK("http://fluechtlingsrat-bw.de/files/Dateien/Dokumente/Materialbestellung/2014-12-flyer%20arbeitserlaubnis%20SRB%20WEB.pdf","x")</f>
        <v>x</v>
      </c>
      <c r="EK220" s="111"/>
      <c r="EL220" s="112" t="str">
        <f>HYPERLINK("http://www.kvs-sachsen.de/fileadmin/img/Mitglieder/Asylbewerber/Allg-Informationen/Anlage_1_Serbisch_LEK.pdf","x")</f>
        <v>x</v>
      </c>
      <c r="EM220" s="112" t="str">
        <f t="shared" ref="EM220:EM223" si="1190">HYPERLINK("http://www.medizin-hilft-fluechtlingen.de/images/Dokumente/gSch/gSch_ser.pdf","x")</f>
        <v>x</v>
      </c>
      <c r="EN220" s="112"/>
      <c r="EO220" s="117" t="str">
        <f t="shared" ref="EO220:EO223" si="1191">HYPERLINK("http://www.medi-bild.de/pdf/anamnese/Welche_Sprache.pdf","x")</f>
        <v>x</v>
      </c>
      <c r="EP220" s="117" t="str">
        <f t="shared" ref="EP220:EP223" si="1192">HYPERLINK("http://www.medknowledge.de/migration/tipdoc/anamnesebogen/tipdoc_Anamnese_serb.pdf","x")</f>
        <v>x</v>
      </c>
      <c r="EQ220" s="112" t="str">
        <f>HYPERLINK("http://www.kvs-sachsen.de/fileadmin/img/Mitglieder/Asylbewerber/Allg-Informationen/Anlagen_2-1_2-2_Serbisch_LEK.pdf","x")</f>
        <v>x</v>
      </c>
      <c r="ER220" s="111"/>
      <c r="ES220" s="111"/>
      <c r="ET220" s="112" t="str">
        <f>HYPERLINK("http://www.medizin-hilft-fluechtlingen.de/images/Dokumente/ein/ein_ser.pdf","x")</f>
        <v>x</v>
      </c>
      <c r="EU220" s="112"/>
      <c r="EV220" s="112" t="str">
        <f t="shared" ref="EV220:EV223" si="1193">HYPERLINK("http://www.lak-rlp.de/fileadmin/redakteure/pdf/download/Piktogramme_Dosieretiketten_AoG.pdf","x")</f>
        <v>x</v>
      </c>
      <c r="EW220" s="111"/>
      <c r="EX220" s="111"/>
      <c r="EY220" s="111"/>
      <c r="EZ220" s="111"/>
      <c r="FA220" s="111"/>
      <c r="FB220" s="111"/>
      <c r="FC220" s="112" t="str">
        <f t="shared" ref="FC220:FC223" si="1194">HYPERLINK("http://mige.ix-tech.de/index.php?id=241","x")</f>
        <v>x</v>
      </c>
      <c r="FD220" s="112" t="str">
        <f t="shared" ref="FD220:FD223" si="1195">HYPERLINK("http://sghanstedt.elbnetz.com/ueber-uns/","x")</f>
        <v>x</v>
      </c>
      <c r="FE220" s="111"/>
      <c r="FF220" s="112" t="str">
        <f t="shared" ref="FF220:FF223" si="1196">HYPERLINK("http://www.tipdoc.de/grafik/asyl/Gesundheitsheft_Asyl.pdf","x")</f>
        <v>x</v>
      </c>
      <c r="FG220" s="111"/>
      <c r="FH220" s="111"/>
      <c r="FI220" s="112"/>
      <c r="FJ220" s="112" t="str">
        <f t="shared" ref="FJ220:FJ223" si="1197">HYPERLINK("http://www.rki.de/DE/Content/Infekt/Impfen/Materialien/Downloads-Impfkalender/Impfkalender_Serbisch.pdf?__blob=publicationFile","x")</f>
        <v>x</v>
      </c>
      <c r="FK220" s="112" t="str">
        <f t="shared" ref="FK220:FK223" si="1198">HYPERLINK("http://www.ethno-medizinisches-zentrum.de/images/PDF-Files/impfwegweiser_serbokroatisch_2013_online.pdf","x")</f>
        <v>x</v>
      </c>
      <c r="FL220" s="112"/>
      <c r="FM220" s="112" t="str">
        <f>HYPERLINK("http://www.rki.de/DE/Content/Infekt/Impfen/Materialien/Glossar-Downloads/glossar-de-serbisch.pdf?__blob=publicationFile","x")</f>
        <v>x</v>
      </c>
      <c r="FN220" s="112"/>
      <c r="FO220" s="112" t="str">
        <f>HYPERLINK("http://www.rki.de/DE/Content/Infekt/Impfen/Materialien/Downloads-MMR/MMR-Impfinfo-serbisch.pdf?__blob=publicationFile","x")</f>
        <v>x</v>
      </c>
      <c r="FP220" s="111"/>
      <c r="FQ220" s="112" t="str">
        <f>HYPERLINK("http://www.rki.de/DE/Content/Infekt/Impfen/Materialien/Downloads_HepA/Aufklaerung_HAV-Impfung_Serbisch.pdf?__blob=publicationFile","x")</f>
        <v>x</v>
      </c>
      <c r="FR220" s="112" t="str">
        <f>HYPERLINK("http://www.rki.de/DE/Content/Infekt/Impfen/Materialien/Downloads_Pneumokokken/Aufklaerung_Pneumo-Impfung_Serbisch.pdf?__blob=publicationFile","x")</f>
        <v>x</v>
      </c>
      <c r="FS220" s="112" t="str">
        <f>HYPERLINK("http://www.rki.de/DE/Content/Infekt/Impfen/Materialien/Downloads-DTaPIPVHibHepB/DTaPIPVHibHepB-serbisch.pdf?__blob=publicationFile","x")</f>
        <v>x</v>
      </c>
      <c r="FT220" s="112" t="str">
        <f>HYPERLINK("http://www.rki.de/DE/Content/Infekt/Impfen/Materialien/Downloads-Varizellen/Varizellen-Impfinfo-serbisch.pdf;jsessionid=65B697F4EE7EDA8A1ED9E2C4CD6C74EC.2_cid363?__blob=publicationFile","x")</f>
        <v>x</v>
      </c>
      <c r="FU220" s="112" t="str">
        <f>HYPERLINK("http://www.rki.de/DE/Content/Infekt/Impfen/Materialien/Downloads-Tdap-IPV/Tdap-IPV-serbisch.pdf?__blob=publicationFile","x")</f>
        <v>x</v>
      </c>
      <c r="FV220" s="112" t="str">
        <f>HYPERLINK("http://www.rki.de/DE/Content/Infekt/Impfen/Materialien/Downloads-Influenza_nasal/Influenza_nasal-serbisch.pdf?__blob=publicationFile","x")</f>
        <v>x</v>
      </c>
      <c r="FW220" s="111"/>
      <c r="FX220" s="111"/>
      <c r="FY220" s="111"/>
      <c r="FZ220" s="111"/>
      <c r="GA220" s="111"/>
      <c r="GB220" s="111"/>
      <c r="GC220" s="112" t="str">
        <f t="shared" ref="GC220:GC223" si="1199">HYPERLINK("http://www.ethno-medizinisches-zentrum.de/images/PDF-Files/lf_diabete_serbokroatisch.pdf","x")</f>
        <v>x</v>
      </c>
      <c r="GD220" s="111"/>
      <c r="GE220" s="111"/>
      <c r="GF220" s="111"/>
      <c r="GG220" s="112"/>
      <c r="GH220" s="111"/>
      <c r="GI220" s="111"/>
      <c r="GJ220" s="112" t="str">
        <f t="shared" ref="GJ220:GJ223" si="1200">HYPERLINK("http://www.tipdoc.de/bus/pdf/hiv/HIV%20SRF_Webseite.pdf","x")</f>
        <v>x</v>
      </c>
      <c r="GK220" s="111"/>
      <c r="GL220" s="112" t="str">
        <f>HYPERLINK("http://www.rki.de/DE/Content/Infekt/Impfen/Materialien/Downloads-Influenza/Influenza-serbisch.pdf?__blob=publicationFile","x")</f>
        <v>x</v>
      </c>
      <c r="GM220" s="111"/>
      <c r="GN220" s="111"/>
      <c r="GO220" s="112" t="str">
        <f t="shared" ref="GO220:GO223" si="1201">HYPERLINK("http://www.tipdoc.de/grafik/pdf/kopflaeuse/Kopflaeuse_SERB.pdf","x")</f>
        <v>x</v>
      </c>
      <c r="GP220" s="112"/>
      <c r="GQ220" s="112" t="str">
        <f t="shared" ref="GQ220:GQ223" si="1202">HYPERLINK("http://www.tipdoc.com/bus/pdf/kraetze/tipdoc_Scabies_SERB.pdf","x")</f>
        <v>x</v>
      </c>
      <c r="GR220" s="112" t="str">
        <f t="shared" ref="GR220:GR223" si="1203">HYPERLINK("http://www.tipdoc.com/bus/pdf/MagenDarmHaende/MagenDarmHaende_SERB.pdf","x")</f>
        <v>x</v>
      </c>
      <c r="GS220" s="111"/>
      <c r="GT220" s="111"/>
      <c r="GU220" s="111"/>
      <c r="GV220" s="111"/>
      <c r="GW220" s="111"/>
      <c r="GX220" s="111"/>
      <c r="GY220" s="111"/>
      <c r="GZ220" s="111"/>
      <c r="HA220" s="111"/>
      <c r="HB220" s="112" t="str">
        <f t="shared" si="628"/>
        <v>x</v>
      </c>
      <c r="HC220" s="111"/>
      <c r="HD220" s="111"/>
      <c r="HE220" s="111"/>
      <c r="HF220" s="111"/>
      <c r="HG220" s="111"/>
      <c r="HH220" s="111"/>
      <c r="HI220" s="111"/>
      <c r="HJ220" s="112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2" t="str">
        <f>HYPERLINK("http://www.bkk-psychisch-gesund.de/fileadmin/user_upload/Dokumente/Versicherte/Broschueren/Wegweiser_Psychotherapie_serbokroatisch.pdf","x")</f>
        <v>x</v>
      </c>
      <c r="HX220" s="112" t="str">
        <f t="shared" ref="HX220:HX223" si="1204">HYPERLINK("http://www.selfhelpfortrauma.org/","x")</f>
        <v>x</v>
      </c>
      <c r="HY220" s="112" t="str">
        <f t="shared" ref="HY220:HY223" si="1205">HYPERLINK("http://peacefulheart.se/wp-content/uploads/2014/12/Resolving-Yesterday-20141201-Self-Tapping.pdf","x")</f>
        <v>x</v>
      </c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2" t="str">
        <f t="shared" ref="IW220:IW223" si="1206">HYPERLINK("http://www.berlin.de/labo/willkommen-in-berlin/service/downloads/artikel.273193.php","x")</f>
        <v>x</v>
      </c>
      <c r="IX220" s="112" t="str">
        <f>HYPERLINK("http://www.bamf.de/SharedDocs/Anlagen/DE/Publikationen/Broschueren/broschuere-eat-a4-sr-serbisch.pdf?__blob=publicationFile","x")</f>
        <v>x</v>
      </c>
      <c r="IY220" s="111"/>
      <c r="IZ220" s="111"/>
      <c r="JA220" s="111"/>
      <c r="JB220" s="112" t="str">
        <f>HYPERLINK("http://www.bamf.de/SharedDocs/Anlagen/DE/Publikationen/Flyer/20140110_ura2-kinderprojekt_serb.pdf?__blob=publicationFile","x")</f>
        <v>x</v>
      </c>
      <c r="JC220" s="111"/>
      <c r="JD220" s="111"/>
      <c r="JE220" s="111"/>
      <c r="JF220" s="111"/>
      <c r="JG220" s="111"/>
      <c r="JH220" s="111"/>
      <c r="JI220" s="111"/>
      <c r="JJ220" s="111"/>
      <c r="JK220" s="111"/>
      <c r="JL220" s="112" t="str">
        <f t="shared" ref="JL220:JL223" si="1207">HYPERLINK("https://www.arbeitsagentur.de/web/content/DE/Formulare/Detail/index.htm?dfContentId=L6019022DSTBAI485740","x")</f>
        <v>x</v>
      </c>
      <c r="JM220" s="111"/>
      <c r="JN220" s="111"/>
      <c r="JO220" s="111"/>
      <c r="JP220" s="111"/>
      <c r="JQ220" s="112" t="str">
        <f t="shared" ref="JQ220:JQ223" si="1208">HYPERLINK("http://www.ibla-germany.de/merkblaetter.php","x")</f>
        <v>x</v>
      </c>
      <c r="JR220" s="111"/>
      <c r="JS220" s="111"/>
      <c r="JT220" s="111"/>
      <c r="JU220" s="111"/>
      <c r="JV220" s="112"/>
      <c r="JW220" s="111"/>
      <c r="JX220" s="112"/>
      <c r="JY220" s="112"/>
      <c r="JZ220" s="112"/>
      <c r="KA220" s="112" t="str">
        <f t="shared" ref="KA220:KA223" si="1209">HYPERLINK("http://www.refugeeguide.de/dl/RefugeeGuide_sl_1005.pdf","x")</f>
        <v>x</v>
      </c>
      <c r="KB220" s="111"/>
      <c r="KC220" s="111"/>
      <c r="KD220" s="111"/>
      <c r="KE220" s="111"/>
      <c r="KF220" s="112"/>
      <c r="KG220" s="112"/>
      <c r="KH220" s="112"/>
      <c r="KI220" s="112"/>
      <c r="KJ220" s="112"/>
      <c r="KK220" s="112"/>
      <c r="KL220" s="112"/>
      <c r="KM220" s="112"/>
      <c r="KN220" s="112"/>
      <c r="KO220" s="112"/>
      <c r="KP220" s="112"/>
      <c r="KQ220" s="112"/>
      <c r="KR220" s="112"/>
      <c r="KS220" s="112"/>
      <c r="KT220" s="112"/>
      <c r="KU220" s="112"/>
      <c r="KV220" s="112"/>
      <c r="KW220" s="112"/>
      <c r="KX220" s="112"/>
      <c r="KY220" s="112"/>
      <c r="KZ220" s="112"/>
      <c r="LA220" s="112"/>
      <c r="LB220" s="111"/>
      <c r="LC220" s="111"/>
      <c r="LD220" s="111"/>
      <c r="LE220" s="111"/>
      <c r="LF220" s="111"/>
      <c r="LG220" s="111"/>
      <c r="LH220" s="111"/>
      <c r="LI220" s="111"/>
      <c r="LJ220" s="111"/>
      <c r="LK220" s="111"/>
      <c r="LL220" s="111"/>
      <c r="LM220" s="111"/>
      <c r="LN220" s="111"/>
      <c r="LO220" s="111"/>
      <c r="LP220" s="111"/>
      <c r="LQ220" s="111"/>
      <c r="LR220" s="111"/>
      <c r="LS220" s="111"/>
      <c r="LT220" s="111"/>
      <c r="LU220" s="111"/>
      <c r="LV220" s="111"/>
      <c r="LW220" s="111"/>
      <c r="LX220" s="111"/>
      <c r="LY220" s="111"/>
      <c r="LZ220" s="111"/>
      <c r="MA220" s="111"/>
      <c r="MB220" s="111"/>
      <c r="MC220" s="111"/>
      <c r="MD220" s="111"/>
      <c r="ME220" s="111"/>
      <c r="MF220" s="111"/>
      <c r="MG220" s="111"/>
      <c r="MH220" s="111"/>
    </row>
    <row r="221" spans="1:346" x14ac:dyDescent="0.25">
      <c r="A221" s="110" t="s">
        <v>9</v>
      </c>
      <c r="B221" s="101" t="s">
        <v>71</v>
      </c>
      <c r="C221" s="102"/>
      <c r="D221" s="102"/>
      <c r="E221" s="102"/>
      <c r="F221" s="102"/>
      <c r="G221" s="102"/>
      <c r="H221" s="102"/>
      <c r="I221" s="102"/>
      <c r="J221" s="103"/>
      <c r="K221" s="111"/>
      <c r="L221" s="111"/>
      <c r="M221" s="112" t="str">
        <f t="shared" si="1165"/>
        <v>x</v>
      </c>
      <c r="N221" s="112"/>
      <c r="O221" s="112" t="str">
        <f t="shared" ref="O221:O223" si="1210">HYPERLINK("http://www.awb-ahrweiler.de/admin/data/ddownload/Abfall%20Sonderhinweise-Serbisch%202015.pdf","x")</f>
        <v>x</v>
      </c>
      <c r="P221" s="112"/>
      <c r="Q221" s="112"/>
      <c r="R221" s="112"/>
      <c r="S221" s="112"/>
      <c r="T221" s="112"/>
      <c r="U221" s="112"/>
      <c r="V221" s="111"/>
      <c r="W221" s="112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2" t="str">
        <f t="shared" si="1166"/>
        <v>x</v>
      </c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3"/>
      <c r="AV221" s="114" t="str">
        <f t="shared" si="1167"/>
        <v>x</v>
      </c>
      <c r="AW221" s="114" t="str">
        <f t="shared" si="1168"/>
        <v>x</v>
      </c>
      <c r="AX221" s="111"/>
      <c r="AY221" s="111"/>
      <c r="AZ221" s="112" t="str">
        <f t="shared" si="1169"/>
        <v>x</v>
      </c>
      <c r="BA221" s="112" t="str">
        <f t="shared" si="1170"/>
        <v>x</v>
      </c>
      <c r="BB221" s="111"/>
      <c r="BC221" s="111"/>
      <c r="BD221" s="111"/>
      <c r="BE221" s="111"/>
      <c r="BF221" s="111"/>
      <c r="BG221" s="112" t="str">
        <f t="shared" si="1171"/>
        <v>x</v>
      </c>
      <c r="BH221" s="112" t="str">
        <f t="shared" si="1172"/>
        <v>x</v>
      </c>
      <c r="BI221" s="111"/>
      <c r="BJ221" s="111"/>
      <c r="BK221" s="112" t="str">
        <f t="shared" ref="BK221:BK223" si="1211">HYPERLINK("http://www.bundessprachenamt.de/deutsch/wir_ueber_uns/nachrichten/2015/20151103/Verständigungshilfe_Serbisch_07_12_2015.pdf","x")</f>
        <v>x</v>
      </c>
      <c r="BL221" s="112" t="str">
        <f t="shared" si="1173"/>
        <v>x</v>
      </c>
      <c r="BM221" s="111"/>
      <c r="BN221" s="111"/>
      <c r="BO221" s="111"/>
      <c r="BP221" s="111"/>
      <c r="BQ221" s="111"/>
      <c r="BR221" s="112" t="str">
        <f t="shared" si="1174"/>
        <v>x</v>
      </c>
      <c r="BS221" s="112"/>
      <c r="BT221" s="111"/>
      <c r="BU221" s="112" t="str">
        <f t="shared" si="1175"/>
        <v>x</v>
      </c>
      <c r="BV221" s="112" t="str">
        <f t="shared" si="1176"/>
        <v>x</v>
      </c>
      <c r="BW221" s="112"/>
      <c r="BX221" s="112"/>
      <c r="BY221" s="112"/>
      <c r="BZ221" s="112" t="str">
        <f t="shared" si="1177"/>
        <v>x</v>
      </c>
      <c r="CA221" s="112" t="str">
        <f t="shared" si="1178"/>
        <v>x</v>
      </c>
      <c r="CB221" s="112" t="str">
        <f t="shared" si="1179"/>
        <v>x</v>
      </c>
      <c r="CC221" s="112"/>
      <c r="CD221" s="112"/>
      <c r="CE221" s="111"/>
      <c r="CF221" s="112" t="str">
        <f t="shared" si="1180"/>
        <v>x</v>
      </c>
      <c r="CG221" s="112" t="str">
        <f t="shared" ref="CG221:CG223" si="1212">HYPERLINK("http://mifkjf.rlp.de/fileadmin/mifkjf/Frauen/Gewalt_gegen_Frauen/Downloads/Broschueren_Flyer/Flyer_Gewalt_serbisch.pdf","x")</f>
        <v>x</v>
      </c>
      <c r="CH221" s="112"/>
      <c r="CI221" s="112" t="str">
        <f t="shared" si="1181"/>
        <v>x</v>
      </c>
      <c r="CJ221" s="112" t="str">
        <f t="shared" si="1182"/>
        <v>x</v>
      </c>
      <c r="CK221" s="112"/>
      <c r="CL221" s="112"/>
      <c r="CM221" s="112"/>
      <c r="CN221" s="112"/>
      <c r="CO221" s="112" t="str">
        <f t="shared" ref="CO221:CO223" si="1213">HYPERLINK("http://www.schwanger-und-viele-fragen.de/sr/","x")</f>
        <v>x</v>
      </c>
      <c r="CP221" s="112"/>
      <c r="CQ221" s="112" t="str">
        <f t="shared" ref="CQ221:CQ223" si="1214"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R221" s="112"/>
      <c r="CS221" s="112"/>
      <c r="CT221" s="112"/>
      <c r="CU221" s="112"/>
      <c r="CV221" s="112"/>
      <c r="CW221" s="112"/>
      <c r="CX221" s="112"/>
      <c r="CY221" s="112"/>
      <c r="CZ221" s="112" t="str">
        <f t="shared" si="1183"/>
        <v>x</v>
      </c>
      <c r="DA221" s="112"/>
      <c r="DB221" s="115"/>
      <c r="DC221" s="112"/>
      <c r="DD221" s="112"/>
      <c r="DE221" s="112" t="str">
        <f t="shared" si="1184"/>
        <v>x</v>
      </c>
      <c r="DF221" s="115" t="str">
        <f t="shared" si="1185"/>
        <v>x</v>
      </c>
      <c r="DG221" s="112" t="str">
        <f t="shared" si="1186"/>
        <v>x</v>
      </c>
      <c r="DH221" s="112" t="str">
        <f t="shared" si="1187"/>
        <v>x</v>
      </c>
      <c r="DI221" s="112" t="str">
        <f t="shared" ref="DI221:DI223" si="1215">HYPERLINK("http://www.bibliomedia.ch/de/angebote/dokumente/Glossar_serbisch.pdf","x")</f>
        <v>x</v>
      </c>
      <c r="DJ221" s="112"/>
      <c r="DK221" s="112" t="str">
        <f t="shared" ref="DK221:DK223" si="1216">HYPERLINK("http://www.carlsen.de/sites/default/files/Walter-ebook_serbisch_klein.pdf","x")</f>
        <v>x</v>
      </c>
      <c r="DL221" s="112"/>
      <c r="DM221" s="112"/>
      <c r="DN221" s="112"/>
      <c r="DO221" s="111"/>
      <c r="DP221" s="112" t="str">
        <f>HYPERLINK("http://tipdoc.de/bus/grafik/kinder-tip/SCHULTIP_give_BulgRoSRB.pdf","x")</f>
        <v>x</v>
      </c>
      <c r="DQ221" s="111"/>
      <c r="DR221" s="112" t="str">
        <f t="shared" ref="DR221:DR223" si="1217">HYPERLINK("http://bildung.koeln.de/materialbibliothek/download.php?idx=f09a11728f4654f447ae3a08d82e9a14","x")</f>
        <v>x</v>
      </c>
      <c r="DS221" s="112" t="str">
        <f t="shared" ref="DS221:DS223" si="1218">HYPERLINK("http://bildung.koeln.de/materialbibliothek/download.php?idx=710a401fffc6b79562005c71273ff463","x")</f>
        <v>x</v>
      </c>
      <c r="DT221" s="111"/>
      <c r="DU221" s="112" t="str">
        <f t="shared" si="1189"/>
        <v>x</v>
      </c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2" t="str">
        <f t="shared" ref="EJ221:EJ223" si="1219">HYPERLINK("http://fluechtlingsrat-bw.de/files/Dateien/Dokumente/Materialbestellung/2014-12-flyer%20arbeitserlaubnis%20SRB%20WEB.pdf","x")</f>
        <v>x</v>
      </c>
      <c r="EK221" s="111"/>
      <c r="EL221" s="112" t="str">
        <f t="shared" ref="EL221:EL223" si="1220">HYPERLINK("http://www.kvs-sachsen.de/fileadmin/img/Mitglieder/Asylbewerber/Allg-Informationen/Anlage_1_Serbisch_LEK.pdf","x")</f>
        <v>x</v>
      </c>
      <c r="EM221" s="112" t="str">
        <f>HYPERLINK("http://www.medizin-hilft-fluechtlingen.de/images/Dokumente/gSch/gSch_ser.pdf","x")</f>
        <v>x</v>
      </c>
      <c r="EN221" s="112"/>
      <c r="EO221" s="117" t="str">
        <f t="shared" si="1191"/>
        <v>x</v>
      </c>
      <c r="EP221" s="117" t="str">
        <f>HYPERLINK("http://www.medknowledge.de/migration/tipdoc/anamnesebogen/tipdoc_Anamnese_serb.pdf","x")</f>
        <v>x</v>
      </c>
      <c r="EQ221" s="112" t="str">
        <f t="shared" ref="EQ221:EQ223" si="1221">HYPERLINK("http://www.kvs-sachsen.de/fileadmin/img/Mitglieder/Asylbewerber/Allg-Informationen/Anlagen_2-1_2-2_Serbisch_LEK.pdf","x")</f>
        <v>x</v>
      </c>
      <c r="ER221" s="111"/>
      <c r="ES221" s="111"/>
      <c r="ET221" s="112" t="str">
        <f t="shared" ref="ET221:ET223" si="1222">HYPERLINK("http://www.medizin-hilft-fluechtlingen.de/images/Dokumente/ein/ein_ser.pdf","x")</f>
        <v>x</v>
      </c>
      <c r="EU221" s="112"/>
      <c r="EV221" s="112" t="str">
        <f t="shared" si="1193"/>
        <v>x</v>
      </c>
      <c r="EW221" s="111"/>
      <c r="EX221" s="111"/>
      <c r="EY221" s="111"/>
      <c r="EZ221" s="111"/>
      <c r="FA221" s="111"/>
      <c r="FB221" s="111"/>
      <c r="FC221" s="112" t="str">
        <f t="shared" si="1194"/>
        <v>x</v>
      </c>
      <c r="FD221" s="112" t="str">
        <f t="shared" si="1195"/>
        <v>x</v>
      </c>
      <c r="FE221" s="111"/>
      <c r="FF221" s="112" t="str">
        <f t="shared" si="1196"/>
        <v>x</v>
      </c>
      <c r="FG221" s="111"/>
      <c r="FH221" s="111"/>
      <c r="FI221" s="112"/>
      <c r="FJ221" s="112" t="str">
        <f>HYPERLINK("http://www.rki.de/DE/Content/Infekt/Impfen/Materialien/Downloads-Impfkalender/Impfkalender_Serbisch.pdf?__blob=publicationFile","x")</f>
        <v>x</v>
      </c>
      <c r="FK221" s="112" t="str">
        <f>HYPERLINK("http://www.ethno-medizinisches-zentrum.de/images/PDF-Files/impfwegweiser_serbokroatisch_2013_online.pdf","x")</f>
        <v>x</v>
      </c>
      <c r="FL221" s="112"/>
      <c r="FM221" s="112" t="str">
        <f t="shared" ref="FM221:FM223" si="1223">HYPERLINK("http://www.rki.de/DE/Content/Infekt/Impfen/Materialien/Glossar-Downloads/glossar-de-serbisch.pdf?__blob=publicationFile","x")</f>
        <v>x</v>
      </c>
      <c r="FN221" s="112"/>
      <c r="FO221" s="112" t="str">
        <f t="shared" ref="FO221:FO223" si="1224">HYPERLINK("http://www.rki.de/DE/Content/Infekt/Impfen/Materialien/Downloads-MMR/MMR-Impfinfo-serbisch.pdf?__blob=publicationFile","x")</f>
        <v>x</v>
      </c>
      <c r="FP221" s="111"/>
      <c r="FQ221" s="112" t="str">
        <f t="shared" ref="FQ221:FQ223" si="1225">HYPERLINK("http://www.rki.de/DE/Content/Infekt/Impfen/Materialien/Downloads_HepA/Aufklaerung_HAV-Impfung_Serbisch.pdf?__blob=publicationFile","x")</f>
        <v>x</v>
      </c>
      <c r="FR221" s="112" t="str">
        <f t="shared" ref="FR221:FR223" si="1226">HYPERLINK("http://www.rki.de/DE/Content/Infekt/Impfen/Materialien/Downloads_Pneumokokken/Aufklaerung_Pneumo-Impfung_Serbisch.pdf?__blob=publicationFile","x")</f>
        <v>x</v>
      </c>
      <c r="FS221" s="112" t="str">
        <f t="shared" ref="FS221:FS223" si="1227">HYPERLINK("http://www.rki.de/DE/Content/Infekt/Impfen/Materialien/Downloads-DTaPIPVHibHepB/DTaPIPVHibHepB-serbisch.pdf?__blob=publicationFile","x")</f>
        <v>x</v>
      </c>
      <c r="FT221" s="112" t="str">
        <f t="shared" ref="FT221:FT223" si="1228">HYPERLINK("http://www.rki.de/DE/Content/Infekt/Impfen/Materialien/Downloads-Varizellen/Varizellen-Impfinfo-serbisch.pdf;jsessionid=65B697F4EE7EDA8A1ED9E2C4CD6C74EC.2_cid363?__blob=publicationFile","x")</f>
        <v>x</v>
      </c>
      <c r="FU221" s="112" t="str">
        <f t="shared" ref="FU221:FU223" si="1229">HYPERLINK("http://www.rki.de/DE/Content/Infekt/Impfen/Materialien/Downloads-Tdap-IPV/Tdap-IPV-serbisch.pdf?__blob=publicationFile","x")</f>
        <v>x</v>
      </c>
      <c r="FV221" s="112" t="str">
        <f t="shared" ref="FV221:FV223" si="1230">HYPERLINK("http://www.rki.de/DE/Content/Infekt/Impfen/Materialien/Downloads-Influenza_nasal/Influenza_nasal-serbisch.pdf?__blob=publicationFile","x")</f>
        <v>x</v>
      </c>
      <c r="FW221" s="111"/>
      <c r="FX221" s="111"/>
      <c r="FY221" s="111"/>
      <c r="FZ221" s="111"/>
      <c r="GA221" s="111"/>
      <c r="GB221" s="111"/>
      <c r="GC221" s="112" t="str">
        <f>HYPERLINK("http://www.ethno-medizinisches-zentrum.de/images/PDF-Files/lf_diabete_serbokroatisch.pdf","x")</f>
        <v>x</v>
      </c>
      <c r="GD221" s="111"/>
      <c r="GE221" s="111"/>
      <c r="GF221" s="111"/>
      <c r="GG221" s="112"/>
      <c r="GH221" s="111"/>
      <c r="GI221" s="111"/>
      <c r="GJ221" s="112" t="str">
        <f t="shared" si="1200"/>
        <v>x</v>
      </c>
      <c r="GK221" s="111"/>
      <c r="GL221" s="112" t="str">
        <f t="shared" ref="GL221:GL223" si="1231">HYPERLINK("http://www.rki.de/DE/Content/Infekt/Impfen/Materialien/Downloads-Influenza/Influenza-serbisch.pdf?__blob=publicationFile","x")</f>
        <v>x</v>
      </c>
      <c r="GM221" s="111"/>
      <c r="GN221" s="111"/>
      <c r="GO221" s="112" t="str">
        <f>HYPERLINK("http://www.tipdoc.de/grafik/pdf/kopflaeuse/Kopflaeuse_SERB.pdf","x")</f>
        <v>x</v>
      </c>
      <c r="GP221" s="112"/>
      <c r="GQ221" s="112" t="str">
        <f>HYPERLINK("http://www.tipdoc.com/bus/pdf/kraetze/tipdoc_Scabies_SERB.pdf","x")</f>
        <v>x</v>
      </c>
      <c r="GR221" s="112" t="str">
        <f>HYPERLINK("http://www.tipdoc.com/bus/pdf/MagenDarmHaende/MagenDarmHaende_SERB.pdf","x")</f>
        <v>x</v>
      </c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2" t="str">
        <f t="shared" si="628"/>
        <v>x</v>
      </c>
      <c r="HC221" s="111"/>
      <c r="HD221" s="111"/>
      <c r="HE221" s="111"/>
      <c r="HF221" s="111"/>
      <c r="HG221" s="111"/>
      <c r="HH221" s="111"/>
      <c r="HI221" s="111"/>
      <c r="HJ221" s="112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2" t="str">
        <f t="shared" ref="HW221:HW223" si="1232">HYPERLINK("http://www.bkk-psychisch-gesund.de/fileadmin/user_upload/Dokumente/Versicherte/Broschueren/Wegweiser_Psychotherapie_serbokroatisch.pdf","x")</f>
        <v>x</v>
      </c>
      <c r="HX221" s="112" t="str">
        <f t="shared" si="1204"/>
        <v>x</v>
      </c>
      <c r="HY221" s="112" t="str">
        <f t="shared" si="1205"/>
        <v>x</v>
      </c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2" t="str">
        <f t="shared" si="1206"/>
        <v>x</v>
      </c>
      <c r="IX221" s="112" t="str">
        <f t="shared" ref="IX221:IX223" si="1233">HYPERLINK("http://www.bamf.de/SharedDocs/Anlagen/DE/Publikationen/Broschueren/broschuere-eat-a4-sr-serbisch.pdf?__blob=publicationFile","x")</f>
        <v>x</v>
      </c>
      <c r="IY221" s="111"/>
      <c r="IZ221" s="111"/>
      <c r="JA221" s="111"/>
      <c r="JB221" s="112" t="str">
        <f t="shared" ref="JB221:JB223" si="1234">HYPERLINK("http://www.bamf.de/SharedDocs/Anlagen/DE/Publikationen/Flyer/20140110_ura2-kinderprojekt_serb.pdf?__blob=publicationFile","x")</f>
        <v>x</v>
      </c>
      <c r="JC221" s="111"/>
      <c r="JD221" s="111"/>
      <c r="JE221" s="111"/>
      <c r="JF221" s="111"/>
      <c r="JG221" s="111"/>
      <c r="JH221" s="111"/>
      <c r="JI221" s="111"/>
      <c r="JJ221" s="111"/>
      <c r="JK221" s="111"/>
      <c r="JL221" s="112" t="str">
        <f t="shared" si="1207"/>
        <v>x</v>
      </c>
      <c r="JM221" s="111"/>
      <c r="JN221" s="111"/>
      <c r="JO221" s="111"/>
      <c r="JP221" s="111"/>
      <c r="JQ221" s="112" t="str">
        <f t="shared" si="1208"/>
        <v>x</v>
      </c>
      <c r="JR221" s="111"/>
      <c r="JS221" s="111"/>
      <c r="JT221" s="111"/>
      <c r="JU221" s="111"/>
      <c r="JV221" s="112"/>
      <c r="JW221" s="111"/>
      <c r="JX221" s="112"/>
      <c r="JY221" s="112"/>
      <c r="JZ221" s="112"/>
      <c r="KA221" s="112" t="str">
        <f>HYPERLINK("http://www.refugeeguide.de/dl/RefugeeGuide_sl_1005.pdf","x")</f>
        <v>x</v>
      </c>
      <c r="KB221" s="111"/>
      <c r="KC221" s="111"/>
      <c r="KD221" s="111"/>
      <c r="KE221" s="111"/>
      <c r="KF221" s="112"/>
      <c r="KG221" s="112"/>
      <c r="KH221" s="112"/>
      <c r="KI221" s="112"/>
      <c r="KJ221" s="112"/>
      <c r="KK221" s="112"/>
      <c r="KL221" s="112"/>
      <c r="KM221" s="112"/>
      <c r="KN221" s="112"/>
      <c r="KO221" s="112"/>
      <c r="KP221" s="112"/>
      <c r="KQ221" s="112"/>
      <c r="KR221" s="112"/>
      <c r="KS221" s="112"/>
      <c r="KT221" s="112"/>
      <c r="KU221" s="112"/>
      <c r="KV221" s="112"/>
      <c r="KW221" s="112"/>
      <c r="KX221" s="112"/>
      <c r="KY221" s="112"/>
      <c r="KZ221" s="112"/>
      <c r="LA221" s="112"/>
      <c r="LB221" s="111"/>
      <c r="LC221" s="111"/>
      <c r="LD221" s="111"/>
      <c r="LE221" s="111"/>
      <c r="LF221" s="111"/>
      <c r="LG221" s="111"/>
      <c r="LH221" s="111"/>
      <c r="LI221" s="111"/>
      <c r="LJ221" s="111"/>
      <c r="LK221" s="111"/>
      <c r="LL221" s="111"/>
      <c r="LM221" s="111"/>
      <c r="LN221" s="111"/>
      <c r="LO221" s="111"/>
      <c r="LP221" s="111"/>
      <c r="LQ221" s="111"/>
      <c r="LR221" s="111"/>
      <c r="LS221" s="111"/>
      <c r="LT221" s="111"/>
      <c r="LU221" s="111"/>
      <c r="LV221" s="111"/>
      <c r="LW221" s="111"/>
      <c r="LX221" s="111"/>
      <c r="LY221" s="111"/>
      <c r="LZ221" s="111"/>
      <c r="MA221" s="111"/>
      <c r="MB221" s="111"/>
      <c r="MC221" s="111"/>
      <c r="MD221" s="111"/>
      <c r="ME221" s="111"/>
      <c r="MF221" s="111"/>
      <c r="MG221" s="111"/>
      <c r="MH221" s="111"/>
    </row>
    <row r="222" spans="1:346" x14ac:dyDescent="0.25">
      <c r="A222" s="110" t="s">
        <v>9</v>
      </c>
      <c r="B222" s="101" t="s">
        <v>75</v>
      </c>
      <c r="C222" s="102"/>
      <c r="D222" s="102"/>
      <c r="E222" s="102"/>
      <c r="F222" s="102"/>
      <c r="G222" s="102"/>
      <c r="H222" s="102"/>
      <c r="I222" s="102"/>
      <c r="J222" s="103"/>
      <c r="K222" s="111"/>
      <c r="L222" s="111"/>
      <c r="M222" s="112" t="str">
        <f t="shared" si="1165"/>
        <v>x</v>
      </c>
      <c r="N222" s="112"/>
      <c r="O222" s="112" t="str">
        <f t="shared" si="1210"/>
        <v>x</v>
      </c>
      <c r="P222" s="112"/>
      <c r="Q222" s="112"/>
      <c r="R222" s="112"/>
      <c r="S222" s="112"/>
      <c r="T222" s="112"/>
      <c r="U222" s="112"/>
      <c r="V222" s="111"/>
      <c r="W222" s="112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2" t="str">
        <f t="shared" si="1166"/>
        <v>x</v>
      </c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3"/>
      <c r="AV222" s="114" t="str">
        <f t="shared" si="1167"/>
        <v>x</v>
      </c>
      <c r="AW222" s="114" t="str">
        <f t="shared" si="1168"/>
        <v>x</v>
      </c>
      <c r="AX222" s="111"/>
      <c r="AY222" s="111"/>
      <c r="AZ222" s="112" t="str">
        <f t="shared" si="1169"/>
        <v>x</v>
      </c>
      <c r="BA222" s="112" t="str">
        <f t="shared" si="1170"/>
        <v>x</v>
      </c>
      <c r="BB222" s="111"/>
      <c r="BC222" s="111"/>
      <c r="BD222" s="111"/>
      <c r="BE222" s="111"/>
      <c r="BF222" s="111"/>
      <c r="BG222" s="112" t="str">
        <f t="shared" si="1171"/>
        <v>x</v>
      </c>
      <c r="BH222" s="112" t="str">
        <f t="shared" si="1172"/>
        <v>x</v>
      </c>
      <c r="BI222" s="111"/>
      <c r="BJ222" s="111"/>
      <c r="BK222" s="112" t="str">
        <f t="shared" si="1211"/>
        <v>x</v>
      </c>
      <c r="BL222" s="112" t="str">
        <f t="shared" si="1173"/>
        <v>x</v>
      </c>
      <c r="BM222" s="111"/>
      <c r="BN222" s="111"/>
      <c r="BO222" s="111"/>
      <c r="BP222" s="111"/>
      <c r="BQ222" s="111"/>
      <c r="BR222" s="112" t="str">
        <f t="shared" si="1174"/>
        <v>x</v>
      </c>
      <c r="BS222" s="112"/>
      <c r="BT222" s="111"/>
      <c r="BU222" s="112" t="str">
        <f t="shared" si="1175"/>
        <v>x</v>
      </c>
      <c r="BV222" s="112" t="str">
        <f t="shared" si="1176"/>
        <v>x</v>
      </c>
      <c r="BW222" s="112"/>
      <c r="BX222" s="112"/>
      <c r="BY222" s="112"/>
      <c r="BZ222" s="112" t="str">
        <f t="shared" si="1177"/>
        <v>x</v>
      </c>
      <c r="CA222" s="112" t="str">
        <f t="shared" si="1178"/>
        <v>x</v>
      </c>
      <c r="CB222" s="112" t="str">
        <f t="shared" si="1179"/>
        <v>x</v>
      </c>
      <c r="CC222" s="112"/>
      <c r="CD222" s="112"/>
      <c r="CE222" s="111"/>
      <c r="CF222" s="112" t="str">
        <f t="shared" si="1180"/>
        <v>x</v>
      </c>
      <c r="CG222" s="112" t="str">
        <f t="shared" si="1212"/>
        <v>x</v>
      </c>
      <c r="CH222" s="112"/>
      <c r="CI222" s="112" t="str">
        <f t="shared" si="1181"/>
        <v>x</v>
      </c>
      <c r="CJ222" s="112" t="str">
        <f t="shared" si="1182"/>
        <v>x</v>
      </c>
      <c r="CK222" s="112"/>
      <c r="CL222" s="112"/>
      <c r="CM222" s="112"/>
      <c r="CN222" s="112"/>
      <c r="CO222" s="112" t="str">
        <f t="shared" si="1213"/>
        <v>x</v>
      </c>
      <c r="CP222" s="112"/>
      <c r="CQ222" s="112" t="str">
        <f t="shared" si="1214"/>
        <v>x</v>
      </c>
      <c r="CR222" s="112"/>
      <c r="CS222" s="112"/>
      <c r="CT222" s="112"/>
      <c r="CU222" s="112"/>
      <c r="CV222" s="112"/>
      <c r="CW222" s="112"/>
      <c r="CX222" s="112"/>
      <c r="CY222" s="112"/>
      <c r="CZ222" s="112" t="str">
        <f t="shared" si="1183"/>
        <v>x</v>
      </c>
      <c r="DA222" s="112"/>
      <c r="DB222" s="115"/>
      <c r="DC222" s="112"/>
      <c r="DD222" s="112"/>
      <c r="DE222" s="112" t="str">
        <f t="shared" si="1184"/>
        <v>x</v>
      </c>
      <c r="DF222" s="115" t="str">
        <f t="shared" si="1185"/>
        <v>x</v>
      </c>
      <c r="DG222" s="112" t="str">
        <f t="shared" si="1186"/>
        <v>x</v>
      </c>
      <c r="DH222" s="112" t="str">
        <f t="shared" si="1187"/>
        <v>x</v>
      </c>
      <c r="DI222" s="112" t="str">
        <f t="shared" si="1215"/>
        <v>x</v>
      </c>
      <c r="DJ222" s="112"/>
      <c r="DK222" s="112" t="str">
        <f t="shared" si="1216"/>
        <v>x</v>
      </c>
      <c r="DL222" s="112"/>
      <c r="DM222" s="112"/>
      <c r="DN222" s="112"/>
      <c r="DO222" s="111"/>
      <c r="DP222" s="112" t="str">
        <f>HYPERLINK("http://tipdoc.de/bus/grafik/kinder-tip/SCHULTIP_give_BulgRoSRB.pdf","x")</f>
        <v>x</v>
      </c>
      <c r="DQ222" s="111"/>
      <c r="DR222" s="112" t="str">
        <f t="shared" si="1217"/>
        <v>x</v>
      </c>
      <c r="DS222" s="112" t="str">
        <f t="shared" si="1218"/>
        <v>x</v>
      </c>
      <c r="DT222" s="111"/>
      <c r="DU222" s="112" t="str">
        <f t="shared" si="1189"/>
        <v>x</v>
      </c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2" t="str">
        <f t="shared" si="1219"/>
        <v>x</v>
      </c>
      <c r="EK222" s="111"/>
      <c r="EL222" s="112" t="str">
        <f t="shared" si="1220"/>
        <v>x</v>
      </c>
      <c r="EM222" s="112" t="str">
        <f>HYPERLINK("http://www.medizin-hilft-fluechtlingen.de/images/Dokumente/gSch/gSch_ser.pdf","x")</f>
        <v>x</v>
      </c>
      <c r="EN222" s="112"/>
      <c r="EO222" s="117" t="str">
        <f t="shared" si="1191"/>
        <v>x</v>
      </c>
      <c r="EP222" s="117" t="str">
        <f>HYPERLINK("http://www.medknowledge.de/migration/tipdoc/anamnesebogen/tipdoc_Anamnese_serb.pdf","x")</f>
        <v>x</v>
      </c>
      <c r="EQ222" s="112" t="str">
        <f t="shared" si="1221"/>
        <v>x</v>
      </c>
      <c r="ER222" s="111"/>
      <c r="ES222" s="111"/>
      <c r="ET222" s="112" t="str">
        <f t="shared" si="1222"/>
        <v>x</v>
      </c>
      <c r="EU222" s="112"/>
      <c r="EV222" s="112" t="str">
        <f t="shared" si="1193"/>
        <v>x</v>
      </c>
      <c r="EW222" s="111"/>
      <c r="EX222" s="111"/>
      <c r="EY222" s="111"/>
      <c r="EZ222" s="111"/>
      <c r="FA222" s="111"/>
      <c r="FB222" s="111"/>
      <c r="FC222" s="112" t="str">
        <f t="shared" si="1194"/>
        <v>x</v>
      </c>
      <c r="FD222" s="112" t="str">
        <f t="shared" si="1195"/>
        <v>x</v>
      </c>
      <c r="FE222" s="111"/>
      <c r="FF222" s="112" t="str">
        <f t="shared" si="1196"/>
        <v>x</v>
      </c>
      <c r="FG222" s="111"/>
      <c r="FH222" s="111"/>
      <c r="FI222" s="112"/>
      <c r="FJ222" s="112" t="str">
        <f>HYPERLINK("http://www.rki.de/DE/Content/Infekt/Impfen/Materialien/Downloads-Impfkalender/Impfkalender_Serbisch.pdf?__blob=publicationFile","x")</f>
        <v>x</v>
      </c>
      <c r="FK222" s="112" t="str">
        <f>HYPERLINK("http://www.ethno-medizinisches-zentrum.de/images/PDF-Files/impfwegweiser_serbokroatisch_2013_online.pdf","x")</f>
        <v>x</v>
      </c>
      <c r="FL222" s="112"/>
      <c r="FM222" s="112" t="str">
        <f t="shared" si="1223"/>
        <v>x</v>
      </c>
      <c r="FN222" s="112"/>
      <c r="FO222" s="112" t="str">
        <f t="shared" si="1224"/>
        <v>x</v>
      </c>
      <c r="FP222" s="111"/>
      <c r="FQ222" s="112" t="str">
        <f t="shared" si="1225"/>
        <v>x</v>
      </c>
      <c r="FR222" s="112" t="str">
        <f t="shared" si="1226"/>
        <v>x</v>
      </c>
      <c r="FS222" s="112" t="str">
        <f t="shared" si="1227"/>
        <v>x</v>
      </c>
      <c r="FT222" s="112" t="str">
        <f t="shared" si="1228"/>
        <v>x</v>
      </c>
      <c r="FU222" s="112" t="str">
        <f t="shared" si="1229"/>
        <v>x</v>
      </c>
      <c r="FV222" s="112" t="str">
        <f t="shared" si="1230"/>
        <v>x</v>
      </c>
      <c r="FW222" s="111"/>
      <c r="FX222" s="111"/>
      <c r="FY222" s="111"/>
      <c r="FZ222" s="111"/>
      <c r="GA222" s="111"/>
      <c r="GB222" s="111"/>
      <c r="GC222" s="112" t="str">
        <f>HYPERLINK("http://www.ethno-medizinisches-zentrum.de/images/PDF-Files/lf_diabete_serbokroatisch.pdf","x")</f>
        <v>x</v>
      </c>
      <c r="GD222" s="111"/>
      <c r="GE222" s="111"/>
      <c r="GF222" s="111"/>
      <c r="GG222" s="112"/>
      <c r="GH222" s="111"/>
      <c r="GI222" s="111"/>
      <c r="GJ222" s="112" t="str">
        <f t="shared" si="1200"/>
        <v>x</v>
      </c>
      <c r="GK222" s="111"/>
      <c r="GL222" s="112" t="str">
        <f t="shared" si="1231"/>
        <v>x</v>
      </c>
      <c r="GM222" s="111"/>
      <c r="GN222" s="111"/>
      <c r="GO222" s="112" t="str">
        <f>HYPERLINK("http://www.tipdoc.de/grafik/pdf/kopflaeuse/Kopflaeuse_SERB.pdf","x")</f>
        <v>x</v>
      </c>
      <c r="GP222" s="112"/>
      <c r="GQ222" s="112" t="str">
        <f>HYPERLINK("http://www.tipdoc.com/bus/pdf/kraetze/tipdoc_Scabies_SERB.pdf","x")</f>
        <v>x</v>
      </c>
      <c r="GR222" s="112" t="str">
        <f>HYPERLINK("http://www.tipdoc.com/bus/pdf/MagenDarmHaende/MagenDarmHaende_SERB.pdf","x")</f>
        <v>x</v>
      </c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2" t="str">
        <f t="shared" si="628"/>
        <v>x</v>
      </c>
      <c r="HC222" s="111"/>
      <c r="HD222" s="111"/>
      <c r="HE222" s="111"/>
      <c r="HF222" s="111"/>
      <c r="HG222" s="111"/>
      <c r="HH222" s="111"/>
      <c r="HI222" s="111"/>
      <c r="HJ222" s="112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2" t="str">
        <f t="shared" si="1232"/>
        <v>x</v>
      </c>
      <c r="HX222" s="112" t="str">
        <f t="shared" si="1204"/>
        <v>x</v>
      </c>
      <c r="HY222" s="112" t="str">
        <f t="shared" si="1205"/>
        <v>x</v>
      </c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2" t="str">
        <f t="shared" si="1206"/>
        <v>x</v>
      </c>
      <c r="IX222" s="112" t="str">
        <f t="shared" si="1233"/>
        <v>x</v>
      </c>
      <c r="IY222" s="111"/>
      <c r="IZ222" s="111"/>
      <c r="JA222" s="111"/>
      <c r="JB222" s="112" t="str">
        <f t="shared" si="1234"/>
        <v>x</v>
      </c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2" t="str">
        <f t="shared" si="1207"/>
        <v>x</v>
      </c>
      <c r="JM222" s="111"/>
      <c r="JN222" s="111"/>
      <c r="JO222" s="111"/>
      <c r="JP222" s="111"/>
      <c r="JQ222" s="112" t="str">
        <f t="shared" si="1208"/>
        <v>x</v>
      </c>
      <c r="JR222" s="111"/>
      <c r="JS222" s="111"/>
      <c r="JT222" s="111"/>
      <c r="JU222" s="111"/>
      <c r="JV222" s="112"/>
      <c r="JW222" s="111"/>
      <c r="JX222" s="112"/>
      <c r="JY222" s="112"/>
      <c r="JZ222" s="112"/>
      <c r="KA222" s="112" t="str">
        <f>HYPERLINK("http://www.refugeeguide.de/dl/RefugeeGuide_sl_1005.pdf","x")</f>
        <v>x</v>
      </c>
      <c r="KB222" s="111"/>
      <c r="KC222" s="111"/>
      <c r="KD222" s="111"/>
      <c r="KE222" s="111"/>
      <c r="KF222" s="112"/>
      <c r="KG222" s="112"/>
      <c r="KH222" s="112"/>
      <c r="KI222" s="112"/>
      <c r="KJ222" s="112"/>
      <c r="KK222" s="112"/>
      <c r="KL222" s="112"/>
      <c r="KM222" s="112"/>
      <c r="KN222" s="112"/>
      <c r="KO222" s="112"/>
      <c r="KP222" s="112"/>
      <c r="KQ222" s="112"/>
      <c r="KR222" s="112"/>
      <c r="KS222" s="112"/>
      <c r="KT222" s="112"/>
      <c r="KU222" s="112"/>
      <c r="KV222" s="112"/>
      <c r="KW222" s="112"/>
      <c r="KX222" s="112"/>
      <c r="KY222" s="112"/>
      <c r="KZ222" s="112"/>
      <c r="LA222" s="112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</row>
    <row r="223" spans="1:346" x14ac:dyDescent="0.25">
      <c r="A223" s="110" t="s">
        <v>9</v>
      </c>
      <c r="B223" s="101" t="s">
        <v>47</v>
      </c>
      <c r="C223" s="102"/>
      <c r="D223" s="102"/>
      <c r="E223" s="102"/>
      <c r="F223" s="102"/>
      <c r="G223" s="102"/>
      <c r="H223" s="102"/>
      <c r="I223" s="102"/>
      <c r="J223" s="103"/>
      <c r="K223" s="111"/>
      <c r="L223" s="111"/>
      <c r="M223" s="112" t="str">
        <f t="shared" si="1165"/>
        <v>x</v>
      </c>
      <c r="N223" s="112"/>
      <c r="O223" s="112" t="str">
        <f t="shared" si="1210"/>
        <v>x</v>
      </c>
      <c r="P223" s="112"/>
      <c r="Q223" s="112"/>
      <c r="R223" s="112"/>
      <c r="S223" s="112"/>
      <c r="T223" s="112"/>
      <c r="U223" s="112"/>
      <c r="V223" s="111"/>
      <c r="W223" s="112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2" t="str">
        <f t="shared" si="1166"/>
        <v>x</v>
      </c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3"/>
      <c r="AV223" s="114" t="str">
        <f t="shared" si="1167"/>
        <v>x</v>
      </c>
      <c r="AW223" s="114" t="str">
        <f t="shared" si="1168"/>
        <v>x</v>
      </c>
      <c r="AX223" s="111"/>
      <c r="AY223" s="111"/>
      <c r="AZ223" s="112" t="str">
        <f t="shared" si="1169"/>
        <v>x</v>
      </c>
      <c r="BA223" s="112" t="str">
        <f t="shared" si="1170"/>
        <v>x</v>
      </c>
      <c r="BB223" s="111"/>
      <c r="BC223" s="111"/>
      <c r="BD223" s="111"/>
      <c r="BE223" s="111"/>
      <c r="BF223" s="111"/>
      <c r="BG223" s="112" t="str">
        <f t="shared" si="1171"/>
        <v>x</v>
      </c>
      <c r="BH223" s="112" t="str">
        <f t="shared" si="1172"/>
        <v>x</v>
      </c>
      <c r="BI223" s="111"/>
      <c r="BJ223" s="111"/>
      <c r="BK223" s="112" t="str">
        <f t="shared" si="1211"/>
        <v>x</v>
      </c>
      <c r="BL223" s="112" t="str">
        <f t="shared" si="1173"/>
        <v>x</v>
      </c>
      <c r="BM223" s="111"/>
      <c r="BN223" s="111"/>
      <c r="BO223" s="111"/>
      <c r="BP223" s="111"/>
      <c r="BQ223" s="111"/>
      <c r="BR223" s="112" t="str">
        <f t="shared" si="1174"/>
        <v>x</v>
      </c>
      <c r="BS223" s="112"/>
      <c r="BT223" s="111"/>
      <c r="BU223" s="112" t="str">
        <f t="shared" si="1175"/>
        <v>x</v>
      </c>
      <c r="BV223" s="112" t="str">
        <f t="shared" si="1176"/>
        <v>x</v>
      </c>
      <c r="BW223" s="112"/>
      <c r="BX223" s="112"/>
      <c r="BY223" s="112"/>
      <c r="BZ223" s="112" t="str">
        <f t="shared" si="1177"/>
        <v>x</v>
      </c>
      <c r="CA223" s="112" t="str">
        <f t="shared" si="1178"/>
        <v>x</v>
      </c>
      <c r="CB223" s="112" t="str">
        <f t="shared" si="1179"/>
        <v>x</v>
      </c>
      <c r="CC223" s="112"/>
      <c r="CD223" s="112"/>
      <c r="CE223" s="111"/>
      <c r="CF223" s="112" t="str">
        <f t="shared" si="1180"/>
        <v>x</v>
      </c>
      <c r="CG223" s="112" t="str">
        <f t="shared" si="1212"/>
        <v>x</v>
      </c>
      <c r="CH223" s="112"/>
      <c r="CI223" s="112" t="str">
        <f t="shared" si="1181"/>
        <v>x</v>
      </c>
      <c r="CJ223" s="112" t="str">
        <f t="shared" si="1182"/>
        <v>x</v>
      </c>
      <c r="CK223" s="112"/>
      <c r="CL223" s="112"/>
      <c r="CM223" s="112"/>
      <c r="CN223" s="112"/>
      <c r="CO223" s="112" t="str">
        <f t="shared" si="1213"/>
        <v>x</v>
      </c>
      <c r="CP223" s="112"/>
      <c r="CQ223" s="112" t="str">
        <f t="shared" si="1214"/>
        <v>x</v>
      </c>
      <c r="CR223" s="112"/>
      <c r="CS223" s="112"/>
      <c r="CT223" s="112"/>
      <c r="CU223" s="112"/>
      <c r="CV223" s="112"/>
      <c r="CW223" s="112"/>
      <c r="CX223" s="112"/>
      <c r="CY223" s="112"/>
      <c r="CZ223" s="112" t="str">
        <f t="shared" si="1183"/>
        <v>x</v>
      </c>
      <c r="DA223" s="112"/>
      <c r="DB223" s="115"/>
      <c r="DC223" s="112"/>
      <c r="DD223" s="112"/>
      <c r="DE223" s="112" t="str">
        <f t="shared" si="1184"/>
        <v>x</v>
      </c>
      <c r="DF223" s="115" t="str">
        <f t="shared" si="1185"/>
        <v>x</v>
      </c>
      <c r="DG223" s="112" t="str">
        <f t="shared" si="1186"/>
        <v>x</v>
      </c>
      <c r="DH223" s="112" t="str">
        <f t="shared" si="1187"/>
        <v>x</v>
      </c>
      <c r="DI223" s="112" t="str">
        <f t="shared" si="1215"/>
        <v>x</v>
      </c>
      <c r="DJ223" s="112"/>
      <c r="DK223" s="112" t="str">
        <f t="shared" si="1216"/>
        <v>x</v>
      </c>
      <c r="DL223" s="112"/>
      <c r="DM223" s="112"/>
      <c r="DN223" s="112"/>
      <c r="DO223" s="111"/>
      <c r="DP223" s="112" t="str">
        <f t="shared" si="1188"/>
        <v>x</v>
      </c>
      <c r="DQ223" s="111"/>
      <c r="DR223" s="112" t="str">
        <f t="shared" si="1217"/>
        <v>x</v>
      </c>
      <c r="DS223" s="112" t="str">
        <f t="shared" si="1218"/>
        <v>x</v>
      </c>
      <c r="DT223" s="111"/>
      <c r="DU223" s="112" t="str">
        <f t="shared" si="1189"/>
        <v>x</v>
      </c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2" t="str">
        <f t="shared" si="1219"/>
        <v>x</v>
      </c>
      <c r="EK223" s="111"/>
      <c r="EL223" s="112" t="str">
        <f t="shared" si="1220"/>
        <v>x</v>
      </c>
      <c r="EM223" s="112" t="str">
        <f t="shared" si="1190"/>
        <v>x</v>
      </c>
      <c r="EN223" s="112"/>
      <c r="EO223" s="117" t="str">
        <f t="shared" si="1191"/>
        <v>x</v>
      </c>
      <c r="EP223" s="117" t="str">
        <f t="shared" si="1192"/>
        <v>x</v>
      </c>
      <c r="EQ223" s="112" t="str">
        <f t="shared" si="1221"/>
        <v>x</v>
      </c>
      <c r="ER223" s="111"/>
      <c r="ES223" s="111"/>
      <c r="ET223" s="112" t="str">
        <f t="shared" si="1222"/>
        <v>x</v>
      </c>
      <c r="EU223" s="112"/>
      <c r="EV223" s="112" t="str">
        <f t="shared" si="1193"/>
        <v>x</v>
      </c>
      <c r="EW223" s="111"/>
      <c r="EX223" s="111"/>
      <c r="EY223" s="111"/>
      <c r="EZ223" s="111"/>
      <c r="FA223" s="111"/>
      <c r="FB223" s="111"/>
      <c r="FC223" s="112" t="str">
        <f t="shared" si="1194"/>
        <v>x</v>
      </c>
      <c r="FD223" s="112" t="str">
        <f t="shared" si="1195"/>
        <v>x</v>
      </c>
      <c r="FE223" s="111"/>
      <c r="FF223" s="112" t="str">
        <f t="shared" si="1196"/>
        <v>x</v>
      </c>
      <c r="FG223" s="111"/>
      <c r="FH223" s="111"/>
      <c r="FI223" s="112"/>
      <c r="FJ223" s="112" t="str">
        <f t="shared" si="1197"/>
        <v>x</v>
      </c>
      <c r="FK223" s="112" t="str">
        <f t="shared" si="1198"/>
        <v>x</v>
      </c>
      <c r="FL223" s="112"/>
      <c r="FM223" s="112" t="str">
        <f t="shared" si="1223"/>
        <v>x</v>
      </c>
      <c r="FN223" s="112"/>
      <c r="FO223" s="112" t="str">
        <f t="shared" si="1224"/>
        <v>x</v>
      </c>
      <c r="FP223" s="111"/>
      <c r="FQ223" s="112" t="str">
        <f t="shared" si="1225"/>
        <v>x</v>
      </c>
      <c r="FR223" s="112" t="str">
        <f t="shared" si="1226"/>
        <v>x</v>
      </c>
      <c r="FS223" s="112" t="str">
        <f t="shared" si="1227"/>
        <v>x</v>
      </c>
      <c r="FT223" s="112" t="str">
        <f t="shared" si="1228"/>
        <v>x</v>
      </c>
      <c r="FU223" s="112" t="str">
        <f t="shared" si="1229"/>
        <v>x</v>
      </c>
      <c r="FV223" s="112" t="str">
        <f t="shared" si="1230"/>
        <v>x</v>
      </c>
      <c r="FW223" s="111"/>
      <c r="FX223" s="111"/>
      <c r="FY223" s="111"/>
      <c r="FZ223" s="111"/>
      <c r="GA223" s="111"/>
      <c r="GB223" s="111"/>
      <c r="GC223" s="112" t="str">
        <f t="shared" si="1199"/>
        <v>x</v>
      </c>
      <c r="GD223" s="111"/>
      <c r="GE223" s="111"/>
      <c r="GF223" s="111"/>
      <c r="GG223" s="112"/>
      <c r="GH223" s="111"/>
      <c r="GI223" s="111"/>
      <c r="GJ223" s="112" t="str">
        <f t="shared" si="1200"/>
        <v>x</v>
      </c>
      <c r="GK223" s="111"/>
      <c r="GL223" s="112" t="str">
        <f t="shared" si="1231"/>
        <v>x</v>
      </c>
      <c r="GM223" s="111"/>
      <c r="GN223" s="111"/>
      <c r="GO223" s="112" t="str">
        <f t="shared" si="1201"/>
        <v>x</v>
      </c>
      <c r="GP223" s="112"/>
      <c r="GQ223" s="112" t="str">
        <f t="shared" si="1202"/>
        <v>x</v>
      </c>
      <c r="GR223" s="112" t="str">
        <f t="shared" si="1203"/>
        <v>x</v>
      </c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2" t="str">
        <f t="shared" si="628"/>
        <v>x</v>
      </c>
      <c r="HC223" s="111"/>
      <c r="HD223" s="111"/>
      <c r="HE223" s="111"/>
      <c r="HF223" s="111"/>
      <c r="HG223" s="111"/>
      <c r="HH223" s="111"/>
      <c r="HI223" s="111"/>
      <c r="HJ223" s="112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2" t="str">
        <f t="shared" si="1232"/>
        <v>x</v>
      </c>
      <c r="HX223" s="112" t="str">
        <f t="shared" si="1204"/>
        <v>x</v>
      </c>
      <c r="HY223" s="112" t="str">
        <f t="shared" si="1205"/>
        <v>x</v>
      </c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2" t="str">
        <f t="shared" si="1206"/>
        <v>x</v>
      </c>
      <c r="IX223" s="112" t="str">
        <f t="shared" si="1233"/>
        <v>x</v>
      </c>
      <c r="IY223" s="111"/>
      <c r="IZ223" s="111"/>
      <c r="JA223" s="111"/>
      <c r="JB223" s="112" t="str">
        <f t="shared" si="1234"/>
        <v>x</v>
      </c>
      <c r="JC223" s="111"/>
      <c r="JD223" s="111"/>
      <c r="JE223" s="111"/>
      <c r="JF223" s="111"/>
      <c r="JG223" s="111"/>
      <c r="JH223" s="111"/>
      <c r="JI223" s="111"/>
      <c r="JJ223" s="111"/>
      <c r="JK223" s="111"/>
      <c r="JL223" s="112" t="str">
        <f t="shared" si="1207"/>
        <v>x</v>
      </c>
      <c r="JM223" s="111"/>
      <c r="JN223" s="111"/>
      <c r="JO223" s="111"/>
      <c r="JP223" s="111"/>
      <c r="JQ223" s="112" t="str">
        <f t="shared" si="1208"/>
        <v>x</v>
      </c>
      <c r="JR223" s="111"/>
      <c r="JS223" s="111"/>
      <c r="JT223" s="111"/>
      <c r="JU223" s="111"/>
      <c r="JV223" s="112"/>
      <c r="JW223" s="111"/>
      <c r="JX223" s="112"/>
      <c r="JY223" s="112"/>
      <c r="JZ223" s="112"/>
      <c r="KA223" s="112" t="str">
        <f t="shared" si="1209"/>
        <v>x</v>
      </c>
      <c r="KB223" s="111"/>
      <c r="KC223" s="111"/>
      <c r="KD223" s="111"/>
      <c r="KE223" s="111"/>
      <c r="KF223" s="112"/>
      <c r="KG223" s="112"/>
      <c r="KH223" s="112"/>
      <c r="KI223" s="112"/>
      <c r="KJ223" s="112"/>
      <c r="KK223" s="112"/>
      <c r="KL223" s="112"/>
      <c r="KM223" s="112"/>
      <c r="KN223" s="112"/>
      <c r="KO223" s="112"/>
      <c r="KP223" s="112"/>
      <c r="KQ223" s="112"/>
      <c r="KR223" s="112"/>
      <c r="KS223" s="112"/>
      <c r="KT223" s="112"/>
      <c r="KU223" s="112"/>
      <c r="KV223" s="112"/>
      <c r="KW223" s="112"/>
      <c r="KX223" s="112"/>
      <c r="KY223" s="112"/>
      <c r="KZ223" s="112"/>
      <c r="LA223" s="112"/>
      <c r="LB223" s="111"/>
      <c r="LC223" s="111"/>
      <c r="LD223" s="111"/>
      <c r="LE223" s="111"/>
      <c r="LF223" s="111"/>
      <c r="LG223" s="111"/>
      <c r="LH223" s="111"/>
      <c r="LI223" s="111"/>
      <c r="LJ223" s="111"/>
      <c r="LK223" s="111"/>
      <c r="LL223" s="111"/>
      <c r="LM223" s="111"/>
      <c r="LN223" s="111"/>
      <c r="LO223" s="111"/>
      <c r="LP223" s="111"/>
      <c r="LQ223" s="111"/>
      <c r="LR223" s="111"/>
      <c r="LS223" s="111"/>
      <c r="LT223" s="111"/>
      <c r="LU223" s="111"/>
      <c r="LV223" s="111"/>
      <c r="LW223" s="111"/>
      <c r="LX223" s="111"/>
      <c r="LY223" s="111"/>
      <c r="LZ223" s="111"/>
      <c r="MA223" s="111"/>
      <c r="MB223" s="111"/>
      <c r="MC223" s="111"/>
      <c r="MD223" s="111"/>
      <c r="ME223" s="111"/>
      <c r="MF223" s="111"/>
      <c r="MG223" s="111"/>
      <c r="MH223" s="111"/>
    </row>
    <row r="224" spans="1:346" x14ac:dyDescent="0.25">
      <c r="A224" s="101" t="s">
        <v>8</v>
      </c>
      <c r="B224" s="102"/>
      <c r="C224" s="102"/>
      <c r="D224" s="102"/>
      <c r="E224" s="102"/>
      <c r="F224" s="102"/>
      <c r="G224" s="102"/>
      <c r="H224" s="102"/>
      <c r="I224" s="102"/>
      <c r="J224" s="103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6"/>
      <c r="AV224" s="106"/>
      <c r="AW224" s="106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9"/>
      <c r="EP224" s="109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5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4"/>
      <c r="JJ224" s="104"/>
      <c r="JK224" s="104"/>
      <c r="JL224" s="104"/>
      <c r="JM224" s="104"/>
      <c r="JN224" s="104"/>
      <c r="JO224" s="104"/>
      <c r="JP224" s="104"/>
      <c r="JQ224" s="104"/>
      <c r="JR224" s="104"/>
      <c r="JS224" s="104"/>
      <c r="JT224" s="104"/>
      <c r="JU224" s="104"/>
      <c r="JV224" s="104"/>
      <c r="JW224" s="104"/>
      <c r="JX224" s="104"/>
      <c r="JY224" s="104"/>
      <c r="JZ224" s="104"/>
      <c r="KA224" s="104"/>
      <c r="KB224" s="104"/>
      <c r="KC224" s="104"/>
      <c r="KD224" s="104"/>
      <c r="KE224" s="104"/>
      <c r="KF224" s="104"/>
      <c r="KG224" s="104"/>
      <c r="KH224" s="104"/>
      <c r="KI224" s="104"/>
      <c r="KJ224" s="104"/>
      <c r="KK224" s="104"/>
      <c r="KL224" s="104"/>
      <c r="KM224" s="104"/>
      <c r="KN224" s="104"/>
      <c r="KO224" s="104"/>
      <c r="KP224" s="104"/>
      <c r="KQ224" s="104"/>
      <c r="KR224" s="104"/>
      <c r="KS224" s="104"/>
      <c r="KT224" s="104"/>
      <c r="KU224" s="104"/>
      <c r="KV224" s="104"/>
      <c r="KW224" s="104"/>
      <c r="KX224" s="104"/>
      <c r="KY224" s="104"/>
      <c r="KZ224" s="104"/>
      <c r="LA224" s="104"/>
      <c r="LB224" s="104"/>
      <c r="LC224" s="104"/>
      <c r="LD224" s="104"/>
      <c r="LE224" s="104"/>
      <c r="LF224" s="104"/>
      <c r="LG224" s="104"/>
      <c r="LH224" s="104"/>
      <c r="LI224" s="104"/>
      <c r="LJ224" s="104"/>
      <c r="LK224" s="104"/>
      <c r="LL224" s="104"/>
      <c r="LM224" s="104"/>
      <c r="LN224" s="104"/>
      <c r="LO224" s="104"/>
      <c r="LP224" s="104"/>
      <c r="LQ224" s="104"/>
      <c r="LR224" s="104"/>
      <c r="LS224" s="104"/>
      <c r="LT224" s="104"/>
      <c r="LU224" s="104"/>
      <c r="LV224" s="104"/>
      <c r="LW224" s="104"/>
      <c r="LX224" s="104"/>
      <c r="LY224" s="104"/>
      <c r="LZ224" s="104"/>
      <c r="MA224" s="104"/>
      <c r="MB224" s="104"/>
      <c r="MC224" s="104"/>
      <c r="MD224" s="104"/>
      <c r="ME224" s="104"/>
      <c r="MF224" s="104"/>
      <c r="MG224" s="104"/>
      <c r="MH224" s="104"/>
    </row>
    <row r="225" spans="1:346" x14ac:dyDescent="0.25">
      <c r="A225" s="110" t="s">
        <v>8</v>
      </c>
      <c r="B225" s="101" t="s">
        <v>76</v>
      </c>
      <c r="C225" s="102"/>
      <c r="D225" s="102"/>
      <c r="E225" s="102"/>
      <c r="F225" s="102"/>
      <c r="G225" s="102"/>
      <c r="H225" s="102"/>
      <c r="I225" s="102"/>
      <c r="J225" s="103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3"/>
      <c r="AV225" s="114" t="str">
        <f t="shared" ref="AV225:AV233" si="1235">HYPERLINK("http://sab.landtag.sachsen.de/dokumente/landtagskurier/SAB_DeutschLernen_DinA5_WEB141115.pdf","x")</f>
        <v>x</v>
      </c>
      <c r="AW225" s="114" t="str">
        <f t="shared" ref="AW225:AW233" si="1236">HYPERLINK("http://sab.landtag.sachsen.de/dokumente/landtagskurier/SAB_PL_Lernposter_WEB091115.pdf","x")</f>
        <v>x</v>
      </c>
      <c r="AX225" s="111"/>
      <c r="AY225" s="111"/>
      <c r="AZ225" s="112" t="str">
        <f t="shared" ref="AZ225:AZ228" si="123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25" s="112" t="str">
        <f t="shared" ref="BA225:BA228" si="1238">HYPERLINK("http://wie-kann-ich-helfen.info/WoerterbuchAnalphabet_innen_%28c%29_Dagmar_Schmeelcke.pdf","x")</f>
        <v>x</v>
      </c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2" t="str">
        <f t="shared" ref="BR225:BR233" si="1239">HYPERLINK("http://www.goethe.de/lrn/prj/wnd/deu/lti/deindex.htm#13322010","x")</f>
        <v>x</v>
      </c>
      <c r="BS225" s="112"/>
      <c r="BT225" s="111"/>
      <c r="BU225" s="112" t="str">
        <f t="shared" ref="BU225:BU228" si="1240">HYPERLINK("https://s3-eu-west-1.amazonaws.com/lingolia/download/lingolia_daf.pdf","x")</f>
        <v>x</v>
      </c>
      <c r="BV225" s="112" t="str">
        <f>HYPERLINK("http://www.welcomegrooves.de/wp-content/uploads/2015/10/welcomegrooves_DE-SERBISCH-KYRILLISCH.pdf","x")</f>
        <v>x</v>
      </c>
      <c r="BW225" s="112"/>
      <c r="BX225" s="112"/>
      <c r="BY225" s="112"/>
      <c r="BZ225" s="112" t="str">
        <f t="shared" ref="BZ225:BZ233" si="1241">HYPERLINK("http://www.hueber.de/shared/uebungen/schritte-plus","x")</f>
        <v>x</v>
      </c>
      <c r="CA225" s="112" t="str">
        <f t="shared" ref="CA225:CA233" si="1242">HYPERLINK("https://www.hueber.de/shared/uebungen/menschen-hier/ab/a1-1/menu.html","x")</f>
        <v>x</v>
      </c>
      <c r="CB225" s="112" t="str">
        <f t="shared" ref="CB225:CB233" si="1243">HYPERLINK("http://www.goethe-verlag.com/DE/","x")</f>
        <v>x</v>
      </c>
      <c r="CC225" s="112"/>
      <c r="CD225" s="112"/>
      <c r="CE225" s="111"/>
      <c r="CF225" s="111"/>
      <c r="CG225" s="111"/>
      <c r="CH225" s="111"/>
      <c r="CI225" s="111"/>
      <c r="CJ225" s="112" t="str">
        <f t="shared" ref="CJ225:CJ233" si="1244">HYPERLINK("http://www.e-migrantinnen.de/index.php?de_wichtige-links","x")</f>
        <v>x</v>
      </c>
      <c r="CK225" s="112"/>
      <c r="CL225" s="112"/>
      <c r="CM225" s="112"/>
      <c r="CN225" s="112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2"/>
      <c r="CZ225" s="112"/>
      <c r="DA225" s="112"/>
      <c r="DB225" s="115"/>
      <c r="DC225" s="112"/>
      <c r="DD225" s="112"/>
      <c r="DE225" s="112" t="str">
        <f t="shared" ref="DE225:DE233" si="1245">HYPERLINK("http://fi-lohmar-siegburg.de/data/documents/130-37_Inklusion_im_Anfangsunterricht_-_Poster_mit_Situationsbildern.pdf","x")</f>
        <v>x</v>
      </c>
      <c r="DF225" s="115" t="str">
        <f t="shared" ref="DF225:DF233" si="1246">HYPERLINK("http://s3-eu-west-1.amazonaws.com/lingolia/calendar/2016/lingolia_2016_de.pdf","x")</f>
        <v>x</v>
      </c>
      <c r="DG225" s="112" t="str">
        <f t="shared" ref="DG225:DG233" si="1247">HYPERLINK("http://www.bibliomedia.ch/de/angebote/img/Wimmelbild.jpg","x")</f>
        <v>x</v>
      </c>
      <c r="DH225" s="112" t="str">
        <f t="shared" ref="DH225:DH233" si="1248">HYPERLINK("http://www.bibliomedia.ch/de/angebote/dokumente/Wimmelbild_Fehler.jpg","x")</f>
        <v>x</v>
      </c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8"/>
      <c r="EP225" s="118"/>
      <c r="EQ225" s="111"/>
      <c r="ER225" s="111"/>
      <c r="ES225" s="111"/>
      <c r="ET225" s="111"/>
      <c r="EU225" s="111"/>
      <c r="EV225" s="112" t="str">
        <f t="shared" ref="EV225:EV233" si="1249">HYPERLINK("http://www.lak-rlp.de/fileadmin/redakteure/pdf/download/Piktogramme_Dosieretiketten_AoG.pdf","x")</f>
        <v>x</v>
      </c>
      <c r="EW225" s="111"/>
      <c r="EX225" s="111"/>
      <c r="EY225" s="111"/>
      <c r="EZ225" s="111"/>
      <c r="FA225" s="111"/>
      <c r="FB225" s="111"/>
      <c r="FC225" s="112" t="str">
        <f t="shared" ref="FC225:FC233" si="1250">HYPERLINK("http://mige.ix-tech.de/index.php?id=241","x")</f>
        <v>x</v>
      </c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  <c r="FW225" s="111"/>
      <c r="FX225" s="111"/>
      <c r="FY225" s="111"/>
      <c r="FZ225" s="111"/>
      <c r="GA225" s="111"/>
      <c r="GB225" s="111"/>
      <c r="GC225" s="111"/>
      <c r="GD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2" t="str">
        <f t="shared" ref="HB225:HB287" si="1251">HYPERLINK("https://www.zahnaerzte-wl.de/images/_PDF-suche/KZV_ZÄK/piktogrammheft.pdf","x")</f>
        <v>x</v>
      </c>
      <c r="HC225" s="112" t="str">
        <f>HYPERLINK("https://www.zahnaerzte-wl.de/images/_PDF-suche/KZV_ZÄK/ENDSTAND_Ankreuzbogen_Ich_verstehe.pdf","x")</f>
        <v>x</v>
      </c>
      <c r="HD225" s="112" t="str">
        <f>HYPERLINK("https://www.zahnaerzte-wl.de/images/_PDF-suche/KZV_ZÄK/Anschreiben_Patienten_serbisch.pdf","x")</f>
        <v>x</v>
      </c>
      <c r="HE225" s="112" t="str">
        <f>HYPERLINK("https://www.zahnaerzte-wl.de/images/_PDF-suche/KZV_ZÄK/Fragebogen_serbisch.pdf","x")</f>
        <v>x</v>
      </c>
      <c r="HF225" s="112" t="str">
        <f>HYPERLINK("https://www.zahnaerzte-wl.de/images/_PDF-suche/KZV_ZÄK/Patientenerhebungsbogen_serbisch.pdf","x")</f>
        <v>x</v>
      </c>
      <c r="HG225" s="112"/>
      <c r="HH225" s="112"/>
      <c r="HI225" s="112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2" t="str">
        <f t="shared" ref="HX225:HX233" si="1252">HYPERLINK("http://www.selfhelpfortrauma.org/","x")</f>
        <v>x</v>
      </c>
      <c r="HY225" s="112" t="str">
        <f t="shared" ref="HY225:HY233" si="1253">HYPERLINK("http://peacefulheart.se/wp-content/uploads/2014/12/Resolving-Yesterday-20141201-Self-Tapping.pdf","x")</f>
        <v>x</v>
      </c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1"/>
      <c r="IZ225" s="111"/>
      <c r="JA225" s="111"/>
      <c r="JB225" s="111"/>
      <c r="JC225" s="111"/>
      <c r="JD225" s="111"/>
      <c r="JE225" s="111"/>
      <c r="JF225" s="111"/>
      <c r="JG225" s="111"/>
      <c r="JH225" s="111"/>
      <c r="JI225" s="111"/>
      <c r="JJ225" s="111"/>
      <c r="JK225" s="111"/>
      <c r="JL225" s="111"/>
      <c r="JM225" s="111"/>
      <c r="JN225" s="111"/>
      <c r="JO225" s="111"/>
      <c r="JP225" s="111"/>
      <c r="JQ225" s="111"/>
      <c r="JR225" s="111"/>
      <c r="JS225" s="111"/>
      <c r="JT225" s="111"/>
      <c r="JU225" s="111"/>
      <c r="JV225" s="111"/>
      <c r="JW225" s="111"/>
      <c r="JX225" s="112"/>
      <c r="JY225" s="112"/>
      <c r="JZ225" s="112"/>
      <c r="KA225" s="112" t="str">
        <f t="shared" ref="KA225:KA228" si="1254">HYPERLINK("http://www.refugeeguide.de/dl/RefugeeGuide_sk_1005.pdf","x")</f>
        <v>x</v>
      </c>
      <c r="KB225" s="111"/>
      <c r="KC225" s="111"/>
      <c r="KD225" s="112" t="str">
        <f t="shared" ref="KD225:KD228" si="1255">HYPERLINK("http://www.frauenrechte.de/online/images/downloads/allgemein/TDF_Flyer_Women_Men.pdf","x")</f>
        <v>x</v>
      </c>
      <c r="KE225" s="111"/>
      <c r="KF225" s="112"/>
      <c r="KG225" s="112"/>
      <c r="KH225" s="112"/>
      <c r="KI225" s="112"/>
      <c r="KJ225" s="112"/>
      <c r="KK225" s="112"/>
      <c r="KL225" s="112"/>
      <c r="KM225" s="112"/>
      <c r="KN225" s="112"/>
      <c r="KO225" s="112"/>
      <c r="KP225" s="112"/>
      <c r="KQ225" s="112"/>
      <c r="KR225" s="112"/>
      <c r="KS225" s="112"/>
      <c r="KT225" s="112"/>
      <c r="KU225" s="112"/>
      <c r="KV225" s="112"/>
      <c r="KW225" s="112"/>
      <c r="KX225" s="112"/>
      <c r="KY225" s="112"/>
      <c r="KZ225" s="112"/>
      <c r="LA225" s="112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</row>
    <row r="226" spans="1:346" x14ac:dyDescent="0.25">
      <c r="A226" s="110" t="s">
        <v>8</v>
      </c>
      <c r="B226" s="101" t="s">
        <v>71</v>
      </c>
      <c r="C226" s="102"/>
      <c r="D226" s="102"/>
      <c r="E226" s="102"/>
      <c r="F226" s="102"/>
      <c r="G226" s="102"/>
      <c r="H226" s="102"/>
      <c r="I226" s="102"/>
      <c r="J226" s="103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3"/>
      <c r="AV226" s="114" t="str">
        <f t="shared" si="1235"/>
        <v>x</v>
      </c>
      <c r="AW226" s="114" t="str">
        <f t="shared" si="1236"/>
        <v>x</v>
      </c>
      <c r="AX226" s="111"/>
      <c r="AY226" s="111"/>
      <c r="AZ226" s="112" t="str">
        <f t="shared" si="1237"/>
        <v>x</v>
      </c>
      <c r="BA226" s="112" t="str">
        <f t="shared" si="1238"/>
        <v>x</v>
      </c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2" t="str">
        <f t="shared" si="1239"/>
        <v>x</v>
      </c>
      <c r="BS226" s="112"/>
      <c r="BT226" s="111"/>
      <c r="BU226" s="112" t="str">
        <f t="shared" si="1240"/>
        <v>x</v>
      </c>
      <c r="BV226" s="112" t="str">
        <f t="shared" ref="BV226:BV228" si="1256">HYPERLINK("http://www.welcomegrooves.de/wp-content/uploads/2015/10/welcomegrooves_DE-SERBISCH-KYRILLISCH.pdf","x")</f>
        <v>x</v>
      </c>
      <c r="BW226" s="112"/>
      <c r="BX226" s="112"/>
      <c r="BY226" s="112"/>
      <c r="BZ226" s="112" t="str">
        <f t="shared" si="1241"/>
        <v>x</v>
      </c>
      <c r="CA226" s="112" t="str">
        <f t="shared" si="1242"/>
        <v>x</v>
      </c>
      <c r="CB226" s="112" t="str">
        <f t="shared" si="1243"/>
        <v>x</v>
      </c>
      <c r="CC226" s="112"/>
      <c r="CD226" s="112"/>
      <c r="CE226" s="111"/>
      <c r="CF226" s="111"/>
      <c r="CG226" s="111"/>
      <c r="CH226" s="111"/>
      <c r="CI226" s="111"/>
      <c r="CJ226" s="112" t="str">
        <f t="shared" si="1244"/>
        <v>x</v>
      </c>
      <c r="CK226" s="112"/>
      <c r="CL226" s="112"/>
      <c r="CM226" s="112"/>
      <c r="CN226" s="112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2"/>
      <c r="CZ226" s="112"/>
      <c r="DA226" s="112"/>
      <c r="DB226" s="115"/>
      <c r="DC226" s="112"/>
      <c r="DD226" s="112"/>
      <c r="DE226" s="112" t="str">
        <f t="shared" si="1245"/>
        <v>x</v>
      </c>
      <c r="DF226" s="115" t="str">
        <f t="shared" si="1246"/>
        <v>x</v>
      </c>
      <c r="DG226" s="112" t="str">
        <f t="shared" si="1247"/>
        <v>x</v>
      </c>
      <c r="DH226" s="112" t="str">
        <f t="shared" si="1248"/>
        <v>x</v>
      </c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8"/>
      <c r="EP226" s="118"/>
      <c r="EQ226" s="111"/>
      <c r="ER226" s="111"/>
      <c r="ES226" s="111"/>
      <c r="ET226" s="111"/>
      <c r="EU226" s="111"/>
      <c r="EV226" s="112" t="str">
        <f t="shared" si="1249"/>
        <v>x</v>
      </c>
      <c r="EW226" s="111"/>
      <c r="EX226" s="111"/>
      <c r="EY226" s="111"/>
      <c r="EZ226" s="111"/>
      <c r="FA226" s="111"/>
      <c r="FB226" s="111"/>
      <c r="FC226" s="112" t="str">
        <f t="shared" si="1250"/>
        <v>x</v>
      </c>
      <c r="FD226" s="111"/>
      <c r="FE226" s="111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1"/>
      <c r="FS226" s="111"/>
      <c r="FT226" s="111"/>
      <c r="FU226" s="111"/>
      <c r="FV226" s="111"/>
      <c r="FW226" s="111"/>
      <c r="FX226" s="111"/>
      <c r="FY226" s="111"/>
      <c r="FZ226" s="111"/>
      <c r="GA226" s="111"/>
      <c r="GB226" s="111"/>
      <c r="GC226" s="111"/>
      <c r="GD226" s="111"/>
      <c r="GE226" s="111"/>
      <c r="GF226" s="111"/>
      <c r="GG226" s="111"/>
      <c r="GH226" s="111"/>
      <c r="GI226" s="111"/>
      <c r="GJ226" s="111"/>
      <c r="GK226" s="111"/>
      <c r="GL226" s="111"/>
      <c r="GM226" s="111"/>
      <c r="GN226" s="111"/>
      <c r="GO226" s="111"/>
      <c r="GP226" s="111"/>
      <c r="GQ226" s="111"/>
      <c r="GR226" s="111"/>
      <c r="GS226" s="111"/>
      <c r="GT226" s="111"/>
      <c r="GU226" s="111"/>
      <c r="GV226" s="111"/>
      <c r="GW226" s="111"/>
      <c r="GX226" s="111"/>
      <c r="GY226" s="111"/>
      <c r="GZ226" s="111"/>
      <c r="HA226" s="111"/>
      <c r="HB226" s="112" t="str">
        <f t="shared" si="1251"/>
        <v>x</v>
      </c>
      <c r="HC226" s="112" t="str">
        <f t="shared" ref="HC226:HC228" si="1257">HYPERLINK("https://www.zahnaerzte-wl.de/images/_PDF-suche/KZV_ZÄK/ENDSTAND_Ankreuzbogen_Ich_verstehe.pdf","x")</f>
        <v>x</v>
      </c>
      <c r="HD226" s="112" t="str">
        <f t="shared" ref="HD226:HD228" si="1258">HYPERLINK("https://www.zahnaerzte-wl.de/images/_PDF-suche/KZV_ZÄK/Anschreiben_Patienten_serbisch.pdf","x")</f>
        <v>x</v>
      </c>
      <c r="HE226" s="112" t="str">
        <f t="shared" ref="HE226:HE228" si="1259">HYPERLINK("https://www.zahnaerzte-wl.de/images/_PDF-suche/KZV_ZÄK/Fragebogen_serbisch.pdf","x")</f>
        <v>x</v>
      </c>
      <c r="HF226" s="112" t="str">
        <f t="shared" ref="HF226:HF228" si="1260">HYPERLINK("https://www.zahnaerzte-wl.de/images/_PDF-suche/KZV_ZÄK/Patientenerhebungsbogen_serbisch.pdf","x")</f>
        <v>x</v>
      </c>
      <c r="HG226" s="112"/>
      <c r="HH226" s="112"/>
      <c r="HI226" s="112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2" t="str">
        <f t="shared" si="1252"/>
        <v>x</v>
      </c>
      <c r="HY226" s="112" t="str">
        <f t="shared" si="1253"/>
        <v>x</v>
      </c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  <c r="IY226" s="111"/>
      <c r="IZ226" s="111"/>
      <c r="JA226" s="111"/>
      <c r="JB226" s="111"/>
      <c r="JC226" s="111"/>
      <c r="JD226" s="111"/>
      <c r="JE226" s="111"/>
      <c r="JF226" s="111"/>
      <c r="JG226" s="111"/>
      <c r="JH226" s="111"/>
      <c r="JI226" s="111"/>
      <c r="JJ226" s="111"/>
      <c r="JK226" s="111"/>
      <c r="JL226" s="111"/>
      <c r="JM226" s="111"/>
      <c r="JN226" s="111"/>
      <c r="JO226" s="111"/>
      <c r="JP226" s="111"/>
      <c r="JQ226" s="111"/>
      <c r="JR226" s="111"/>
      <c r="JS226" s="111"/>
      <c r="JT226" s="111"/>
      <c r="JU226" s="111"/>
      <c r="JV226" s="111"/>
      <c r="JW226" s="111"/>
      <c r="JX226" s="112"/>
      <c r="JY226" s="112"/>
      <c r="JZ226" s="112"/>
      <c r="KA226" s="112" t="str">
        <f>HYPERLINK("http://www.refugeeguide.de/dl/RefugeeGuide_sk_1005.pdf","x")</f>
        <v>x</v>
      </c>
      <c r="KB226" s="111"/>
      <c r="KC226" s="111"/>
      <c r="KD226" s="112" t="str">
        <f t="shared" si="1255"/>
        <v>x</v>
      </c>
      <c r="KE226" s="111"/>
      <c r="KF226" s="112"/>
      <c r="KG226" s="112"/>
      <c r="KH226" s="112"/>
      <c r="KI226" s="112"/>
      <c r="KJ226" s="112"/>
      <c r="KK226" s="112"/>
      <c r="KL226" s="112"/>
      <c r="KM226" s="112"/>
      <c r="KN226" s="112"/>
      <c r="KO226" s="112"/>
      <c r="KP226" s="112"/>
      <c r="KQ226" s="112"/>
      <c r="KR226" s="112"/>
      <c r="KS226" s="112"/>
      <c r="KT226" s="112"/>
      <c r="KU226" s="112"/>
      <c r="KV226" s="112"/>
      <c r="KW226" s="112"/>
      <c r="KX226" s="112"/>
      <c r="KY226" s="112"/>
      <c r="KZ226" s="112"/>
      <c r="LA226" s="112"/>
      <c r="LB226" s="111"/>
      <c r="LC226" s="111"/>
      <c r="LD226" s="111"/>
      <c r="LE226" s="111"/>
      <c r="LF226" s="111"/>
      <c r="LG226" s="111"/>
      <c r="LH226" s="111"/>
      <c r="LI226" s="111"/>
      <c r="LJ226" s="111"/>
      <c r="LK226" s="111"/>
      <c r="LL226" s="111"/>
      <c r="LM226" s="111"/>
      <c r="LN226" s="111"/>
      <c r="LO226" s="111"/>
      <c r="LP226" s="111"/>
      <c r="LQ226" s="111"/>
      <c r="LR226" s="111"/>
      <c r="LS226" s="111"/>
      <c r="LT226" s="111"/>
      <c r="LU226" s="111"/>
      <c r="LV226" s="111"/>
      <c r="LW226" s="111"/>
      <c r="LX226" s="111"/>
      <c r="LY226" s="111"/>
      <c r="LZ226" s="111"/>
      <c r="MA226" s="111"/>
      <c r="MB226" s="111"/>
      <c r="MC226" s="111"/>
      <c r="MD226" s="111"/>
      <c r="ME226" s="111"/>
      <c r="MF226" s="111"/>
      <c r="MG226" s="111"/>
      <c r="MH226" s="111"/>
    </row>
    <row r="227" spans="1:346" x14ac:dyDescent="0.25">
      <c r="A227" s="110" t="s">
        <v>8</v>
      </c>
      <c r="B227" s="101" t="s">
        <v>75</v>
      </c>
      <c r="C227" s="102"/>
      <c r="D227" s="102"/>
      <c r="E227" s="102"/>
      <c r="F227" s="102"/>
      <c r="G227" s="102"/>
      <c r="H227" s="102"/>
      <c r="I227" s="102"/>
      <c r="J227" s="103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3"/>
      <c r="AV227" s="114" t="str">
        <f t="shared" si="1235"/>
        <v>x</v>
      </c>
      <c r="AW227" s="114" t="str">
        <f t="shared" si="1236"/>
        <v>x</v>
      </c>
      <c r="AX227" s="111"/>
      <c r="AY227" s="111"/>
      <c r="AZ227" s="112" t="str">
        <f t="shared" si="1237"/>
        <v>x</v>
      </c>
      <c r="BA227" s="112" t="str">
        <f t="shared" si="1238"/>
        <v>x</v>
      </c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2" t="str">
        <f t="shared" si="1239"/>
        <v>x</v>
      </c>
      <c r="BS227" s="112"/>
      <c r="BT227" s="111"/>
      <c r="BU227" s="112" t="str">
        <f t="shared" si="1240"/>
        <v>x</v>
      </c>
      <c r="BV227" s="112" t="str">
        <f t="shared" si="1256"/>
        <v>x</v>
      </c>
      <c r="BW227" s="112"/>
      <c r="BX227" s="112"/>
      <c r="BY227" s="112"/>
      <c r="BZ227" s="112" t="str">
        <f t="shared" si="1241"/>
        <v>x</v>
      </c>
      <c r="CA227" s="112" t="str">
        <f t="shared" si="1242"/>
        <v>x</v>
      </c>
      <c r="CB227" s="112" t="str">
        <f t="shared" si="1243"/>
        <v>x</v>
      </c>
      <c r="CC227" s="112"/>
      <c r="CD227" s="112"/>
      <c r="CE227" s="111"/>
      <c r="CF227" s="111"/>
      <c r="CG227" s="111"/>
      <c r="CH227" s="111"/>
      <c r="CI227" s="111"/>
      <c r="CJ227" s="112" t="str">
        <f t="shared" si="1244"/>
        <v>x</v>
      </c>
      <c r="CK227" s="112"/>
      <c r="CL227" s="112"/>
      <c r="CM227" s="112"/>
      <c r="CN227" s="112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2"/>
      <c r="CZ227" s="112"/>
      <c r="DA227" s="112"/>
      <c r="DB227" s="115"/>
      <c r="DC227" s="112"/>
      <c r="DD227" s="112"/>
      <c r="DE227" s="112" t="str">
        <f t="shared" si="1245"/>
        <v>x</v>
      </c>
      <c r="DF227" s="115" t="str">
        <f t="shared" si="1246"/>
        <v>x</v>
      </c>
      <c r="DG227" s="112" t="str">
        <f t="shared" si="1247"/>
        <v>x</v>
      </c>
      <c r="DH227" s="112" t="str">
        <f t="shared" si="1248"/>
        <v>x</v>
      </c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8"/>
      <c r="EP227" s="118"/>
      <c r="EQ227" s="111"/>
      <c r="ER227" s="111"/>
      <c r="ES227" s="111"/>
      <c r="ET227" s="111"/>
      <c r="EU227" s="111"/>
      <c r="EV227" s="112" t="str">
        <f t="shared" si="1249"/>
        <v>x</v>
      </c>
      <c r="EW227" s="111"/>
      <c r="EX227" s="111"/>
      <c r="EY227" s="111"/>
      <c r="EZ227" s="111"/>
      <c r="FA227" s="111"/>
      <c r="FB227" s="111"/>
      <c r="FC227" s="112" t="str">
        <f t="shared" si="1250"/>
        <v>x</v>
      </c>
      <c r="FD227" s="111"/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2" t="str">
        <f t="shared" si="1251"/>
        <v>x</v>
      </c>
      <c r="HC227" s="112" t="str">
        <f t="shared" si="1257"/>
        <v>x</v>
      </c>
      <c r="HD227" s="112" t="str">
        <f t="shared" si="1258"/>
        <v>x</v>
      </c>
      <c r="HE227" s="112" t="str">
        <f t="shared" si="1259"/>
        <v>x</v>
      </c>
      <c r="HF227" s="112" t="str">
        <f t="shared" si="1260"/>
        <v>x</v>
      </c>
      <c r="HG227" s="112"/>
      <c r="HH227" s="112"/>
      <c r="HI227" s="112"/>
      <c r="HJ227" s="111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2" t="str">
        <f t="shared" si="1252"/>
        <v>x</v>
      </c>
      <c r="HY227" s="112" t="str">
        <f t="shared" si="1253"/>
        <v>x</v>
      </c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1"/>
      <c r="JF227" s="111"/>
      <c r="JG227" s="111"/>
      <c r="JH227" s="111"/>
      <c r="JI227" s="111"/>
      <c r="JJ227" s="111"/>
      <c r="JK227" s="111"/>
      <c r="JL227" s="111"/>
      <c r="JM227" s="111"/>
      <c r="JN227" s="111"/>
      <c r="JO227" s="111"/>
      <c r="JP227" s="111"/>
      <c r="JQ227" s="111"/>
      <c r="JR227" s="111"/>
      <c r="JS227" s="111"/>
      <c r="JT227" s="111"/>
      <c r="JU227" s="111"/>
      <c r="JV227" s="111"/>
      <c r="JW227" s="111"/>
      <c r="JX227" s="112"/>
      <c r="JY227" s="112"/>
      <c r="JZ227" s="112"/>
      <c r="KA227" s="112" t="str">
        <f>HYPERLINK("http://www.refugeeguide.de/dl/RefugeeGuide_sk_1005.pdf","x")</f>
        <v>x</v>
      </c>
      <c r="KB227" s="111"/>
      <c r="KC227" s="111"/>
      <c r="KD227" s="112" t="str">
        <f t="shared" si="1255"/>
        <v>x</v>
      </c>
      <c r="KE227" s="111"/>
      <c r="KF227" s="112"/>
      <c r="KG227" s="112"/>
      <c r="KH227" s="112"/>
      <c r="KI227" s="112"/>
      <c r="KJ227" s="112"/>
      <c r="KK227" s="112"/>
      <c r="KL227" s="112"/>
      <c r="KM227" s="112"/>
      <c r="KN227" s="112"/>
      <c r="KO227" s="112"/>
      <c r="KP227" s="112"/>
      <c r="KQ227" s="112"/>
      <c r="KR227" s="112"/>
      <c r="KS227" s="112"/>
      <c r="KT227" s="112"/>
      <c r="KU227" s="112"/>
      <c r="KV227" s="112"/>
      <c r="KW227" s="112"/>
      <c r="KX227" s="112"/>
      <c r="KY227" s="112"/>
      <c r="KZ227" s="112"/>
      <c r="LA227" s="112"/>
      <c r="LB227" s="111"/>
      <c r="LC227" s="111"/>
      <c r="LD227" s="111"/>
      <c r="LE227" s="111"/>
      <c r="LF227" s="111"/>
      <c r="LG227" s="111"/>
      <c r="LH227" s="111"/>
      <c r="LI227" s="111"/>
      <c r="LJ227" s="111"/>
      <c r="LK227" s="111"/>
      <c r="LL227" s="111"/>
      <c r="LM227" s="111"/>
      <c r="LN227" s="111"/>
      <c r="LO227" s="111"/>
      <c r="LP227" s="111"/>
      <c r="LQ227" s="111"/>
      <c r="LR227" s="111"/>
      <c r="LS227" s="111"/>
      <c r="LT227" s="111"/>
      <c r="LU227" s="111"/>
      <c r="LV227" s="111"/>
      <c r="LW227" s="111"/>
      <c r="LX227" s="111"/>
      <c r="LY227" s="111"/>
      <c r="LZ227" s="111"/>
      <c r="MA227" s="111"/>
      <c r="MB227" s="111"/>
      <c r="MC227" s="111"/>
      <c r="MD227" s="111"/>
      <c r="ME227" s="111"/>
      <c r="MF227" s="111"/>
      <c r="MG227" s="111"/>
      <c r="MH227" s="111"/>
    </row>
    <row r="228" spans="1:346" x14ac:dyDescent="0.25">
      <c r="A228" s="110" t="s">
        <v>8</v>
      </c>
      <c r="B228" s="101" t="s">
        <v>47</v>
      </c>
      <c r="C228" s="102"/>
      <c r="D228" s="102"/>
      <c r="E228" s="102"/>
      <c r="F228" s="102"/>
      <c r="G228" s="102"/>
      <c r="H228" s="102"/>
      <c r="I228" s="102"/>
      <c r="J228" s="103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3"/>
      <c r="AV228" s="114" t="str">
        <f t="shared" si="1235"/>
        <v>x</v>
      </c>
      <c r="AW228" s="114" t="str">
        <f t="shared" si="1236"/>
        <v>x</v>
      </c>
      <c r="AX228" s="111"/>
      <c r="AY228" s="111"/>
      <c r="AZ228" s="112" t="str">
        <f t="shared" si="1237"/>
        <v>x</v>
      </c>
      <c r="BA228" s="112" t="str">
        <f t="shared" si="1238"/>
        <v>x</v>
      </c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2" t="str">
        <f t="shared" si="1239"/>
        <v>x</v>
      </c>
      <c r="BS228" s="112"/>
      <c r="BT228" s="111"/>
      <c r="BU228" s="112" t="str">
        <f t="shared" si="1240"/>
        <v>x</v>
      </c>
      <c r="BV228" s="112" t="str">
        <f t="shared" si="1256"/>
        <v>x</v>
      </c>
      <c r="BW228" s="112"/>
      <c r="BX228" s="112"/>
      <c r="BY228" s="112"/>
      <c r="BZ228" s="112" t="str">
        <f t="shared" si="1241"/>
        <v>x</v>
      </c>
      <c r="CA228" s="112" t="str">
        <f t="shared" si="1242"/>
        <v>x</v>
      </c>
      <c r="CB228" s="112" t="str">
        <f t="shared" si="1243"/>
        <v>x</v>
      </c>
      <c r="CC228" s="112"/>
      <c r="CD228" s="112"/>
      <c r="CE228" s="111"/>
      <c r="CF228" s="111"/>
      <c r="CG228" s="111"/>
      <c r="CH228" s="111"/>
      <c r="CI228" s="111"/>
      <c r="CJ228" s="112" t="str">
        <f t="shared" si="1244"/>
        <v>x</v>
      </c>
      <c r="CK228" s="112"/>
      <c r="CL228" s="112"/>
      <c r="CM228" s="112"/>
      <c r="CN228" s="112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2"/>
      <c r="CZ228" s="112"/>
      <c r="DA228" s="112"/>
      <c r="DB228" s="115"/>
      <c r="DC228" s="112"/>
      <c r="DD228" s="112"/>
      <c r="DE228" s="112" t="str">
        <f t="shared" si="1245"/>
        <v>x</v>
      </c>
      <c r="DF228" s="115" t="str">
        <f t="shared" si="1246"/>
        <v>x</v>
      </c>
      <c r="DG228" s="112" t="str">
        <f t="shared" si="1247"/>
        <v>x</v>
      </c>
      <c r="DH228" s="112" t="str">
        <f t="shared" si="1248"/>
        <v>x</v>
      </c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8"/>
      <c r="EP228" s="118"/>
      <c r="EQ228" s="111"/>
      <c r="ER228" s="111"/>
      <c r="ES228" s="111"/>
      <c r="ET228" s="111"/>
      <c r="EU228" s="111"/>
      <c r="EV228" s="112" t="str">
        <f t="shared" si="1249"/>
        <v>x</v>
      </c>
      <c r="EW228" s="111"/>
      <c r="EX228" s="111"/>
      <c r="EY228" s="111"/>
      <c r="EZ228" s="111"/>
      <c r="FA228" s="111"/>
      <c r="FB228" s="111"/>
      <c r="FC228" s="112" t="str">
        <f t="shared" si="1250"/>
        <v>x</v>
      </c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2" t="str">
        <f t="shared" si="1251"/>
        <v>x</v>
      </c>
      <c r="HC228" s="112" t="str">
        <f t="shared" si="1257"/>
        <v>x</v>
      </c>
      <c r="HD228" s="112" t="str">
        <f t="shared" si="1258"/>
        <v>x</v>
      </c>
      <c r="HE228" s="112" t="str">
        <f t="shared" si="1259"/>
        <v>x</v>
      </c>
      <c r="HF228" s="112" t="str">
        <f t="shared" si="1260"/>
        <v>x</v>
      </c>
      <c r="HG228" s="112"/>
      <c r="HH228" s="112"/>
      <c r="HI228" s="112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2" t="str">
        <f t="shared" si="1252"/>
        <v>x</v>
      </c>
      <c r="HY228" s="112" t="str">
        <f t="shared" si="1253"/>
        <v>x</v>
      </c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2"/>
      <c r="JY228" s="112"/>
      <c r="JZ228" s="112"/>
      <c r="KA228" s="112" t="str">
        <f t="shared" si="1254"/>
        <v>x</v>
      </c>
      <c r="KB228" s="111"/>
      <c r="KC228" s="111"/>
      <c r="KD228" s="112" t="str">
        <f t="shared" si="1255"/>
        <v>x</v>
      </c>
      <c r="KE228" s="111"/>
      <c r="KF228" s="112"/>
      <c r="KG228" s="112"/>
      <c r="KH228" s="112"/>
      <c r="KI228" s="112"/>
      <c r="KJ228" s="112"/>
      <c r="KK228" s="112"/>
      <c r="KL228" s="112"/>
      <c r="KM228" s="112"/>
      <c r="KN228" s="112"/>
      <c r="KO228" s="112"/>
      <c r="KP228" s="112"/>
      <c r="KQ228" s="112"/>
      <c r="KR228" s="112"/>
      <c r="KS228" s="112"/>
      <c r="KT228" s="112"/>
      <c r="KU228" s="112"/>
      <c r="KV228" s="112"/>
      <c r="KW228" s="112"/>
      <c r="KX228" s="112"/>
      <c r="KY228" s="112"/>
      <c r="KZ228" s="112"/>
      <c r="LA228" s="112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</row>
    <row r="229" spans="1:346" x14ac:dyDescent="0.25">
      <c r="A229" s="101" t="s">
        <v>478</v>
      </c>
      <c r="B229" s="102"/>
      <c r="C229" s="102"/>
      <c r="D229" s="102"/>
      <c r="E229" s="102"/>
      <c r="F229" s="102"/>
      <c r="G229" s="102"/>
      <c r="H229" s="102"/>
      <c r="I229" s="102"/>
      <c r="J229" s="10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6"/>
      <c r="AV229" s="106"/>
      <c r="AW229" s="106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9"/>
      <c r="EP229" s="109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5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4"/>
      <c r="JK229" s="104"/>
      <c r="JL229" s="104"/>
      <c r="JM229" s="104"/>
      <c r="JN229" s="104"/>
      <c r="JO229" s="104"/>
      <c r="JP229" s="104"/>
      <c r="JQ229" s="104"/>
      <c r="JR229" s="104"/>
      <c r="JS229" s="104"/>
      <c r="JT229" s="104"/>
      <c r="JU229" s="104"/>
      <c r="JV229" s="104"/>
      <c r="JW229" s="104"/>
      <c r="JX229" s="104"/>
      <c r="JY229" s="104"/>
      <c r="JZ229" s="104"/>
      <c r="KA229" s="104"/>
      <c r="KB229" s="104"/>
      <c r="KC229" s="104"/>
      <c r="KD229" s="104"/>
      <c r="KE229" s="104"/>
      <c r="KF229" s="104"/>
      <c r="KG229" s="104"/>
      <c r="KH229" s="104"/>
      <c r="KI229" s="104"/>
      <c r="KJ229" s="104"/>
      <c r="KK229" s="104"/>
      <c r="KL229" s="104"/>
      <c r="KM229" s="104"/>
      <c r="KN229" s="104"/>
      <c r="KO229" s="104"/>
      <c r="KP229" s="104"/>
      <c r="KQ229" s="104"/>
      <c r="KR229" s="104"/>
      <c r="KS229" s="104"/>
      <c r="KT229" s="104"/>
      <c r="KU229" s="104"/>
      <c r="KV229" s="104"/>
      <c r="KW229" s="104"/>
      <c r="KX229" s="104"/>
      <c r="KY229" s="104"/>
      <c r="KZ229" s="104"/>
      <c r="LA229" s="104"/>
      <c r="LB229" s="104"/>
      <c r="LC229" s="104"/>
      <c r="LD229" s="104"/>
      <c r="LE229" s="104"/>
      <c r="LF229" s="104"/>
      <c r="LG229" s="104"/>
      <c r="LH229" s="104"/>
      <c r="LI229" s="104"/>
      <c r="LJ229" s="104"/>
      <c r="LK229" s="104"/>
      <c r="LL229" s="104"/>
      <c r="LM229" s="104"/>
      <c r="LN229" s="104"/>
      <c r="LO229" s="104"/>
      <c r="LP229" s="104"/>
      <c r="LQ229" s="104"/>
      <c r="LR229" s="104"/>
      <c r="LS229" s="104"/>
      <c r="LT229" s="104"/>
      <c r="LU229" s="104"/>
      <c r="LV229" s="104"/>
      <c r="LW229" s="104"/>
      <c r="LX229" s="104"/>
      <c r="LY229" s="104"/>
      <c r="LZ229" s="104"/>
      <c r="MA229" s="104"/>
      <c r="MB229" s="104"/>
      <c r="MC229" s="104"/>
      <c r="MD229" s="104"/>
      <c r="ME229" s="104"/>
      <c r="MF229" s="104"/>
      <c r="MG229" s="104"/>
      <c r="MH229" s="104"/>
    </row>
    <row r="230" spans="1:346" x14ac:dyDescent="0.25">
      <c r="A230" s="110" t="s">
        <v>478</v>
      </c>
      <c r="B230" s="101" t="s">
        <v>416</v>
      </c>
      <c r="C230" s="102"/>
      <c r="D230" s="102"/>
      <c r="E230" s="102"/>
      <c r="F230" s="102"/>
      <c r="G230" s="102"/>
      <c r="H230" s="102"/>
      <c r="I230" s="102"/>
      <c r="J230" s="103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3"/>
      <c r="AV230" s="114" t="str">
        <f t="shared" si="1235"/>
        <v>x</v>
      </c>
      <c r="AW230" s="114" t="str">
        <f t="shared" si="1236"/>
        <v>x</v>
      </c>
      <c r="AX230" s="111"/>
      <c r="AY230" s="111"/>
      <c r="AZ230" s="112" t="str">
        <f t="shared" ref="AZ230:AZ231" si="126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0" s="112" t="str">
        <f t="shared" ref="BA230:BA231" si="1262">HYPERLINK("http://wie-kann-ich-helfen.info/WoerterbuchAnalphabet_innen_%28c%29_Dagmar_Schmeelcke.pdf","x")</f>
        <v>x</v>
      </c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2" t="str">
        <f t="shared" si="1239"/>
        <v>x</v>
      </c>
      <c r="BS230" s="112"/>
      <c r="BT230" s="111"/>
      <c r="BU230" s="112" t="str">
        <f t="shared" ref="BU230:BU231" si="1263">HYPERLINK("https://s3-eu-west-1.amazonaws.com/lingolia/download/lingolia_daf.pdf","x")</f>
        <v>x</v>
      </c>
      <c r="BV230" s="112"/>
      <c r="BW230" s="112"/>
      <c r="BX230" s="112"/>
      <c r="BY230" s="112"/>
      <c r="BZ230" s="112" t="str">
        <f t="shared" si="1241"/>
        <v>x</v>
      </c>
      <c r="CA230" s="112" t="str">
        <f t="shared" si="1242"/>
        <v>x</v>
      </c>
      <c r="CB230" s="112" t="str">
        <f t="shared" si="1243"/>
        <v>x</v>
      </c>
      <c r="CC230" s="112"/>
      <c r="CD230" s="112"/>
      <c r="CE230" s="111"/>
      <c r="CF230" s="111"/>
      <c r="CG230" s="111"/>
      <c r="CH230" s="111"/>
      <c r="CI230" s="111"/>
      <c r="CJ230" s="112" t="str">
        <f t="shared" si="1244"/>
        <v>x</v>
      </c>
      <c r="CK230" s="112"/>
      <c r="CL230" s="112"/>
      <c r="CM230" s="112"/>
      <c r="CN230" s="112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2"/>
      <c r="CZ230" s="112"/>
      <c r="DA230" s="112"/>
      <c r="DB230" s="115"/>
      <c r="DC230" s="112"/>
      <c r="DD230" s="112"/>
      <c r="DE230" s="112" t="str">
        <f t="shared" si="1245"/>
        <v>x</v>
      </c>
      <c r="DF230" s="115" t="str">
        <f t="shared" si="1246"/>
        <v>x</v>
      </c>
      <c r="DG230" s="112" t="str">
        <f t="shared" si="1247"/>
        <v>x</v>
      </c>
      <c r="DH230" s="112" t="str">
        <f t="shared" si="1248"/>
        <v>x</v>
      </c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8"/>
      <c r="EP230" s="118"/>
      <c r="EQ230" s="111"/>
      <c r="ER230" s="111"/>
      <c r="ES230" s="111"/>
      <c r="ET230" s="111"/>
      <c r="EU230" s="111"/>
      <c r="EV230" s="112" t="str">
        <f t="shared" si="1249"/>
        <v>x</v>
      </c>
      <c r="EW230" s="111"/>
      <c r="EX230" s="111"/>
      <c r="EY230" s="111"/>
      <c r="EZ230" s="111"/>
      <c r="FA230" s="111"/>
      <c r="FB230" s="111"/>
      <c r="FC230" s="112" t="str">
        <f t="shared" si="1250"/>
        <v>x</v>
      </c>
      <c r="FD230" s="112" t="str">
        <f>HYPERLINK("http://sghanstedt.elbnetz.com/ueber-uns/","x")</f>
        <v>x</v>
      </c>
      <c r="FE230" s="111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1"/>
      <c r="FS230" s="111"/>
      <c r="FT230" s="111"/>
      <c r="FU230" s="111"/>
      <c r="FV230" s="111"/>
      <c r="FW230" s="111"/>
      <c r="FX230" s="111"/>
      <c r="FY230" s="111"/>
      <c r="FZ230" s="111"/>
      <c r="GA230" s="111"/>
      <c r="GB230" s="111"/>
      <c r="GC230" s="111"/>
      <c r="GD230" s="111"/>
      <c r="GE230" s="111"/>
      <c r="GF230" s="111"/>
      <c r="GG230" s="111"/>
      <c r="GH230" s="111"/>
      <c r="GI230" s="111"/>
      <c r="GJ230" s="111"/>
      <c r="GK230" s="111"/>
      <c r="GL230" s="111"/>
      <c r="GM230" s="111"/>
      <c r="GN230" s="111"/>
      <c r="GO230" s="111"/>
      <c r="GP230" s="111"/>
      <c r="GQ230" s="111"/>
      <c r="GR230" s="111"/>
      <c r="GS230" s="111"/>
      <c r="GT230" s="111"/>
      <c r="GU230" s="111"/>
      <c r="GV230" s="111"/>
      <c r="GW230" s="111"/>
      <c r="GX230" s="111"/>
      <c r="GY230" s="111"/>
      <c r="GZ230" s="111"/>
      <c r="HA230" s="111"/>
      <c r="HB230" s="112" t="str">
        <f t="shared" si="1251"/>
        <v>x</v>
      </c>
      <c r="HC230" s="112"/>
      <c r="HD230" s="112"/>
      <c r="HE230" s="112"/>
      <c r="HF230" s="112"/>
      <c r="HG230" s="112"/>
      <c r="HH230" s="112"/>
      <c r="HI230" s="112"/>
      <c r="HJ230" s="111"/>
      <c r="HK230" s="111"/>
      <c r="HL230" s="111"/>
      <c r="HM230" s="111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2" t="str">
        <f t="shared" si="1252"/>
        <v>x</v>
      </c>
      <c r="HY230" s="112" t="str">
        <f t="shared" si="1253"/>
        <v>x</v>
      </c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  <c r="IY230" s="111"/>
      <c r="IZ230" s="111"/>
      <c r="JA230" s="111"/>
      <c r="JB230" s="111"/>
      <c r="JC230" s="111"/>
      <c r="JD230" s="111"/>
      <c r="JE230" s="111"/>
      <c r="JF230" s="111"/>
      <c r="JG230" s="111"/>
      <c r="JH230" s="111"/>
      <c r="JI230" s="111"/>
      <c r="JJ230" s="111"/>
      <c r="JK230" s="111"/>
      <c r="JL230" s="111"/>
      <c r="JM230" s="111"/>
      <c r="JN230" s="111"/>
      <c r="JO230" s="111"/>
      <c r="JP230" s="111"/>
      <c r="JQ230" s="112" t="str">
        <f t="shared" ref="JQ230:JQ233" si="1264">HYPERLINK("http://www.ibla-germany.de/merkblaetter.php","x")</f>
        <v>x</v>
      </c>
      <c r="JR230" s="111"/>
      <c r="JS230" s="111"/>
      <c r="JT230" s="111"/>
      <c r="JU230" s="111"/>
      <c r="JV230" s="111"/>
      <c r="JW230" s="111"/>
      <c r="JX230" s="112"/>
      <c r="JY230" s="112"/>
      <c r="JZ230" s="112"/>
      <c r="KA230" s="112"/>
      <c r="KB230" s="111"/>
      <c r="KC230" s="111"/>
      <c r="KD230" s="111"/>
      <c r="KE230" s="111"/>
      <c r="KF230" s="112"/>
      <c r="KG230" s="112"/>
      <c r="KH230" s="112"/>
      <c r="KI230" s="112"/>
      <c r="KJ230" s="112"/>
      <c r="KK230" s="112"/>
      <c r="KL230" s="112"/>
      <c r="KM230" s="112"/>
      <c r="KN230" s="112"/>
      <c r="KO230" s="112"/>
      <c r="KP230" s="112"/>
      <c r="KQ230" s="112"/>
      <c r="KR230" s="112"/>
      <c r="KS230" s="112"/>
      <c r="KT230" s="112"/>
      <c r="KU230" s="112"/>
      <c r="KV230" s="112"/>
      <c r="KW230" s="112"/>
      <c r="KX230" s="112"/>
      <c r="KY230" s="112"/>
      <c r="KZ230" s="112"/>
      <c r="LA230" s="112"/>
      <c r="LB230" s="111"/>
      <c r="LC230" s="111"/>
      <c r="LD230" s="111"/>
      <c r="LE230" s="111"/>
      <c r="LF230" s="111"/>
      <c r="LG230" s="111"/>
      <c r="LH230" s="111"/>
      <c r="LI230" s="111"/>
      <c r="LJ230" s="111"/>
      <c r="LK230" s="111"/>
      <c r="LL230" s="111"/>
      <c r="LM230" s="111"/>
      <c r="LN230" s="111"/>
      <c r="LO230" s="111"/>
      <c r="LP230" s="111"/>
      <c r="LQ230" s="111"/>
      <c r="LR230" s="111"/>
      <c r="LS230" s="111"/>
      <c r="LT230" s="111"/>
      <c r="LU230" s="111"/>
      <c r="LV230" s="111"/>
      <c r="LW230" s="111"/>
      <c r="LX230" s="111"/>
      <c r="LY230" s="111"/>
      <c r="LZ230" s="111"/>
      <c r="MA230" s="111"/>
      <c r="MB230" s="111"/>
      <c r="MC230" s="111"/>
      <c r="MD230" s="111"/>
      <c r="ME230" s="111"/>
      <c r="MF230" s="111"/>
      <c r="MG230" s="111"/>
      <c r="MH230" s="111"/>
    </row>
    <row r="231" spans="1:346" x14ac:dyDescent="0.25">
      <c r="A231" s="110" t="s">
        <v>478</v>
      </c>
      <c r="B231" s="101" t="s">
        <v>76</v>
      </c>
      <c r="C231" s="102"/>
      <c r="D231" s="102"/>
      <c r="E231" s="102"/>
      <c r="F231" s="102"/>
      <c r="G231" s="102"/>
      <c r="H231" s="102"/>
      <c r="I231" s="102"/>
      <c r="J231" s="103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3"/>
      <c r="AV231" s="114" t="str">
        <f t="shared" si="1235"/>
        <v>x</v>
      </c>
      <c r="AW231" s="114" t="str">
        <f t="shared" si="1236"/>
        <v>x</v>
      </c>
      <c r="AX231" s="111"/>
      <c r="AY231" s="111"/>
      <c r="AZ231" s="112" t="str">
        <f t="shared" si="1261"/>
        <v>x</v>
      </c>
      <c r="BA231" s="112" t="str">
        <f t="shared" si="1262"/>
        <v>x</v>
      </c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2" t="str">
        <f t="shared" si="1239"/>
        <v>x</v>
      </c>
      <c r="BS231" s="112"/>
      <c r="BT231" s="111"/>
      <c r="BU231" s="112" t="str">
        <f t="shared" si="1263"/>
        <v>x</v>
      </c>
      <c r="BV231" s="112"/>
      <c r="BW231" s="112"/>
      <c r="BX231" s="112"/>
      <c r="BY231" s="112"/>
      <c r="BZ231" s="112" t="str">
        <f t="shared" si="1241"/>
        <v>x</v>
      </c>
      <c r="CA231" s="112" t="str">
        <f t="shared" si="1242"/>
        <v>x</v>
      </c>
      <c r="CB231" s="112" t="str">
        <f t="shared" si="1243"/>
        <v>x</v>
      </c>
      <c r="CC231" s="112"/>
      <c r="CD231" s="112"/>
      <c r="CE231" s="111"/>
      <c r="CF231" s="111"/>
      <c r="CG231" s="111"/>
      <c r="CH231" s="111"/>
      <c r="CI231" s="111"/>
      <c r="CJ231" s="112" t="str">
        <f t="shared" si="1244"/>
        <v>x</v>
      </c>
      <c r="CK231" s="112"/>
      <c r="CL231" s="112"/>
      <c r="CM231" s="112"/>
      <c r="CN231" s="112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2"/>
      <c r="CZ231" s="112"/>
      <c r="DA231" s="112"/>
      <c r="DB231" s="115"/>
      <c r="DC231" s="112"/>
      <c r="DD231" s="112"/>
      <c r="DE231" s="112" t="str">
        <f t="shared" si="1245"/>
        <v>x</v>
      </c>
      <c r="DF231" s="115" t="str">
        <f t="shared" si="1246"/>
        <v>x</v>
      </c>
      <c r="DG231" s="112" t="str">
        <f t="shared" si="1247"/>
        <v>x</v>
      </c>
      <c r="DH231" s="112" t="str">
        <f t="shared" si="1248"/>
        <v>x</v>
      </c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8"/>
      <c r="EP231" s="118"/>
      <c r="EQ231" s="111"/>
      <c r="ER231" s="111"/>
      <c r="ES231" s="111"/>
      <c r="ET231" s="111"/>
      <c r="EU231" s="111"/>
      <c r="EV231" s="112" t="str">
        <f t="shared" si="1249"/>
        <v>x</v>
      </c>
      <c r="EW231" s="111"/>
      <c r="EX231" s="111"/>
      <c r="EY231" s="111"/>
      <c r="EZ231" s="111"/>
      <c r="FA231" s="111"/>
      <c r="FB231" s="111"/>
      <c r="FC231" s="112" t="str">
        <f t="shared" si="1250"/>
        <v>x</v>
      </c>
      <c r="FD231" s="112" t="str">
        <f>HYPERLINK("http://sghanstedt.elbnetz.com/ueber-uns/","x")</f>
        <v>x</v>
      </c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2" t="str">
        <f t="shared" si="1251"/>
        <v>x</v>
      </c>
      <c r="HC231" s="112"/>
      <c r="HD231" s="112"/>
      <c r="HE231" s="112"/>
      <c r="HF231" s="112"/>
      <c r="HG231" s="112"/>
      <c r="HH231" s="112"/>
      <c r="HI231" s="112"/>
      <c r="HJ231" s="111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2" t="str">
        <f t="shared" si="1252"/>
        <v>x</v>
      </c>
      <c r="HY231" s="112" t="str">
        <f t="shared" si="1253"/>
        <v>x</v>
      </c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1"/>
      <c r="JF231" s="111"/>
      <c r="JG231" s="111"/>
      <c r="JH231" s="111"/>
      <c r="JI231" s="111"/>
      <c r="JJ231" s="111"/>
      <c r="JK231" s="111"/>
      <c r="JL231" s="111"/>
      <c r="JM231" s="111"/>
      <c r="JN231" s="111"/>
      <c r="JO231" s="111"/>
      <c r="JP231" s="111"/>
      <c r="JQ231" s="112" t="str">
        <f t="shared" si="1264"/>
        <v>x</v>
      </c>
      <c r="JR231" s="111"/>
      <c r="JS231" s="111"/>
      <c r="JT231" s="111"/>
      <c r="JU231" s="111"/>
      <c r="JV231" s="111"/>
      <c r="JW231" s="111"/>
      <c r="JX231" s="112"/>
      <c r="JY231" s="112"/>
      <c r="JZ231" s="112"/>
      <c r="KA231" s="112"/>
      <c r="KB231" s="111"/>
      <c r="KC231" s="111"/>
      <c r="KD231" s="111"/>
      <c r="KE231" s="111"/>
      <c r="KF231" s="112"/>
      <c r="KG231" s="112"/>
      <c r="KH231" s="112"/>
      <c r="KI231" s="112"/>
      <c r="KJ231" s="112"/>
      <c r="KK231" s="112"/>
      <c r="KL231" s="112"/>
      <c r="KM231" s="112"/>
      <c r="KN231" s="112"/>
      <c r="KO231" s="112"/>
      <c r="KP231" s="112"/>
      <c r="KQ231" s="112"/>
      <c r="KR231" s="112"/>
      <c r="KS231" s="112"/>
      <c r="KT231" s="112"/>
      <c r="KU231" s="112"/>
      <c r="KV231" s="112"/>
      <c r="KW231" s="112"/>
      <c r="KX231" s="112"/>
      <c r="KY231" s="112"/>
      <c r="KZ231" s="112"/>
      <c r="LA231" s="112"/>
      <c r="LB231" s="111"/>
      <c r="LC231" s="111"/>
      <c r="LD231" s="111"/>
      <c r="LE231" s="111"/>
      <c r="LF231" s="111"/>
      <c r="LG231" s="111"/>
      <c r="LH231" s="111"/>
      <c r="LI231" s="111"/>
      <c r="LJ231" s="111"/>
      <c r="LK231" s="111"/>
      <c r="LL231" s="111"/>
      <c r="LM231" s="111"/>
      <c r="LN231" s="111"/>
      <c r="LO231" s="111"/>
      <c r="LP231" s="111"/>
      <c r="LQ231" s="111"/>
      <c r="LR231" s="111"/>
      <c r="LS231" s="111"/>
      <c r="LT231" s="111"/>
      <c r="LU231" s="111"/>
      <c r="LV231" s="111"/>
      <c r="LW231" s="111"/>
      <c r="LX231" s="111"/>
      <c r="LY231" s="111"/>
      <c r="LZ231" s="111"/>
      <c r="MA231" s="111"/>
      <c r="MB231" s="111"/>
      <c r="MC231" s="111"/>
      <c r="MD231" s="111"/>
      <c r="ME231" s="111"/>
      <c r="MF231" s="111"/>
      <c r="MG231" s="111"/>
      <c r="MH231" s="111"/>
    </row>
    <row r="232" spans="1:346" x14ac:dyDescent="0.25">
      <c r="A232" s="101" t="s">
        <v>479</v>
      </c>
      <c r="B232" s="102"/>
      <c r="C232" s="102"/>
      <c r="D232" s="102"/>
      <c r="E232" s="102"/>
      <c r="F232" s="102"/>
      <c r="G232" s="102"/>
      <c r="H232" s="102"/>
      <c r="I232" s="102"/>
      <c r="J232" s="10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6"/>
      <c r="AV232" s="106"/>
      <c r="AW232" s="106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9"/>
      <c r="EP232" s="109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5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4"/>
      <c r="JJ232" s="104"/>
      <c r="JK232" s="104"/>
      <c r="JL232" s="104"/>
      <c r="JM232" s="104"/>
      <c r="JN232" s="104"/>
      <c r="JO232" s="104"/>
      <c r="JP232" s="104"/>
      <c r="JQ232" s="104"/>
      <c r="JR232" s="104"/>
      <c r="JS232" s="104"/>
      <c r="JT232" s="104"/>
      <c r="JU232" s="104"/>
      <c r="JV232" s="104"/>
      <c r="JW232" s="104"/>
      <c r="JX232" s="104"/>
      <c r="JY232" s="104"/>
      <c r="JZ232" s="104"/>
      <c r="KA232" s="104"/>
      <c r="KB232" s="104"/>
      <c r="KC232" s="104"/>
      <c r="KD232" s="104"/>
      <c r="KE232" s="104"/>
      <c r="KF232" s="104"/>
      <c r="KG232" s="104"/>
      <c r="KH232" s="104"/>
      <c r="KI232" s="104"/>
      <c r="KJ232" s="104"/>
      <c r="KK232" s="104"/>
      <c r="KL232" s="104"/>
      <c r="KM232" s="104"/>
      <c r="KN232" s="104"/>
      <c r="KO232" s="104"/>
      <c r="KP232" s="104"/>
      <c r="KQ232" s="104"/>
      <c r="KR232" s="104"/>
      <c r="KS232" s="104"/>
      <c r="KT232" s="104"/>
      <c r="KU232" s="104"/>
      <c r="KV232" s="104"/>
      <c r="KW232" s="104"/>
      <c r="KX232" s="104"/>
      <c r="KY232" s="104"/>
      <c r="KZ232" s="104"/>
      <c r="LA232" s="104"/>
      <c r="LB232" s="104"/>
      <c r="LC232" s="104"/>
      <c r="LD232" s="104"/>
      <c r="LE232" s="104"/>
      <c r="LF232" s="104"/>
      <c r="LG232" s="104"/>
      <c r="LH232" s="104"/>
      <c r="LI232" s="104"/>
      <c r="LJ232" s="104"/>
      <c r="LK232" s="104"/>
      <c r="LL232" s="104"/>
      <c r="LM232" s="104"/>
      <c r="LN232" s="104"/>
      <c r="LO232" s="104"/>
      <c r="LP232" s="104"/>
      <c r="LQ232" s="104"/>
      <c r="LR232" s="104"/>
      <c r="LS232" s="104"/>
      <c r="LT232" s="104"/>
      <c r="LU232" s="104"/>
      <c r="LV232" s="104"/>
      <c r="LW232" s="104"/>
      <c r="LX232" s="104"/>
      <c r="LY232" s="104"/>
      <c r="LZ232" s="104"/>
      <c r="MA232" s="104"/>
      <c r="MB232" s="104"/>
      <c r="MC232" s="104"/>
      <c r="MD232" s="104"/>
      <c r="ME232" s="104"/>
      <c r="MF232" s="104"/>
      <c r="MG232" s="104"/>
      <c r="MH232" s="104"/>
    </row>
    <row r="233" spans="1:346" x14ac:dyDescent="0.25">
      <c r="A233" s="110" t="s">
        <v>479</v>
      </c>
      <c r="B233" s="101" t="s">
        <v>76</v>
      </c>
      <c r="C233" s="102"/>
      <c r="D233" s="102"/>
      <c r="E233" s="102"/>
      <c r="F233" s="102"/>
      <c r="G233" s="102"/>
      <c r="H233" s="102"/>
      <c r="I233" s="102"/>
      <c r="J233" s="103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3"/>
      <c r="AV233" s="114" t="str">
        <f t="shared" si="1235"/>
        <v>x</v>
      </c>
      <c r="AW233" s="114" t="str">
        <f t="shared" si="1236"/>
        <v>x</v>
      </c>
      <c r="AX233" s="111"/>
      <c r="AY233" s="111"/>
      <c r="AZ233" s="112" t="str">
        <f t="shared" ref="AZ233" si="126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3" s="112" t="str">
        <f t="shared" ref="BA233" si="1266">HYPERLINK("http://wie-kann-ich-helfen.info/WoerterbuchAnalphabet_innen_%28c%29_Dagmar_Schmeelcke.pdf","x")</f>
        <v>x</v>
      </c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2" t="str">
        <f t="shared" si="1239"/>
        <v>x</v>
      </c>
      <c r="BS233" s="112"/>
      <c r="BT233" s="111"/>
      <c r="BU233" s="112" t="str">
        <f t="shared" ref="BU233" si="1267">HYPERLINK("https://s3-eu-west-1.amazonaws.com/lingolia/download/lingolia_daf.pdf","x")</f>
        <v>x</v>
      </c>
      <c r="BV233" s="112"/>
      <c r="BW233" s="112"/>
      <c r="BX233" s="112"/>
      <c r="BY233" s="112"/>
      <c r="BZ233" s="112" t="str">
        <f t="shared" si="1241"/>
        <v>x</v>
      </c>
      <c r="CA233" s="112" t="str">
        <f t="shared" si="1242"/>
        <v>x</v>
      </c>
      <c r="CB233" s="112" t="str">
        <f t="shared" si="1243"/>
        <v>x</v>
      </c>
      <c r="CC233" s="112"/>
      <c r="CD233" s="112"/>
      <c r="CE233" s="111"/>
      <c r="CF233" s="111"/>
      <c r="CG233" s="111"/>
      <c r="CH233" s="111"/>
      <c r="CI233" s="111"/>
      <c r="CJ233" s="112" t="str">
        <f t="shared" si="1244"/>
        <v>x</v>
      </c>
      <c r="CK233" s="112"/>
      <c r="CL233" s="112"/>
      <c r="CM233" s="112"/>
      <c r="CN233" s="112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2"/>
      <c r="CZ233" s="112"/>
      <c r="DA233" s="112"/>
      <c r="DB233" s="115"/>
      <c r="DC233" s="112"/>
      <c r="DD233" s="112"/>
      <c r="DE233" s="112" t="str">
        <f t="shared" si="1245"/>
        <v>x</v>
      </c>
      <c r="DF233" s="115" t="str">
        <f t="shared" si="1246"/>
        <v>x</v>
      </c>
      <c r="DG233" s="112" t="str">
        <f t="shared" si="1247"/>
        <v>x</v>
      </c>
      <c r="DH233" s="112" t="str">
        <f t="shared" si="1248"/>
        <v>x</v>
      </c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8"/>
      <c r="EP233" s="118"/>
      <c r="EQ233" s="111"/>
      <c r="ER233" s="111"/>
      <c r="ES233" s="111"/>
      <c r="ET233" s="111"/>
      <c r="EU233" s="111"/>
      <c r="EV233" s="112" t="str">
        <f t="shared" si="1249"/>
        <v>x</v>
      </c>
      <c r="EW233" s="111"/>
      <c r="EX233" s="111"/>
      <c r="EY233" s="111"/>
      <c r="EZ233" s="111"/>
      <c r="FA233" s="111"/>
      <c r="FB233" s="111"/>
      <c r="FC233" s="112" t="str">
        <f t="shared" si="1250"/>
        <v>x</v>
      </c>
      <c r="FD233" s="112" t="str">
        <f>HYPERLINK("http://sghanstedt.elbnetz.com/ueber-uns/","x")</f>
        <v>x</v>
      </c>
      <c r="FE233" s="111"/>
      <c r="FF233" s="111"/>
      <c r="FG233" s="111"/>
      <c r="FH233" s="111"/>
      <c r="FI233" s="111"/>
      <c r="FJ233" s="111"/>
      <c r="FK233" s="111"/>
      <c r="FL233" s="111"/>
      <c r="FM233" s="111"/>
      <c r="FN233" s="111"/>
      <c r="FO233" s="111"/>
      <c r="FP233" s="111"/>
      <c r="FQ233" s="111"/>
      <c r="FR233" s="111"/>
      <c r="FS233" s="111"/>
      <c r="FT233" s="111"/>
      <c r="FU233" s="111"/>
      <c r="FV233" s="111"/>
      <c r="FW233" s="111"/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1"/>
      <c r="GI233" s="111"/>
      <c r="GJ233" s="111"/>
      <c r="GK233" s="111"/>
      <c r="GL233" s="111"/>
      <c r="GM233" s="111"/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2" t="str">
        <f t="shared" si="1251"/>
        <v>x</v>
      </c>
      <c r="HC233" s="112"/>
      <c r="HD233" s="112"/>
      <c r="HE233" s="112"/>
      <c r="HF233" s="112"/>
      <c r="HG233" s="112"/>
      <c r="HH233" s="112"/>
      <c r="HI233" s="112"/>
      <c r="HJ233" s="111"/>
      <c r="HK233" s="111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2" t="str">
        <f t="shared" si="1252"/>
        <v>x</v>
      </c>
      <c r="HY233" s="112" t="str">
        <f t="shared" si="1253"/>
        <v>x</v>
      </c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  <c r="IY233" s="111"/>
      <c r="IZ233" s="111"/>
      <c r="JA233" s="111"/>
      <c r="JB233" s="111"/>
      <c r="JC233" s="111"/>
      <c r="JD233" s="111"/>
      <c r="JE233" s="111"/>
      <c r="JF233" s="111"/>
      <c r="JG233" s="111"/>
      <c r="JH233" s="111"/>
      <c r="JI233" s="111"/>
      <c r="JJ233" s="111"/>
      <c r="JK233" s="111"/>
      <c r="JL233" s="111"/>
      <c r="JM233" s="111"/>
      <c r="JN233" s="111"/>
      <c r="JO233" s="111"/>
      <c r="JP233" s="111"/>
      <c r="JQ233" s="112" t="str">
        <f t="shared" si="1264"/>
        <v>x</v>
      </c>
      <c r="JR233" s="111"/>
      <c r="JS233" s="111"/>
      <c r="JT233" s="111"/>
      <c r="JU233" s="111"/>
      <c r="JV233" s="111"/>
      <c r="JW233" s="111"/>
      <c r="JX233" s="112"/>
      <c r="JY233" s="112"/>
      <c r="JZ233" s="112"/>
      <c r="KA233" s="112"/>
      <c r="KB233" s="111"/>
      <c r="KC233" s="111"/>
      <c r="KD233" s="111"/>
      <c r="KE233" s="111"/>
      <c r="KF233" s="112"/>
      <c r="KG233" s="112"/>
      <c r="KH233" s="112"/>
      <c r="KI233" s="112"/>
      <c r="KJ233" s="112"/>
      <c r="KK233" s="112"/>
      <c r="KL233" s="112"/>
      <c r="KM233" s="112"/>
      <c r="KN233" s="112"/>
      <c r="KO233" s="112"/>
      <c r="KP233" s="112"/>
      <c r="KQ233" s="112"/>
      <c r="KR233" s="112"/>
      <c r="KS233" s="112"/>
      <c r="KT233" s="112"/>
      <c r="KU233" s="112"/>
      <c r="KV233" s="112"/>
      <c r="KW233" s="112"/>
      <c r="KX233" s="112"/>
      <c r="KY233" s="112"/>
      <c r="KZ233" s="112"/>
      <c r="LA233" s="112"/>
      <c r="LB233" s="111"/>
      <c r="LC233" s="111"/>
      <c r="LD233" s="111"/>
      <c r="LE233" s="111"/>
      <c r="LF233" s="111"/>
      <c r="LG233" s="111"/>
      <c r="LH233" s="111"/>
      <c r="LI233" s="111"/>
      <c r="LJ233" s="111"/>
      <c r="LK233" s="111"/>
      <c r="LL233" s="111"/>
      <c r="LM233" s="111"/>
      <c r="LN233" s="111"/>
      <c r="LO233" s="111"/>
      <c r="LP233" s="111"/>
      <c r="LQ233" s="111"/>
      <c r="LR233" s="111"/>
      <c r="LS233" s="111"/>
      <c r="LT233" s="111"/>
      <c r="LU233" s="111"/>
      <c r="LV233" s="111"/>
      <c r="LW233" s="111"/>
      <c r="LX233" s="111"/>
      <c r="LY233" s="111"/>
      <c r="LZ233" s="111"/>
      <c r="MA233" s="111"/>
      <c r="MB233" s="111"/>
      <c r="MC233" s="111"/>
      <c r="MD233" s="111"/>
      <c r="ME233" s="111"/>
      <c r="MF233" s="111"/>
      <c r="MG233" s="111"/>
      <c r="MH233" s="111"/>
    </row>
    <row r="234" spans="1:346" x14ac:dyDescent="0.25">
      <c r="A234" s="101" t="s">
        <v>39</v>
      </c>
      <c r="B234" s="102"/>
      <c r="C234" s="102"/>
      <c r="D234" s="102"/>
      <c r="E234" s="102"/>
      <c r="F234" s="102"/>
      <c r="G234" s="102"/>
      <c r="H234" s="102"/>
      <c r="I234" s="102"/>
      <c r="J234" s="103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6"/>
      <c r="AV234" s="106"/>
      <c r="AW234" s="106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9"/>
      <c r="EP234" s="109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5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4"/>
      <c r="JK234" s="104"/>
      <c r="JL234" s="104"/>
      <c r="JM234" s="104"/>
      <c r="JN234" s="104"/>
      <c r="JO234" s="104"/>
      <c r="JP234" s="104"/>
      <c r="JQ234" s="104"/>
      <c r="JR234" s="104"/>
      <c r="JS234" s="104"/>
      <c r="JT234" s="104"/>
      <c r="JU234" s="104"/>
      <c r="JV234" s="104"/>
      <c r="JW234" s="104"/>
      <c r="JX234" s="104"/>
      <c r="JY234" s="104"/>
      <c r="JZ234" s="104"/>
      <c r="KA234" s="104"/>
      <c r="KB234" s="104"/>
      <c r="KC234" s="104"/>
      <c r="KD234" s="104"/>
      <c r="KE234" s="104"/>
      <c r="KF234" s="104"/>
      <c r="KG234" s="104"/>
      <c r="KH234" s="104"/>
      <c r="KI234" s="104"/>
      <c r="KJ234" s="104"/>
      <c r="KK234" s="104"/>
      <c r="KL234" s="104"/>
      <c r="KM234" s="104"/>
      <c r="KN234" s="104"/>
      <c r="KO234" s="104"/>
      <c r="KP234" s="104"/>
      <c r="KQ234" s="104"/>
      <c r="KR234" s="104"/>
      <c r="KS234" s="104"/>
      <c r="KT234" s="104"/>
      <c r="KU234" s="104"/>
      <c r="KV234" s="104"/>
      <c r="KW234" s="104"/>
      <c r="KX234" s="104"/>
      <c r="KY234" s="104"/>
      <c r="KZ234" s="104"/>
      <c r="LA234" s="104"/>
      <c r="LB234" s="104"/>
      <c r="LC234" s="104"/>
      <c r="LD234" s="104"/>
      <c r="LE234" s="104"/>
      <c r="LF234" s="104"/>
      <c r="LG234" s="104"/>
      <c r="LH234" s="104"/>
      <c r="LI234" s="104"/>
      <c r="LJ234" s="104"/>
      <c r="LK234" s="104"/>
      <c r="LL234" s="104"/>
      <c r="LM234" s="104"/>
      <c r="LN234" s="104"/>
      <c r="LO234" s="104"/>
      <c r="LP234" s="104"/>
      <c r="LQ234" s="104"/>
      <c r="LR234" s="104"/>
      <c r="LS234" s="104"/>
      <c r="LT234" s="104"/>
      <c r="LU234" s="104"/>
      <c r="LV234" s="104"/>
      <c r="LW234" s="104"/>
      <c r="LX234" s="104"/>
      <c r="LY234" s="104"/>
      <c r="LZ234" s="104"/>
      <c r="MA234" s="104"/>
      <c r="MB234" s="104"/>
      <c r="MC234" s="104"/>
      <c r="MD234" s="104"/>
      <c r="ME234" s="104"/>
      <c r="MF234" s="104"/>
      <c r="MG234" s="104"/>
      <c r="MH234" s="104"/>
    </row>
    <row r="235" spans="1:346" x14ac:dyDescent="0.25">
      <c r="A235" s="110" t="s">
        <v>39</v>
      </c>
      <c r="B235" s="101" t="s">
        <v>66</v>
      </c>
      <c r="C235" s="102"/>
      <c r="D235" s="102"/>
      <c r="E235" s="102"/>
      <c r="F235" s="102"/>
      <c r="G235" s="102"/>
      <c r="H235" s="102"/>
      <c r="I235" s="102"/>
      <c r="J235" s="103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3"/>
      <c r="AV235" s="114" t="str">
        <f t="shared" ref="AV235:AV238" si="1268">HYPERLINK("http://sab.landtag.sachsen.de/dokumente/landtagskurier/SAB_DeutschLernen_DinA5_WEB141115.pdf","x")</f>
        <v>x</v>
      </c>
      <c r="AW235" s="114" t="str">
        <f t="shared" ref="AW235:AW238" si="1269">HYPERLINK("http://sab.landtag.sachsen.de/dokumente/landtagskurier/SAB_PL_Lernposter_WEB091115.pdf","x")</f>
        <v>x</v>
      </c>
      <c r="AX235" s="111"/>
      <c r="AY235" s="111"/>
      <c r="AZ235" s="112" t="str">
        <f t="shared" ref="AZ235:AZ238" si="127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5" s="112" t="str">
        <f t="shared" ref="BA235:BA238" si="1271">HYPERLINK("http://wie-kann-ich-helfen.info/WoerterbuchAnalphabet_innen_%28c%29_Dagmar_Schmeelcke.pdf","x")</f>
        <v>x</v>
      </c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2" t="str">
        <f t="shared" ref="BR235:BR238" si="1272">HYPERLINK("http://www.goethe.de/lrn/prj/wnd/deu/lti/deindex.htm#13322010","x")</f>
        <v>x</v>
      </c>
      <c r="BS235" s="112"/>
      <c r="BT235" s="111"/>
      <c r="BU235" s="112" t="str">
        <f t="shared" ref="BU235:BU238" si="1273">HYPERLINK("https://s3-eu-west-1.amazonaws.com/lingolia/download/lingolia_daf.pdf","x")</f>
        <v>x</v>
      </c>
      <c r="BV235" s="112" t="str">
        <f>HYPERLINK("http://www.welcomegrooves.de/wp-content/uploads/2015/10/welcomegrooves_DE-SOMALI.pdf","x")</f>
        <v>x</v>
      </c>
      <c r="BW235" s="112"/>
      <c r="BX235" s="112"/>
      <c r="BY235" s="112"/>
      <c r="BZ235" s="112" t="str">
        <f t="shared" ref="BZ235:BZ238" si="1274">HYPERLINK("http://www.hueber.de/shared/uebungen/schritte-plus","x")</f>
        <v>x</v>
      </c>
      <c r="CA235" s="112" t="str">
        <f t="shared" ref="CA235:CA238" si="1275">HYPERLINK("https://www.hueber.de/shared/uebungen/menschen-hier/ab/a1-1/menu.html","x")</f>
        <v>x</v>
      </c>
      <c r="CB235" s="112" t="str">
        <f t="shared" ref="CB235:CB238" si="1276">HYPERLINK("http://www.goethe-verlag.com/DE/","x")</f>
        <v>x</v>
      </c>
      <c r="CC235" s="112"/>
      <c r="CD235" s="112"/>
      <c r="CE235" s="111"/>
      <c r="CF235" s="111"/>
      <c r="CG235" s="111"/>
      <c r="CH235" s="111"/>
      <c r="CI235" s="111"/>
      <c r="CJ235" s="112" t="str">
        <f t="shared" ref="CJ235:CJ238" si="1277">HYPERLINK("http://www.e-migrantinnen.de/index.php?de_wichtige-links","x")</f>
        <v>x</v>
      </c>
      <c r="CK235" s="112"/>
      <c r="CL235" s="112"/>
      <c r="CM235" s="112"/>
      <c r="CN235" s="112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2"/>
      <c r="CZ235" s="112" t="str">
        <f t="shared" ref="CZ235:CZ238" si="1278">HYPERLINK("http://sichere-orte-schaffen.de/wp-content/uploads/Minibrosch_Fluechtlinge_multilang.pdf","x")</f>
        <v>x</v>
      </c>
      <c r="DA235" s="112"/>
      <c r="DB235" s="115"/>
      <c r="DC235" s="112"/>
      <c r="DD235" s="112"/>
      <c r="DE235" s="112" t="str">
        <f t="shared" ref="DE235:DE238" si="1279">HYPERLINK("http://fi-lohmar-siegburg.de/data/documents/130-37_Inklusion_im_Anfangsunterricht_-_Poster_mit_Situationsbildern.pdf","x")</f>
        <v>x</v>
      </c>
      <c r="DF235" s="115" t="str">
        <f t="shared" ref="DF235:DF238" si="1280">HYPERLINK("http://s3-eu-west-1.amazonaws.com/lingolia/calendar/2016/lingolia_2016_de.pdf","x")</f>
        <v>x</v>
      </c>
      <c r="DG235" s="112" t="str">
        <f t="shared" ref="DG235:DG238" si="1281">HYPERLINK("http://www.bibliomedia.ch/de/angebote/img/Wimmelbild.jpg","x")</f>
        <v>x</v>
      </c>
      <c r="DH235" s="112" t="str">
        <f t="shared" ref="DH235:DH238" si="1282">HYPERLINK("http://www.bibliomedia.ch/de/angebote/dokumente/Wimmelbild_Fehler.jpg","x")</f>
        <v>x</v>
      </c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8"/>
      <c r="EP235" s="118"/>
      <c r="EQ235" s="111"/>
      <c r="ER235" s="111"/>
      <c r="ES235" s="111"/>
      <c r="ET235" s="111"/>
      <c r="EU235" s="111"/>
      <c r="EV235" s="112" t="str">
        <f t="shared" ref="EV235:EV238" si="1283">HYPERLINK("http://www.lak-rlp.de/fileadmin/redakteure/pdf/download/Piktogramme_Dosieretiketten_AoG.pdf","x")</f>
        <v>x</v>
      </c>
      <c r="EW235" s="111"/>
      <c r="EX235" s="111"/>
      <c r="EY235" s="111"/>
      <c r="EZ235" s="111"/>
      <c r="FA235" s="111"/>
      <c r="FB235" s="111"/>
      <c r="FC235" s="112" t="str">
        <f t="shared" ref="FC235:FC238" si="1284">HYPERLINK("http://mige.ix-tech.de/index.php?id=241","x")</f>
        <v>x</v>
      </c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2" t="str">
        <f t="shared" si="1251"/>
        <v>x</v>
      </c>
      <c r="HC235" s="111"/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2" t="str">
        <f t="shared" ref="HX235:HX238" si="1285">HYPERLINK("http://www.selfhelpfortrauma.org/","x")</f>
        <v>x</v>
      </c>
      <c r="HY235" s="112" t="str">
        <f t="shared" ref="HY235:HY238" si="1286">HYPERLINK("http://peacefulheart.se/wp-content/uploads/2014/12/Resolving-Yesterday-20141201-Self-Tapping.pdf","x")</f>
        <v>x</v>
      </c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2" t="str">
        <f>HYPERLINK("http://www.bamf.de/SharedDocs/Anlagen/DE/Publikationen/Flyer/flyer-erstorientierung-asylsuchende_somali.pdf?__blob=publicationFile","x")</f>
        <v>x</v>
      </c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1"/>
      <c r="IZ235" s="112" t="str">
        <f t="shared" ref="IZ235:IZ238" si="1287">HYPERLINK("http://fluechtlingsrat-bw.de/informationen-fuer-fluechtlinge.html","x")</f>
        <v>x</v>
      </c>
      <c r="JA235" s="111"/>
      <c r="JB235" s="111"/>
      <c r="JC235" s="111"/>
      <c r="JD235" s="111"/>
      <c r="JE235" s="111"/>
      <c r="JF235" s="111"/>
      <c r="JG235" s="111"/>
      <c r="JH235" s="111"/>
      <c r="JI235" s="111"/>
      <c r="JJ235" s="111"/>
      <c r="JK235" s="111"/>
      <c r="JL235" s="111"/>
      <c r="JM235" s="111"/>
      <c r="JN235" s="111"/>
      <c r="JO235" s="111"/>
      <c r="JP235" s="111"/>
      <c r="JQ235" s="111"/>
      <c r="JR235" s="111"/>
      <c r="JS235" s="112" t="str">
        <f>HYPERLINK("http://www.b-umf.de/images/willkommen/wkb-soomali.pdf","x")</f>
        <v>x</v>
      </c>
      <c r="JT235" s="111"/>
      <c r="JU235" s="111"/>
      <c r="JV235" s="111"/>
      <c r="JW235" s="111"/>
      <c r="JX235" s="111"/>
      <c r="JY235" s="111"/>
      <c r="JZ235" s="111"/>
      <c r="KA235" s="111"/>
      <c r="KB235" s="111"/>
      <c r="KC235" s="111"/>
      <c r="KD235" s="111"/>
      <c r="KE235" s="112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</row>
    <row r="236" spans="1:346" x14ac:dyDescent="0.25">
      <c r="A236" s="110" t="s">
        <v>39</v>
      </c>
      <c r="B236" s="101" t="s">
        <v>48</v>
      </c>
      <c r="C236" s="102"/>
      <c r="D236" s="102"/>
      <c r="E236" s="102"/>
      <c r="F236" s="102"/>
      <c r="G236" s="102"/>
      <c r="H236" s="102"/>
      <c r="I236" s="102"/>
      <c r="J236" s="103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3"/>
      <c r="AV236" s="114" t="str">
        <f t="shared" si="1268"/>
        <v>x</v>
      </c>
      <c r="AW236" s="114" t="str">
        <f t="shared" si="1269"/>
        <v>x</v>
      </c>
      <c r="AX236" s="111"/>
      <c r="AY236" s="111"/>
      <c r="AZ236" s="112" t="str">
        <f t="shared" si="1270"/>
        <v>x</v>
      </c>
      <c r="BA236" s="112" t="str">
        <f t="shared" si="1271"/>
        <v>x</v>
      </c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2" t="str">
        <f t="shared" si="1272"/>
        <v>x</v>
      </c>
      <c r="BS236" s="112"/>
      <c r="BT236" s="111"/>
      <c r="BU236" s="112" t="str">
        <f t="shared" si="1273"/>
        <v>x</v>
      </c>
      <c r="BV236" s="112" t="str">
        <f t="shared" ref="BV236:BV238" si="1288">HYPERLINK("http://www.welcomegrooves.de/wp-content/uploads/2015/10/welcomegrooves_DE-SOMALI.pdf","x")</f>
        <v>x</v>
      </c>
      <c r="BW236" s="112"/>
      <c r="BX236" s="112"/>
      <c r="BY236" s="112"/>
      <c r="BZ236" s="112" t="str">
        <f t="shared" si="1274"/>
        <v>x</v>
      </c>
      <c r="CA236" s="112" t="str">
        <f t="shared" si="1275"/>
        <v>x</v>
      </c>
      <c r="CB236" s="112" t="str">
        <f t="shared" si="1276"/>
        <v>x</v>
      </c>
      <c r="CC236" s="112"/>
      <c r="CD236" s="112"/>
      <c r="CE236" s="111"/>
      <c r="CF236" s="111"/>
      <c r="CG236" s="111"/>
      <c r="CH236" s="111"/>
      <c r="CI236" s="111"/>
      <c r="CJ236" s="112" t="str">
        <f t="shared" si="1277"/>
        <v>x</v>
      </c>
      <c r="CK236" s="112"/>
      <c r="CL236" s="112"/>
      <c r="CM236" s="112"/>
      <c r="CN236" s="112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2"/>
      <c r="CZ236" s="112" t="str">
        <f t="shared" si="1278"/>
        <v>x</v>
      </c>
      <c r="DA236" s="112"/>
      <c r="DB236" s="115"/>
      <c r="DC236" s="112"/>
      <c r="DD236" s="112"/>
      <c r="DE236" s="112" t="str">
        <f t="shared" si="1279"/>
        <v>x</v>
      </c>
      <c r="DF236" s="115" t="str">
        <f t="shared" si="1280"/>
        <v>x</v>
      </c>
      <c r="DG236" s="112" t="str">
        <f t="shared" si="1281"/>
        <v>x</v>
      </c>
      <c r="DH236" s="112" t="str">
        <f t="shared" si="1282"/>
        <v>x</v>
      </c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8"/>
      <c r="EP236" s="118"/>
      <c r="EQ236" s="111"/>
      <c r="ER236" s="111"/>
      <c r="ES236" s="111"/>
      <c r="ET236" s="111"/>
      <c r="EU236" s="111"/>
      <c r="EV236" s="112" t="str">
        <f t="shared" si="1283"/>
        <v>x</v>
      </c>
      <c r="EW236" s="111"/>
      <c r="EX236" s="111"/>
      <c r="EY236" s="111"/>
      <c r="EZ236" s="111"/>
      <c r="FA236" s="111"/>
      <c r="FB236" s="111"/>
      <c r="FC236" s="112" t="str">
        <f t="shared" si="1284"/>
        <v>x</v>
      </c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2" t="str">
        <f t="shared" si="1251"/>
        <v>x</v>
      </c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2" t="str">
        <f t="shared" si="1285"/>
        <v>x</v>
      </c>
      <c r="HY236" s="112" t="str">
        <f t="shared" si="1286"/>
        <v>x</v>
      </c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2" t="str">
        <f t="shared" ref="IK236:IK238" si="1289">HYPERLINK("http://www.bamf.de/SharedDocs/Anlagen/DE/Publikationen/Flyer/flyer-erstorientierung-asylsuchende_somali.pdf?__blob=publicationFile","x")</f>
        <v>x</v>
      </c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2" t="str">
        <f t="shared" si="1287"/>
        <v>x</v>
      </c>
      <c r="JA236" s="111"/>
      <c r="JB236" s="111"/>
      <c r="JC236" s="111"/>
      <c r="JD236" s="111"/>
      <c r="JE236" s="111"/>
      <c r="JF236" s="111"/>
      <c r="JG236" s="111"/>
      <c r="JH236" s="111"/>
      <c r="JI236" s="111"/>
      <c r="JJ236" s="111"/>
      <c r="JK236" s="111"/>
      <c r="JL236" s="111"/>
      <c r="JM236" s="111"/>
      <c r="JN236" s="111"/>
      <c r="JO236" s="111"/>
      <c r="JP236" s="111"/>
      <c r="JQ236" s="111"/>
      <c r="JR236" s="111"/>
      <c r="JS236" s="112" t="str">
        <f t="shared" ref="JS236:JS238" si="1290">HYPERLINK("http://www.b-umf.de/images/willkommen/wkb-soomali.pdf","x")</f>
        <v>x</v>
      </c>
      <c r="JT236" s="111"/>
      <c r="JU236" s="111"/>
      <c r="JV236" s="111"/>
      <c r="JW236" s="111"/>
      <c r="JX236" s="111"/>
      <c r="JY236" s="111"/>
      <c r="JZ236" s="111"/>
      <c r="KA236" s="111"/>
      <c r="KB236" s="111"/>
      <c r="KC236" s="111"/>
      <c r="KD236" s="111"/>
      <c r="KE236" s="112"/>
      <c r="KF236" s="111"/>
      <c r="KG236" s="111"/>
      <c r="KH236" s="111"/>
      <c r="KI236" s="111"/>
      <c r="KJ236" s="111"/>
      <c r="KK236" s="111"/>
      <c r="KL236" s="111"/>
      <c r="KM236" s="111"/>
      <c r="KN236" s="111"/>
      <c r="KO236" s="111"/>
      <c r="KP236" s="111"/>
      <c r="KQ236" s="111"/>
      <c r="KR236" s="111"/>
      <c r="KS236" s="111"/>
      <c r="KT236" s="111"/>
      <c r="KU236" s="111"/>
      <c r="KV236" s="111"/>
      <c r="KW236" s="111"/>
      <c r="KX236" s="111"/>
      <c r="KY236" s="111"/>
      <c r="KZ236" s="111"/>
      <c r="LA236" s="111"/>
      <c r="LB236" s="111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1"/>
      <c r="ME236" s="111"/>
      <c r="MF236" s="111"/>
      <c r="MG236" s="111"/>
      <c r="MH236" s="111"/>
    </row>
    <row r="237" spans="1:346" x14ac:dyDescent="0.25">
      <c r="A237" s="110" t="s">
        <v>39</v>
      </c>
      <c r="B237" s="101" t="s">
        <v>51</v>
      </c>
      <c r="C237" s="102"/>
      <c r="D237" s="102"/>
      <c r="E237" s="102"/>
      <c r="F237" s="102"/>
      <c r="G237" s="102"/>
      <c r="H237" s="102"/>
      <c r="I237" s="102"/>
      <c r="J237" s="103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3"/>
      <c r="AV237" s="114" t="str">
        <f t="shared" si="1268"/>
        <v>x</v>
      </c>
      <c r="AW237" s="114" t="str">
        <f t="shared" si="1269"/>
        <v>x</v>
      </c>
      <c r="AX237" s="111"/>
      <c r="AY237" s="111"/>
      <c r="AZ237" s="112" t="str">
        <f t="shared" si="1270"/>
        <v>x</v>
      </c>
      <c r="BA237" s="112" t="str">
        <f t="shared" si="1271"/>
        <v>x</v>
      </c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2" t="str">
        <f t="shared" si="1272"/>
        <v>x</v>
      </c>
      <c r="BS237" s="112"/>
      <c r="BT237" s="111"/>
      <c r="BU237" s="112" t="str">
        <f t="shared" si="1273"/>
        <v>x</v>
      </c>
      <c r="BV237" s="112" t="str">
        <f t="shared" si="1288"/>
        <v>x</v>
      </c>
      <c r="BW237" s="112"/>
      <c r="BX237" s="112"/>
      <c r="BY237" s="112"/>
      <c r="BZ237" s="112" t="str">
        <f t="shared" si="1274"/>
        <v>x</v>
      </c>
      <c r="CA237" s="112" t="str">
        <f t="shared" si="1275"/>
        <v>x</v>
      </c>
      <c r="CB237" s="112" t="str">
        <f t="shared" si="1276"/>
        <v>x</v>
      </c>
      <c r="CC237" s="112"/>
      <c r="CD237" s="112"/>
      <c r="CE237" s="111"/>
      <c r="CF237" s="111"/>
      <c r="CG237" s="111"/>
      <c r="CH237" s="111"/>
      <c r="CI237" s="111"/>
      <c r="CJ237" s="112" t="str">
        <f t="shared" si="1277"/>
        <v>x</v>
      </c>
      <c r="CK237" s="112"/>
      <c r="CL237" s="112"/>
      <c r="CM237" s="112"/>
      <c r="CN237" s="112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2"/>
      <c r="CZ237" s="112" t="str">
        <f t="shared" si="1278"/>
        <v>x</v>
      </c>
      <c r="DA237" s="112"/>
      <c r="DB237" s="115"/>
      <c r="DC237" s="112"/>
      <c r="DD237" s="112"/>
      <c r="DE237" s="112" t="str">
        <f t="shared" si="1279"/>
        <v>x</v>
      </c>
      <c r="DF237" s="115" t="str">
        <f t="shared" si="1280"/>
        <v>x</v>
      </c>
      <c r="DG237" s="112" t="str">
        <f t="shared" si="1281"/>
        <v>x</v>
      </c>
      <c r="DH237" s="112" t="str">
        <f t="shared" si="1282"/>
        <v>x</v>
      </c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8"/>
      <c r="EP237" s="118"/>
      <c r="EQ237" s="111"/>
      <c r="ER237" s="111"/>
      <c r="ES237" s="111"/>
      <c r="ET237" s="111"/>
      <c r="EU237" s="111"/>
      <c r="EV237" s="112" t="str">
        <f t="shared" si="1283"/>
        <v>x</v>
      </c>
      <c r="EW237" s="111"/>
      <c r="EX237" s="111"/>
      <c r="EY237" s="111"/>
      <c r="EZ237" s="111"/>
      <c r="FA237" s="111"/>
      <c r="FB237" s="111"/>
      <c r="FC237" s="112" t="str">
        <f t="shared" si="1284"/>
        <v>x</v>
      </c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  <c r="FW237" s="111"/>
      <c r="FX237" s="111"/>
      <c r="FY237" s="111"/>
      <c r="FZ237" s="111"/>
      <c r="GA237" s="111"/>
      <c r="GB237" s="111"/>
      <c r="GC237" s="111"/>
      <c r="GD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2" t="str">
        <f t="shared" si="1251"/>
        <v>x</v>
      </c>
      <c r="HC237" s="111"/>
      <c r="HD237" s="111"/>
      <c r="HE237" s="111"/>
      <c r="HF237" s="111"/>
      <c r="HG237" s="111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2" t="str">
        <f t="shared" si="1285"/>
        <v>x</v>
      </c>
      <c r="HY237" s="112" t="str">
        <f t="shared" si="1286"/>
        <v>x</v>
      </c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2" t="str">
        <f t="shared" si="1289"/>
        <v>x</v>
      </c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1"/>
      <c r="IZ237" s="112" t="str">
        <f t="shared" si="1287"/>
        <v>x</v>
      </c>
      <c r="JA237" s="111"/>
      <c r="JB237" s="111"/>
      <c r="JC237" s="111"/>
      <c r="JD237" s="111"/>
      <c r="JE237" s="111"/>
      <c r="JF237" s="111"/>
      <c r="JG237" s="111"/>
      <c r="JH237" s="111"/>
      <c r="JI237" s="111"/>
      <c r="JJ237" s="111"/>
      <c r="JK237" s="111"/>
      <c r="JL237" s="111"/>
      <c r="JM237" s="111"/>
      <c r="JN237" s="111"/>
      <c r="JO237" s="111"/>
      <c r="JP237" s="111"/>
      <c r="JQ237" s="111"/>
      <c r="JR237" s="111"/>
      <c r="JS237" s="112" t="str">
        <f t="shared" si="1290"/>
        <v>x</v>
      </c>
      <c r="JT237" s="111"/>
      <c r="JU237" s="111"/>
      <c r="JV237" s="111"/>
      <c r="JW237" s="111"/>
      <c r="JX237" s="111"/>
      <c r="JY237" s="111"/>
      <c r="JZ237" s="111"/>
      <c r="KA237" s="111"/>
      <c r="KB237" s="111"/>
      <c r="KC237" s="111"/>
      <c r="KD237" s="111"/>
      <c r="KE237" s="112"/>
      <c r="KF237" s="111"/>
      <c r="KG237" s="111"/>
      <c r="KH237" s="111"/>
      <c r="KI237" s="111"/>
      <c r="KJ237" s="111"/>
      <c r="KK237" s="111"/>
      <c r="KL237" s="111"/>
      <c r="KM237" s="111"/>
      <c r="KN237" s="111"/>
      <c r="KO237" s="111"/>
      <c r="KP237" s="111"/>
      <c r="KQ237" s="111"/>
      <c r="KR237" s="111"/>
      <c r="KS237" s="111"/>
      <c r="KT237" s="111"/>
      <c r="KU237" s="111"/>
      <c r="KV237" s="111"/>
      <c r="KW237" s="111"/>
      <c r="KX237" s="111"/>
      <c r="KY237" s="111"/>
      <c r="KZ237" s="111"/>
      <c r="LA237" s="111"/>
      <c r="LB237" s="111"/>
      <c r="LC237" s="111"/>
      <c r="LD237" s="111"/>
      <c r="LE237" s="111"/>
      <c r="LF237" s="111"/>
      <c r="LG237" s="111"/>
      <c r="LH237" s="111"/>
      <c r="LI237" s="111"/>
      <c r="LJ237" s="111"/>
      <c r="LK237" s="111"/>
      <c r="LL237" s="111"/>
      <c r="LM237" s="111"/>
      <c r="LN237" s="111"/>
      <c r="LO237" s="111"/>
      <c r="LP237" s="111"/>
      <c r="LQ237" s="111"/>
      <c r="LR237" s="111"/>
      <c r="LS237" s="111"/>
      <c r="LT237" s="111"/>
      <c r="LU237" s="111"/>
      <c r="LV237" s="111"/>
      <c r="LW237" s="111"/>
      <c r="LX237" s="111"/>
      <c r="LY237" s="111"/>
      <c r="LZ237" s="111"/>
      <c r="MA237" s="111"/>
      <c r="MB237" s="111"/>
      <c r="MC237" s="111"/>
      <c r="MD237" s="111"/>
      <c r="ME237" s="111"/>
      <c r="MF237" s="111"/>
      <c r="MG237" s="111"/>
      <c r="MH237" s="111"/>
    </row>
    <row r="238" spans="1:346" x14ac:dyDescent="0.25">
      <c r="A238" s="110" t="s">
        <v>39</v>
      </c>
      <c r="B238" s="101" t="s">
        <v>88</v>
      </c>
      <c r="C238" s="102"/>
      <c r="D238" s="102"/>
      <c r="E238" s="102"/>
      <c r="F238" s="102"/>
      <c r="G238" s="102"/>
      <c r="H238" s="102"/>
      <c r="I238" s="102"/>
      <c r="J238" s="103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3"/>
      <c r="AV238" s="114" t="str">
        <f t="shared" si="1268"/>
        <v>x</v>
      </c>
      <c r="AW238" s="114" t="str">
        <f t="shared" si="1269"/>
        <v>x</v>
      </c>
      <c r="AX238" s="111"/>
      <c r="AY238" s="111"/>
      <c r="AZ238" s="112" t="str">
        <f t="shared" si="1270"/>
        <v>x</v>
      </c>
      <c r="BA238" s="112" t="str">
        <f t="shared" si="1271"/>
        <v>x</v>
      </c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2" t="str">
        <f t="shared" si="1272"/>
        <v>x</v>
      </c>
      <c r="BS238" s="112"/>
      <c r="BT238" s="111"/>
      <c r="BU238" s="112" t="str">
        <f t="shared" si="1273"/>
        <v>x</v>
      </c>
      <c r="BV238" s="112" t="str">
        <f t="shared" si="1288"/>
        <v>x</v>
      </c>
      <c r="BW238" s="112"/>
      <c r="BX238" s="112"/>
      <c r="BY238" s="112"/>
      <c r="BZ238" s="112" t="str">
        <f t="shared" si="1274"/>
        <v>x</v>
      </c>
      <c r="CA238" s="112" t="str">
        <f t="shared" si="1275"/>
        <v>x</v>
      </c>
      <c r="CB238" s="112" t="str">
        <f t="shared" si="1276"/>
        <v>x</v>
      </c>
      <c r="CC238" s="112"/>
      <c r="CD238" s="112"/>
      <c r="CE238" s="111"/>
      <c r="CF238" s="111"/>
      <c r="CG238" s="111"/>
      <c r="CH238" s="111"/>
      <c r="CI238" s="111"/>
      <c r="CJ238" s="112" t="str">
        <f t="shared" si="1277"/>
        <v>x</v>
      </c>
      <c r="CK238" s="112"/>
      <c r="CL238" s="112"/>
      <c r="CM238" s="112"/>
      <c r="CN238" s="112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2"/>
      <c r="CZ238" s="112" t="str">
        <f t="shared" si="1278"/>
        <v>x</v>
      </c>
      <c r="DA238" s="112"/>
      <c r="DB238" s="115"/>
      <c r="DC238" s="112"/>
      <c r="DD238" s="112"/>
      <c r="DE238" s="112" t="str">
        <f t="shared" si="1279"/>
        <v>x</v>
      </c>
      <c r="DF238" s="115" t="str">
        <f t="shared" si="1280"/>
        <v>x</v>
      </c>
      <c r="DG238" s="112" t="str">
        <f t="shared" si="1281"/>
        <v>x</v>
      </c>
      <c r="DH238" s="112" t="str">
        <f t="shared" si="1282"/>
        <v>x</v>
      </c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8"/>
      <c r="EP238" s="118"/>
      <c r="EQ238" s="111"/>
      <c r="ER238" s="111"/>
      <c r="ES238" s="111"/>
      <c r="ET238" s="111"/>
      <c r="EU238" s="111"/>
      <c r="EV238" s="112" t="str">
        <f t="shared" si="1283"/>
        <v>x</v>
      </c>
      <c r="EW238" s="111"/>
      <c r="EX238" s="111"/>
      <c r="EY238" s="111"/>
      <c r="EZ238" s="111"/>
      <c r="FA238" s="111"/>
      <c r="FB238" s="111"/>
      <c r="FC238" s="112" t="str">
        <f t="shared" si="1284"/>
        <v>x</v>
      </c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  <c r="FW238" s="111"/>
      <c r="FX238" s="111"/>
      <c r="FY238" s="111"/>
      <c r="FZ238" s="111"/>
      <c r="GA238" s="111"/>
      <c r="GB238" s="111"/>
      <c r="GC238" s="111"/>
      <c r="GD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2" t="str">
        <f t="shared" si="1251"/>
        <v>x</v>
      </c>
      <c r="HC238" s="111"/>
      <c r="HD238" s="111"/>
      <c r="HE238" s="111"/>
      <c r="HF238" s="111"/>
      <c r="HG238" s="111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2" t="str">
        <f t="shared" si="1285"/>
        <v>x</v>
      </c>
      <c r="HY238" s="112" t="str">
        <f t="shared" si="1286"/>
        <v>x</v>
      </c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2" t="str">
        <f t="shared" si="1289"/>
        <v>x</v>
      </c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1"/>
      <c r="IZ238" s="112" t="str">
        <f t="shared" si="1287"/>
        <v>x</v>
      </c>
      <c r="JA238" s="111"/>
      <c r="JB238" s="111"/>
      <c r="JC238" s="111"/>
      <c r="JD238" s="111"/>
      <c r="JE238" s="111"/>
      <c r="JF238" s="111"/>
      <c r="JG238" s="111"/>
      <c r="JH238" s="111"/>
      <c r="JI238" s="111"/>
      <c r="JJ238" s="111"/>
      <c r="JK238" s="111"/>
      <c r="JL238" s="111"/>
      <c r="JM238" s="111"/>
      <c r="JN238" s="111"/>
      <c r="JO238" s="111"/>
      <c r="JP238" s="111"/>
      <c r="JQ238" s="111"/>
      <c r="JR238" s="111"/>
      <c r="JS238" s="112" t="str">
        <f t="shared" si="1290"/>
        <v>x</v>
      </c>
      <c r="JT238" s="111"/>
      <c r="JU238" s="111"/>
      <c r="JV238" s="111"/>
      <c r="JW238" s="111"/>
      <c r="JX238" s="111"/>
      <c r="JY238" s="111"/>
      <c r="JZ238" s="111"/>
      <c r="KA238" s="111"/>
      <c r="KB238" s="111"/>
      <c r="KC238" s="111"/>
      <c r="KD238" s="111"/>
      <c r="KE238" s="112"/>
      <c r="KF238" s="111"/>
      <c r="KG238" s="111"/>
      <c r="KH238" s="111"/>
      <c r="KI238" s="111"/>
      <c r="KJ238" s="111"/>
      <c r="KK238" s="111"/>
      <c r="KL238" s="111"/>
      <c r="KM238" s="111"/>
      <c r="KN238" s="111"/>
      <c r="KO238" s="111"/>
      <c r="KP238" s="111"/>
      <c r="KQ238" s="111"/>
      <c r="KR238" s="111"/>
      <c r="KS238" s="111"/>
      <c r="KT238" s="111"/>
      <c r="KU238" s="111"/>
      <c r="KV238" s="111"/>
      <c r="KW238" s="111"/>
      <c r="KX238" s="111"/>
      <c r="KY238" s="111"/>
      <c r="KZ238" s="111"/>
      <c r="LA238" s="111"/>
      <c r="LB238" s="111"/>
      <c r="LC238" s="111"/>
      <c r="LD238" s="111"/>
      <c r="LE238" s="111"/>
      <c r="LF238" s="111"/>
      <c r="LG238" s="111"/>
      <c r="LH238" s="111"/>
      <c r="LI238" s="111"/>
      <c r="LJ238" s="111"/>
      <c r="LK238" s="111"/>
      <c r="LL238" s="111"/>
      <c r="LM238" s="111"/>
      <c r="LN238" s="111"/>
      <c r="LO238" s="111"/>
      <c r="LP238" s="111"/>
      <c r="LQ238" s="111"/>
      <c r="LR238" s="111"/>
      <c r="LS238" s="111"/>
      <c r="LT238" s="111"/>
      <c r="LU238" s="111"/>
      <c r="LV238" s="111"/>
      <c r="LW238" s="111"/>
      <c r="LX238" s="111"/>
      <c r="LY238" s="111"/>
      <c r="LZ238" s="111"/>
      <c r="MA238" s="111"/>
      <c r="MB238" s="111"/>
      <c r="MC238" s="111"/>
      <c r="MD238" s="111"/>
      <c r="ME238" s="111"/>
      <c r="MF238" s="111"/>
      <c r="MG238" s="111"/>
      <c r="MH238" s="111"/>
    </row>
    <row r="239" spans="1:346" x14ac:dyDescent="0.25">
      <c r="A239" s="101" t="s">
        <v>35</v>
      </c>
      <c r="B239" s="102"/>
      <c r="C239" s="102"/>
      <c r="D239" s="102"/>
      <c r="E239" s="102"/>
      <c r="F239" s="102"/>
      <c r="G239" s="102"/>
      <c r="H239" s="102"/>
      <c r="I239" s="102"/>
      <c r="J239" s="103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6"/>
      <c r="AV239" s="106"/>
      <c r="AW239" s="106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9"/>
      <c r="EP239" s="109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5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4"/>
      <c r="JJ239" s="104"/>
      <c r="JK239" s="104"/>
      <c r="JL239" s="104"/>
      <c r="JM239" s="104"/>
      <c r="JN239" s="104"/>
      <c r="JO239" s="104"/>
      <c r="JP239" s="104"/>
      <c r="JQ239" s="104"/>
      <c r="JR239" s="104"/>
      <c r="JS239" s="104"/>
      <c r="JT239" s="104"/>
      <c r="JU239" s="104"/>
      <c r="JV239" s="104"/>
      <c r="JW239" s="104"/>
      <c r="JX239" s="104"/>
      <c r="JY239" s="104"/>
      <c r="JZ239" s="104"/>
      <c r="KA239" s="104"/>
      <c r="KB239" s="104"/>
      <c r="KC239" s="104"/>
      <c r="KD239" s="104"/>
      <c r="KE239" s="104"/>
      <c r="KF239" s="104"/>
      <c r="KG239" s="104"/>
      <c r="KH239" s="104"/>
      <c r="KI239" s="104"/>
      <c r="KJ239" s="104"/>
      <c r="KK239" s="104"/>
      <c r="KL239" s="104"/>
      <c r="KM239" s="104"/>
      <c r="KN239" s="104"/>
      <c r="KO239" s="104"/>
      <c r="KP239" s="104"/>
      <c r="KQ239" s="104"/>
      <c r="KR239" s="104"/>
      <c r="KS239" s="104"/>
      <c r="KT239" s="104"/>
      <c r="KU239" s="104"/>
      <c r="KV239" s="104"/>
      <c r="KW239" s="104"/>
      <c r="KX239" s="104"/>
      <c r="KY239" s="104"/>
      <c r="KZ239" s="104"/>
      <c r="LA239" s="104"/>
      <c r="LB239" s="104"/>
      <c r="LC239" s="104"/>
      <c r="LD239" s="104"/>
      <c r="LE239" s="104"/>
      <c r="LF239" s="104"/>
      <c r="LG239" s="104"/>
      <c r="LH239" s="104"/>
      <c r="LI239" s="104"/>
      <c r="LJ239" s="104"/>
      <c r="LK239" s="104"/>
      <c r="LL239" s="104"/>
      <c r="LM239" s="104"/>
      <c r="LN239" s="104"/>
      <c r="LO239" s="104"/>
      <c r="LP239" s="104"/>
      <c r="LQ239" s="104"/>
      <c r="LR239" s="104"/>
      <c r="LS239" s="104"/>
      <c r="LT239" s="104"/>
      <c r="LU239" s="104"/>
      <c r="LV239" s="104"/>
      <c r="LW239" s="104"/>
      <c r="LX239" s="104"/>
      <c r="LY239" s="104"/>
      <c r="LZ239" s="104"/>
      <c r="MA239" s="104"/>
      <c r="MB239" s="104"/>
      <c r="MC239" s="104"/>
      <c r="MD239" s="104"/>
      <c r="ME239" s="104"/>
      <c r="MF239" s="104"/>
      <c r="MG239" s="104"/>
      <c r="MH239" s="104"/>
    </row>
    <row r="240" spans="1:346" x14ac:dyDescent="0.25">
      <c r="A240" s="110" t="s">
        <v>35</v>
      </c>
      <c r="B240" s="101" t="s">
        <v>415</v>
      </c>
      <c r="C240" s="102"/>
      <c r="D240" s="102"/>
      <c r="E240" s="102"/>
      <c r="F240" s="102"/>
      <c r="G240" s="102"/>
      <c r="H240" s="102"/>
      <c r="I240" s="102"/>
      <c r="J240" s="103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2" t="str">
        <f>HYPERLINK("http://www.rundfunkbeitrag.de/e175/e1636/Informationsflyer_Buerginnen_und_Buerger_spanisch.pdf","x")</f>
        <v>x</v>
      </c>
      <c r="AD240" s="111"/>
      <c r="AE240" s="112" t="str">
        <f>HYPERLINK("http://www.kub-berlin.org/formularprojekt/de/spanisch-antraege-und-uebersetzungshilfen/","x")</f>
        <v>x</v>
      </c>
      <c r="AF240" s="111"/>
      <c r="AG240" s="111"/>
      <c r="AH240" s="111"/>
      <c r="AI240" s="111"/>
      <c r="AJ240" s="111"/>
      <c r="AK240" s="111"/>
      <c r="AL240" s="111"/>
      <c r="AM240" s="111"/>
      <c r="AN240" s="112"/>
      <c r="AO240" s="112"/>
      <c r="AP240" s="112"/>
      <c r="AQ240" s="112"/>
      <c r="AR240" s="112"/>
      <c r="AS240" s="112"/>
      <c r="AT240" s="112"/>
      <c r="AU240" s="113"/>
      <c r="AV240" s="114" t="str">
        <f>HYPERLINK("http://sab.landtag.sachsen.de/dokumente/landtagskurier/SAB_DeutschLernen_DinA5_WEB141115.pdf","x")</f>
        <v>x</v>
      </c>
      <c r="AW240" s="114" t="str">
        <f>HYPERLINK("http://sab.landtag.sachsen.de/dokumente/landtagskurier/SAB_PL_Lernposter_WEB091115.pdf","x")</f>
        <v>x</v>
      </c>
      <c r="AX240" s="111"/>
      <c r="AY240" s="111"/>
      <c r="AZ24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0" s="112" t="str">
        <f>HYPERLINK("http://wie-kann-ich-helfen.info/WoerterbuchAnalphabet_innen_%28c%29_Dagmar_Schmeelcke.pdf","x")</f>
        <v>x</v>
      </c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2" t="str">
        <f>HYPERLINK("http://www.goethe.de/lrn/prj/wnd/deu/lti/deindex.htm#13322010","x")</f>
        <v>x</v>
      </c>
      <c r="BS240" s="112"/>
      <c r="BT240" s="111"/>
      <c r="BU240" s="112" t="str">
        <f>HYPERLINK("https://s3-eu-west-1.amazonaws.com/lingolia/download/lingolia_daf.pdf","x")</f>
        <v>x</v>
      </c>
      <c r="BV240" s="112" t="str">
        <f>HYPERLINK("http://www.welcomegrooves.de/wp-content/uploads/2015/10/welcomegrooves_DE-SPANISCH.pdf","x")</f>
        <v>x</v>
      </c>
      <c r="BW240" s="112"/>
      <c r="BX240" s="112"/>
      <c r="BY240" s="112"/>
      <c r="BZ240" s="112" t="str">
        <f>HYPERLINK("http://www.hueber.de/shared/uebungen/schritte-plus","x")</f>
        <v>x</v>
      </c>
      <c r="CA240" s="112" t="str">
        <f>HYPERLINK("https://www.hueber.de/shared/uebungen/menschen-hier/ab/a1-1/menu.html","x")</f>
        <v>x</v>
      </c>
      <c r="CB240" s="112" t="str">
        <f>HYPERLINK("http://www.goethe-verlag.com/DE/","x")</f>
        <v>x</v>
      </c>
      <c r="CC240" s="112"/>
      <c r="CD240" s="112"/>
      <c r="CE240" s="111"/>
      <c r="CF240" s="111"/>
      <c r="CG240" s="112" t="str">
        <f>HYPERLINK("http://mifkjf.rlp.de/fileadmin/mifkjf/Frauen/Gewalt_gegen_Frauen/Downloads/Broschueren_Flyer/Flyer_Gewalt_spanisch.pdf","x")</f>
        <v>x</v>
      </c>
      <c r="CH240" s="111"/>
      <c r="CI240" s="112" t="str">
        <f>HYPERLINK("https://www.hilfetelefon.de/fileadmin/hilfetelefon_de/Materialien/weitere_werbemittel/Klappflyer_Vorder-_und_Rueckseite_opt2.pdf","x")</f>
        <v>x</v>
      </c>
      <c r="CJ240" s="112" t="str">
        <f>HYPERLINK("http://www.e-migrantinnen.de/index.php?de_wichtige-links","x")</f>
        <v>x</v>
      </c>
      <c r="CK240" s="112" t="str">
        <f>HYPERLINK("http://www.frauenberatungsstelle.de/pdf/Migrantinnen-beraten-Migrantinnen.pdf","x")</f>
        <v>x</v>
      </c>
      <c r="CL240" s="112"/>
      <c r="CM240" s="112"/>
      <c r="CN240" s="112"/>
      <c r="CO240" s="112" t="str">
        <f>HYPERLINK("http://www.schwanger-und-viele-fragen.de/es/","x")</f>
        <v>x</v>
      </c>
      <c r="CP240" s="112"/>
      <c r="CQ240" s="112"/>
      <c r="CR240" s="112"/>
      <c r="CS240" s="112"/>
      <c r="CT240" s="112" t="str">
        <f>HYPERLINK("http://www.profamilia.de/fileadmin/publikationen/Erwachsene/mehrsprachig/Verhuetung_spanisch.pdf","x")</f>
        <v>x</v>
      </c>
      <c r="CU240" s="112" t="str">
        <f>HYPERLINK("http://www.profamilia.de/fileadmin/publikationen/Reihe_Verhuetungsmethoden/Bro_Pille_danach_Faltblatt_esp_141103.pdf","x")</f>
        <v>x</v>
      </c>
      <c r="CV240" s="112" t="str">
        <f>HYPERLINK("http://www.profamilia.de/fileadmin/publikationen/Reihe_Verhuetungsmethoden/Einleger_Spanisch.pdf","x")</f>
        <v>x</v>
      </c>
      <c r="CW240" s="112"/>
      <c r="CX240" s="112" t="str">
        <f>HYPERLINK("http://www.caritas-schwarzwald-alb-donau.de/68854.html","x")</f>
        <v>x</v>
      </c>
      <c r="CY240" s="112"/>
      <c r="CZ240" s="112"/>
      <c r="DA240" s="112"/>
      <c r="DB240" s="115" t="str">
        <f>HYPERLINK("http://www.kindersicherheit.de/pdf/2013_BAG_Tomi_and_Mila_Deutsch_Espanol.pdf","x")</f>
        <v>x</v>
      </c>
      <c r="DC240" s="112"/>
      <c r="DD240" s="112"/>
      <c r="DE240" s="112" t="str">
        <f>HYPERLINK("http://fi-lohmar-siegburg.de/data/documents/130-37_Inklusion_im_Anfangsunterricht_-_Poster_mit_Situationsbildern.pdf","x")</f>
        <v>x</v>
      </c>
      <c r="DF240" s="115" t="str">
        <f>HYPERLINK("http://s3-eu-west-1.amazonaws.com/lingolia/calendar/2016/lingolia_2016_de.pdf","x")</f>
        <v>x</v>
      </c>
      <c r="DG240" s="112" t="str">
        <f>HYPERLINK("http://www.bibliomedia.ch/de/angebote/img/Wimmelbild.jpg","x")</f>
        <v>x</v>
      </c>
      <c r="DH240" s="112" t="str">
        <f>HYPERLINK("http://www.bibliomedia.ch/de/angebote/dokumente/Wimmelbild_Fehler.jpg","x")</f>
        <v>x</v>
      </c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2" t="str">
        <f>HYPERLINK("http://bildung.koeln.de/materialbibliothek/download.php?idx=ccf097c3404e26240478c01248debdf8","x")</f>
        <v>x</v>
      </c>
      <c r="DS240" s="112" t="str">
        <f>HYPERLINK("http://bildung.koeln.de/materialbibliothek/download.php?idx=bddd18cfef5da0f16acdd486a807febc","x")</f>
        <v>x</v>
      </c>
      <c r="DT240" s="112"/>
      <c r="DU240" s="112" t="str">
        <f>HYPERLINK("https://www.bmbf.de/pub/Kausa_Elternbroschuere_spanisch.pdf","x")</f>
        <v>x</v>
      </c>
      <c r="DV240" s="112"/>
      <c r="DW240" s="112"/>
      <c r="DX240" s="112" t="str">
        <f>HYPERLINK("http://www.bamf.de/SharedDocs/Anlagen/DE/Publikationen/Flyer/AnerkennungBerufsabschluss/berufliche_anerkennung_akademische-heilberufe_es.pdf?__blob=publicationFile","x")</f>
        <v>x</v>
      </c>
      <c r="DY240" s="112" t="str">
        <f>HYPERLINK("http://www.bamf.de/SharedDocs/Anlagen/DE/Publikationen/Flyer/AnerkennungBerufsabschluss/anerkennung-berufsabschluss_es.pdf?__blob=publicationFile","x")</f>
        <v>x</v>
      </c>
      <c r="DZ240" s="112" t="str">
        <f>HYPERLINK("http://www.bamf.de/SharedDocs/Anlagen/DE/Publikationen/Flyer/AnerkennungBerufsabschluss/anerkennung-berufsabschluss_ausland_es.pdf?__blob=publicationFile","x")</f>
        <v>x</v>
      </c>
      <c r="EA240" s="112"/>
      <c r="EB240" s="112" t="str">
        <f>HYPERLINK("http://www.bamf.de/SharedDocs/Anlagen/DE/Publikationen/Flyer/Berufsbezsprachf-ESF-BAMF/berufsbezsprachf-esf-bamf_es.pdf?__blob=publicationFile","x")</f>
        <v>x</v>
      </c>
      <c r="EC240" s="111"/>
      <c r="ED240" s="111"/>
      <c r="EE240" s="111"/>
      <c r="EF240" s="111"/>
      <c r="EG240" s="111"/>
      <c r="EH240" s="111"/>
      <c r="EI240" s="112"/>
      <c r="EJ240" s="112"/>
      <c r="EK240" s="111"/>
      <c r="EL240" s="112" t="str">
        <f>HYPERLINK("http://www.kvs-sachsen.de/fileadmin/img/Mitglieder/Asylbewerber/Allg-Informationen/Anlage_1_Spanisch_LEK.pdf","x")</f>
        <v>x</v>
      </c>
      <c r="EM240" s="111"/>
      <c r="EN240" s="111"/>
      <c r="EO240" s="117" t="str">
        <f>HYPERLINK("http://www.medi-bild.de/pdf/anamnese/Welche_Sprache.pdf","x")</f>
        <v>x</v>
      </c>
      <c r="EP240" s="117" t="str">
        <f>HYPERLINK("http://www.armut-gesundheit.de/fileadmin/redakteur/dokumente/Anamnesebogen%20-%20spanischnew.pdf","x")</f>
        <v>x</v>
      </c>
      <c r="EQ240" s="112" t="str">
        <f>HYPERLINK("http://www.kvs-sachsen.de/fileadmin/img/Mitglieder/Asylbewerber/Allg-Informationen/Anlagen_2-1_2-2_Spanisch_LEK.pdf","x")</f>
        <v>x</v>
      </c>
      <c r="ER240" s="111"/>
      <c r="ES240" s="111"/>
      <c r="ET240" s="111"/>
      <c r="EU240" s="111"/>
      <c r="EV240" s="112" t="str">
        <f t="shared" ref="EV240:EV241" si="1291">HYPERLINK("http://www.lak-rlp.de/fileadmin/redakteure/pdf/download/Piktogramme_Dosieretiketten_AoG.pdf","x")</f>
        <v>x</v>
      </c>
      <c r="EW240" s="112" t="str">
        <f>HYPERLINK("http://www.rki.de/DE/Content/Infekt/IfSG/Belehrungsbogen/belehrungsbogen_eltern_spanisch.pdf?__blob=publicationFile","x")</f>
        <v>x</v>
      </c>
      <c r="EX240" s="111"/>
      <c r="EY240" s="111"/>
      <c r="EZ240" s="111"/>
      <c r="FA240" s="111"/>
      <c r="FB240" s="111"/>
      <c r="FC240" s="112" t="str">
        <f>HYPERLINK("http://mige.ix-tech.de/index.php?id=241","x")</f>
        <v>x</v>
      </c>
      <c r="FD240" s="112" t="str">
        <f>HYPERLINK("http://sghanstedt.elbnetz.com/ueber-uns/","x")</f>
        <v>x</v>
      </c>
      <c r="FE240" s="111"/>
      <c r="FF240" s="111"/>
      <c r="FG240" s="111"/>
      <c r="FH240" s="111"/>
      <c r="FI240" s="112"/>
      <c r="FJ240" s="112" t="str">
        <f>HYPERLINK("http://www.rki.de/DE/Content/Infekt/Impfen/Materialien/Downloads-Impfkalender/Impfkalender_Spanisch.pdf?__blob=publicationFile","x")</f>
        <v>x</v>
      </c>
      <c r="FK240" s="112" t="str">
        <f>HYPERLINK("http://www.ethno-medizinisches-zentrum.de/images/PDF-Files/impfwegweiser_spanisch_2013_online.pdf","x")</f>
        <v>x</v>
      </c>
      <c r="FL240" s="112"/>
      <c r="FM240" s="112" t="str">
        <f>HYPERLINK("http://www.rki.de/DE/Content/Infekt/Impfen/Materialien/Glossar-Downloads/glossar-de-spanisch.pdf?__blob=publicationFile","x")</f>
        <v>x</v>
      </c>
      <c r="FN240" s="112"/>
      <c r="FO240" s="112" t="str">
        <f>HYPERLINK("http://www.rki.de/DE/Content/Infekt/Impfen/Materialien/Downloads-MMR/MMR-Impfinfo-spanisch.pdf?__blob=publicationFile","x")</f>
        <v>x</v>
      </c>
      <c r="FP240" s="111"/>
      <c r="FQ240" s="112" t="str">
        <f>HYPERLINK("http://www.rki.de/DE/Content/Infekt/Impfen/Materialien/Downloads_HepA/Aufklaerung_HAV-Impfung_Spanisch.pdf?__blob=publicationFile","x")</f>
        <v>x</v>
      </c>
      <c r="FR240" s="112" t="str">
        <f>HYPERLINK("http://www.rki.de/DE/Content/Infekt/Impfen/Materialien/Downloads_Pneumokokken/Aufklaerung_Pneumo-Impfung_Spanisch.pdf?__blob=publicationFile","x")</f>
        <v>x</v>
      </c>
      <c r="FS240" s="112" t="str">
        <f>HYPERLINK("http://www.rki.de/DE/Content/Infekt/Impfen/Materialien/Downloads-DTaPIPVHibHepB/DTaPIPVHibHepB-spanisch.pdf?__blob=publicationFile","x")</f>
        <v>x</v>
      </c>
      <c r="FT240" s="112" t="str">
        <f>HYPERLINK("http://www.rki.de/DE/Content/Infekt/Impfen/Materialien/Downloads-Varizellen/Varizellen-Impfinfo-spanisch.pdf;jsessionid=65B697F4EE7EDA8A1ED9E2C4CD6C74EC.2_cid363?__blob=publicationFile","x")</f>
        <v>x</v>
      </c>
      <c r="FU240" s="112" t="str">
        <f>HYPERLINK("http://www.rki.de/DE/Content/Infekt/Impfen/Materialien/Downloads-Tdap-IPV/Tdap-IPV-spanisch.pdf?__blob=publicationFile","x")</f>
        <v>x</v>
      </c>
      <c r="FV240" s="112" t="str">
        <f>HYPERLINK("http://www.rki.de/DE/Content/Infekt/Impfen/Materialien/Downloads-Influenza_nasal/Influenza_nasal-spanisch.pdf?__blob=publicationFile","x")</f>
        <v>x</v>
      </c>
      <c r="FW240" s="111"/>
      <c r="FX240" s="111"/>
      <c r="FY240" s="111"/>
      <c r="FZ240" s="111"/>
      <c r="GA240" s="111"/>
      <c r="GB240" s="111"/>
      <c r="GC240" s="112" t="str">
        <f>HYPERLINK("http://www.ethno-medizinisches-zentrum.de/images/PDF-Files/lf_diabete_spanisch.pdf","x")</f>
        <v>x</v>
      </c>
      <c r="GD240" s="111"/>
      <c r="GE240" s="111"/>
      <c r="GF240" s="111"/>
      <c r="GG240" s="111"/>
      <c r="GH240" s="111"/>
      <c r="GI240" s="111"/>
      <c r="GJ240" s="112" t="str">
        <f>HYPERLINK("http://www.tipdoc.de/bus/pdf/hiv/HIV%20ESP_Webseite.pdf","x")</f>
        <v>x</v>
      </c>
      <c r="GK240" s="111"/>
      <c r="GL240" s="112" t="str">
        <f>HYPERLINK("http://www.rki.de/DE/Content/Infekt/Impfen/Materialien/Downloads-Influenza/Influenza-spanisch.pdf?__blob=publicationFile","x")</f>
        <v>x</v>
      </c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2" t="str">
        <f t="shared" si="1251"/>
        <v>x</v>
      </c>
      <c r="HC240" s="111"/>
      <c r="HD240" s="111"/>
      <c r="HE240" s="111"/>
      <c r="HF240" s="111"/>
      <c r="HG240" s="111"/>
      <c r="HH240" s="111"/>
      <c r="HI240" s="111"/>
      <c r="HJ240" s="112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2" t="str">
        <f>HYPERLINK("http://www.selfhelpfortrauma.org/","x")</f>
        <v>x</v>
      </c>
      <c r="HY240" s="112" t="str">
        <f>HYPERLINK("http://peacefulheart.se/wp-content/uploads/2014/12/Resolving-Yesterday-20141201-Self-Tapping.pdf","x")</f>
        <v>x</v>
      </c>
      <c r="HZ240" s="111"/>
      <c r="IA240" s="111"/>
      <c r="IB240" s="111"/>
      <c r="IC240" s="111"/>
      <c r="ID240" s="111"/>
      <c r="IE240" s="111"/>
      <c r="IF240" s="111"/>
      <c r="IG240" s="111"/>
      <c r="IH240" s="112" t="str">
        <f>HYPERLINK("http://www.caritas.de/hilfeundberatung/onlineberatung/suchtberatung/haeufiggestelltefragensucht/haeufiggestelltefragen-sucht","x")</f>
        <v>x</v>
      </c>
      <c r="II240" s="111"/>
      <c r="IJ240" s="112" t="str">
        <f>HYPERLINK("http://www.bamf.de/SharedDocs/Anlagen/DE/Publikationen/Flyer/Lassen-Sie-Sich-Beraten/lassen-sie-sich-beraten_es.pdf?__blob=publicationFile","x")</f>
        <v>x</v>
      </c>
      <c r="IK240" s="111"/>
      <c r="IL240" s="111"/>
      <c r="IM240" s="112" t="str">
        <f>HYPERLINK("https://www.bamf.de/SharedDocs/Anlagen/DE/Publikationen/Broschueren/willkommen-in-deutschland_es.pdf?__blob=publicationFile","x")</f>
        <v>x</v>
      </c>
      <c r="IN240" s="112"/>
      <c r="IO240" s="111"/>
      <c r="IP240" s="112" t="str">
        <f>HYPERLINK("http://www.bamf.de/SharedDocs/Anlagen/DE/Publikationen/Flyer/Lernen-Sie-Deutsch/lernen-sie-deutsch_es.pdf?__blob=publicationFile","x")</f>
        <v>x</v>
      </c>
      <c r="IQ240" s="112"/>
      <c r="IR240" s="111"/>
      <c r="IS240" s="111"/>
      <c r="IT240" s="111"/>
      <c r="IU240" s="112"/>
      <c r="IV240" s="112"/>
      <c r="IW240" s="112" t="str">
        <f t="shared" ref="IW240:IW241" si="1292">HYPERLINK("http://www.berlin.de/labo/willkommen-in-berlin/service/downloads/artikel.273193.php","x")</f>
        <v>x</v>
      </c>
      <c r="IX240" s="112" t="str">
        <f>HYPERLINK("http://www.bamf.de/SharedDocs/Anlagen/DE/Publikationen/Broschueren/broschuere-eat-a4-es-spanisch.pdf?__blob=publicationFile","x")</f>
        <v>x</v>
      </c>
      <c r="IY240" s="111"/>
      <c r="IZ240" s="111"/>
      <c r="JA240" s="111"/>
      <c r="JB240" s="112"/>
      <c r="JC240" s="111"/>
      <c r="JD240" s="112"/>
      <c r="JE240" s="112"/>
      <c r="JF240" s="112"/>
      <c r="JG240" s="112"/>
      <c r="JH240" s="111"/>
      <c r="JI240" s="112"/>
      <c r="JJ240" s="112"/>
      <c r="JK240" s="112" t="str">
        <f>HYPERLINK("http://www.kub-berlin.org/formularprojekt/de/spanisch-antraege-und-uebersetzungshilfen/","x")</f>
        <v>x</v>
      </c>
      <c r="JL240" s="112" t="str">
        <f t="shared" ref="JL240:JL241" si="1293">HYPERLINK("https://www.arbeitsagentur.de/web/content/DE/Formulare/Detail/index.htm?dfContentId=L6019022DSTBAI485740","x")</f>
        <v>x</v>
      </c>
      <c r="JM240" s="112"/>
      <c r="JN240" s="112"/>
      <c r="JO240" s="112"/>
      <c r="JP240" s="112"/>
      <c r="JQ240" s="112"/>
      <c r="JR240" s="112"/>
      <c r="JS240" s="111"/>
      <c r="JT240" s="111"/>
      <c r="JU240" s="111"/>
      <c r="JV240" s="112"/>
      <c r="JW240" s="112"/>
      <c r="JX240" s="111"/>
      <c r="JY240" s="111"/>
      <c r="JZ240" s="111"/>
      <c r="KA240" s="111"/>
      <c r="KB240" s="111"/>
      <c r="KC240" s="112" t="str">
        <f t="shared" ref="KC240:KC241" si="1294">HYPERLINK("http://www.wedel.de/fileadmin/user_upload/media/pdf/Rathaus_und_Politik/20160118_PM_Broschuere.pdf","x")</f>
        <v>x</v>
      </c>
      <c r="KD240" s="112"/>
      <c r="KE240" s="111"/>
      <c r="KF240" s="111"/>
      <c r="KG240" s="111"/>
      <c r="KH240" s="111"/>
      <c r="KI240" s="111"/>
      <c r="KJ240" s="111"/>
      <c r="KK240" s="111"/>
      <c r="KL240" s="111"/>
      <c r="KM240" s="111"/>
      <c r="KN240" s="111"/>
      <c r="KO240" s="111"/>
      <c r="KP240" s="111"/>
      <c r="KQ240" s="111"/>
      <c r="KR240" s="111"/>
      <c r="KS240" s="111"/>
      <c r="KT240" s="111"/>
      <c r="KU240" s="111"/>
      <c r="KV240" s="111"/>
      <c r="KW240" s="111"/>
      <c r="KX240" s="111"/>
      <c r="KY240" s="111"/>
      <c r="KZ240" s="111"/>
      <c r="LA240" s="111"/>
      <c r="LB240" s="111"/>
      <c r="LC240" s="111"/>
      <c r="LD240" s="111"/>
      <c r="LE240" s="111"/>
      <c r="LF240" s="111"/>
      <c r="LG240" s="111"/>
      <c r="LH240" s="111"/>
      <c r="LI240" s="111"/>
      <c r="LJ240" s="111"/>
      <c r="LK240" s="111"/>
      <c r="LL240" s="111"/>
      <c r="LM240" s="111"/>
      <c r="LN240" s="111"/>
      <c r="LO240" s="111"/>
      <c r="LP240" s="111"/>
      <c r="LQ240" s="111"/>
      <c r="LR240" s="111"/>
      <c r="LS240" s="111"/>
      <c r="LT240" s="111"/>
      <c r="LU240" s="111"/>
      <c r="LV240" s="111"/>
      <c r="LW240" s="111"/>
      <c r="LX240" s="111"/>
      <c r="LY240" s="111"/>
      <c r="LZ240" s="111"/>
      <c r="MA240" s="111"/>
      <c r="MB240" s="111"/>
      <c r="MC240" s="112" t="str">
        <f>HYPERLINK("http://www.rki.de/DE/Content/Infekt/IfSG/Belehrungsbogen/belehrungsbogen_lebensmittel_spanisch.pdf?__blob=publicationFile","x")</f>
        <v>x</v>
      </c>
      <c r="MD240" s="111"/>
      <c r="ME240" s="111"/>
      <c r="MF240" s="111"/>
      <c r="MG240" s="111"/>
      <c r="MH240" s="111"/>
    </row>
    <row r="241" spans="1:346" x14ac:dyDescent="0.25">
      <c r="A241" s="110" t="s">
        <v>35</v>
      </c>
      <c r="B241" s="101" t="s">
        <v>62</v>
      </c>
      <c r="C241" s="102"/>
      <c r="D241" s="102"/>
      <c r="E241" s="102"/>
      <c r="F241" s="102"/>
      <c r="G241" s="102"/>
      <c r="H241" s="102"/>
      <c r="I241" s="102"/>
      <c r="J241" s="103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2" t="str">
        <f>HYPERLINK("http://www.rundfunkbeitrag.de/e175/e1636/Informationsflyer_Buerginnen_und_Buerger_spanisch.pdf","x")</f>
        <v>x</v>
      </c>
      <c r="AD241" s="111"/>
      <c r="AE241" s="112" t="str">
        <f>HYPERLINK("http://www.kub-berlin.org/formularprojekt/de/spanisch-antraege-und-uebersetzungshilfen/","x")</f>
        <v>x</v>
      </c>
      <c r="AF241" s="111"/>
      <c r="AG241" s="111"/>
      <c r="AH241" s="111"/>
      <c r="AI241" s="111"/>
      <c r="AJ241" s="111"/>
      <c r="AK241" s="111"/>
      <c r="AL241" s="111"/>
      <c r="AM241" s="111"/>
      <c r="AN241" s="112"/>
      <c r="AO241" s="112"/>
      <c r="AP241" s="112"/>
      <c r="AQ241" s="112"/>
      <c r="AR241" s="112"/>
      <c r="AS241" s="112"/>
      <c r="AT241" s="112"/>
      <c r="AU241" s="113"/>
      <c r="AV241" s="114" t="str">
        <f>HYPERLINK("http://sab.landtag.sachsen.de/dokumente/landtagskurier/SAB_DeutschLernen_DinA5_WEB141115.pdf","x")</f>
        <v>x</v>
      </c>
      <c r="AW241" s="114" t="str">
        <f>HYPERLINK("http://sab.landtag.sachsen.de/dokumente/landtagskurier/SAB_PL_Lernposter_WEB091115.pdf","x")</f>
        <v>x</v>
      </c>
      <c r="AX241" s="111"/>
      <c r="AY241" s="111"/>
      <c r="AZ24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1" s="112" t="str">
        <f>HYPERLINK("http://wie-kann-ich-helfen.info/WoerterbuchAnalphabet_innen_%28c%29_Dagmar_Schmeelcke.pdf","x")</f>
        <v>x</v>
      </c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2" t="str">
        <f>HYPERLINK("http://www.goethe.de/lrn/prj/wnd/deu/lti/deindex.htm#13322010","x")</f>
        <v>x</v>
      </c>
      <c r="BS241" s="112"/>
      <c r="BT241" s="111"/>
      <c r="BU241" s="112" t="str">
        <f>HYPERLINK("https://s3-eu-west-1.amazonaws.com/lingolia/download/lingolia_daf.pdf","x")</f>
        <v>x</v>
      </c>
      <c r="BV241" s="112" t="str">
        <f>HYPERLINK("http://www.welcomegrooves.de/wp-content/uploads/2015/10/welcomegrooves_DE-SPANISCH.pdf","x")</f>
        <v>x</v>
      </c>
      <c r="BW241" s="112"/>
      <c r="BX241" s="112"/>
      <c r="BY241" s="112"/>
      <c r="BZ241" s="112" t="str">
        <f>HYPERLINK("http://www.hueber.de/shared/uebungen/schritte-plus","x")</f>
        <v>x</v>
      </c>
      <c r="CA241" s="112" t="str">
        <f>HYPERLINK("https://www.hueber.de/shared/uebungen/menschen-hier/ab/a1-1/menu.html","x")</f>
        <v>x</v>
      </c>
      <c r="CB241" s="112" t="str">
        <f>HYPERLINK("http://www.goethe-verlag.com/DE/","x")</f>
        <v>x</v>
      </c>
      <c r="CC241" s="112"/>
      <c r="CD241" s="112"/>
      <c r="CE241" s="111"/>
      <c r="CF241" s="111"/>
      <c r="CG241" s="112" t="str">
        <f>HYPERLINK("http://mifkjf.rlp.de/fileadmin/mifkjf/Frauen/Gewalt_gegen_Frauen/Downloads/Broschueren_Flyer/Flyer_Gewalt_spanisch.pdf","x")</f>
        <v>x</v>
      </c>
      <c r="CH241" s="111"/>
      <c r="CI241" s="112" t="str">
        <f>HYPERLINK("https://www.hilfetelefon.de/fileadmin/hilfetelefon_de/Materialien/weitere_werbemittel/Klappflyer_Vorder-_und_Rueckseite_opt2.pdf","x")</f>
        <v>x</v>
      </c>
      <c r="CJ241" s="112" t="str">
        <f>HYPERLINK("http://www.e-migrantinnen.de/index.php?de_wichtige-links","x")</f>
        <v>x</v>
      </c>
      <c r="CK241" s="112" t="str">
        <f>HYPERLINK("http://www.frauenberatungsstelle.de/pdf/Migrantinnen-beraten-Migrantinnen.pdf","x")</f>
        <v>x</v>
      </c>
      <c r="CL241" s="112"/>
      <c r="CM241" s="112"/>
      <c r="CN241" s="112"/>
      <c r="CO241" s="112" t="str">
        <f>HYPERLINK("http://www.schwanger-und-viele-fragen.de/es/","x")</f>
        <v>x</v>
      </c>
      <c r="CP241" s="112"/>
      <c r="CQ241" s="112"/>
      <c r="CR241" s="112"/>
      <c r="CS241" s="112"/>
      <c r="CT241" s="112" t="str">
        <f>HYPERLINK("http://www.profamilia.de/fileadmin/publikationen/Erwachsene/mehrsprachig/Verhuetung_spanisch.pdf","x")</f>
        <v>x</v>
      </c>
      <c r="CU241" s="112" t="str">
        <f>HYPERLINK("http://www.profamilia.de/fileadmin/publikationen/Reihe_Verhuetungsmethoden/Bro_Pille_danach_Faltblatt_esp_141103.pdf","x")</f>
        <v>x</v>
      </c>
      <c r="CV241" s="112" t="str">
        <f>HYPERLINK("http://www.profamilia.de/fileadmin/publikationen/Reihe_Verhuetungsmethoden/Einleger_Spanisch.pdf","x")</f>
        <v>x</v>
      </c>
      <c r="CW241" s="112"/>
      <c r="CX241" s="112" t="str">
        <f>HYPERLINK("http://www.caritas-schwarzwald-alb-donau.de/68854.html","x")</f>
        <v>x</v>
      </c>
      <c r="CY241" s="112"/>
      <c r="CZ241" s="112"/>
      <c r="DA241" s="112"/>
      <c r="DB241" s="115" t="str">
        <f>HYPERLINK("http://www.kindersicherheit.de/pdf/2013_BAG_Tomi_and_Mila_Deutsch_Espanol.pdf","x")</f>
        <v>x</v>
      </c>
      <c r="DC241" s="112"/>
      <c r="DD241" s="112"/>
      <c r="DE241" s="112" t="str">
        <f>HYPERLINK("http://fi-lohmar-siegburg.de/data/documents/130-37_Inklusion_im_Anfangsunterricht_-_Poster_mit_Situationsbildern.pdf","x")</f>
        <v>x</v>
      </c>
      <c r="DF241" s="115" t="str">
        <f>HYPERLINK("http://s3-eu-west-1.amazonaws.com/lingolia/calendar/2016/lingolia_2016_de.pdf","x")</f>
        <v>x</v>
      </c>
      <c r="DG241" s="112" t="str">
        <f>HYPERLINK("http://www.bibliomedia.ch/de/angebote/img/Wimmelbild.jpg","x")</f>
        <v>x</v>
      </c>
      <c r="DH241" s="112" t="str">
        <f>HYPERLINK("http://www.bibliomedia.ch/de/angebote/dokumente/Wimmelbild_Fehler.jpg","x")</f>
        <v>x</v>
      </c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2" t="str">
        <f>HYPERLINK("http://bildung.koeln.de/materialbibliothek/download.php?idx=ccf097c3404e26240478c01248debdf8","x")</f>
        <v>x</v>
      </c>
      <c r="DS241" s="112" t="str">
        <f>HYPERLINK("http://bildung.koeln.de/materialbibliothek/download.php?idx=bddd18cfef5da0f16acdd486a807febc","x")</f>
        <v>x</v>
      </c>
      <c r="DT241" s="112"/>
      <c r="DU241" s="112" t="str">
        <f>HYPERLINK("https://www.bmbf.de/pub/Kausa_Elternbroschuere_spanisch.pdf","x")</f>
        <v>x</v>
      </c>
      <c r="DV241" s="112"/>
      <c r="DW241" s="112"/>
      <c r="DX241" s="112" t="str">
        <f>HYPERLINK("http://www.bamf.de/SharedDocs/Anlagen/DE/Publikationen/Flyer/AnerkennungBerufsabschluss/berufliche_anerkennung_akademische-heilberufe_es.pdf?__blob=publicationFile","x")</f>
        <v>x</v>
      </c>
      <c r="DY241" s="112" t="str">
        <f>HYPERLINK("http://www.bamf.de/SharedDocs/Anlagen/DE/Publikationen/Flyer/AnerkennungBerufsabschluss/anerkennung-berufsabschluss_es.pdf?__blob=publicationFile","x")</f>
        <v>x</v>
      </c>
      <c r="DZ241" s="112" t="str">
        <f>HYPERLINK("http://www.bamf.de/SharedDocs/Anlagen/DE/Publikationen/Flyer/AnerkennungBerufsabschluss/anerkennung-berufsabschluss_ausland_es.pdf?__blob=publicationFile","x")</f>
        <v>x</v>
      </c>
      <c r="EA241" s="112"/>
      <c r="EB241" s="112" t="str">
        <f>HYPERLINK("http://www.bamf.de/SharedDocs/Anlagen/DE/Publikationen/Flyer/Berufsbezsprachf-ESF-BAMF/berufsbezsprachf-esf-bamf_es.pdf?__blob=publicationFile","x")</f>
        <v>x</v>
      </c>
      <c r="EC241" s="111"/>
      <c r="ED241" s="111"/>
      <c r="EE241" s="111"/>
      <c r="EF241" s="111"/>
      <c r="EG241" s="111"/>
      <c r="EH241" s="111"/>
      <c r="EI241" s="112"/>
      <c r="EJ241" s="112"/>
      <c r="EK241" s="111"/>
      <c r="EL241" s="112" t="str">
        <f>HYPERLINK("http://www.kvs-sachsen.de/fileadmin/img/Mitglieder/Asylbewerber/Allg-Informationen/Anlage_1_Spanisch_LEK.pdf","x")</f>
        <v>x</v>
      </c>
      <c r="EM241" s="111"/>
      <c r="EN241" s="111"/>
      <c r="EO241" s="117" t="str">
        <f>HYPERLINK("http://www.medi-bild.de/pdf/anamnese/Welche_Sprache.pdf","x")</f>
        <v>x</v>
      </c>
      <c r="EP241" s="117" t="str">
        <f>HYPERLINK("http://www.armut-gesundheit.de/fileadmin/redakteur/dokumente/Anamnesebogen%20-%20spanischnew.pdf","x")</f>
        <v>x</v>
      </c>
      <c r="EQ241" s="112" t="str">
        <f>HYPERLINK("http://www.kvs-sachsen.de/fileadmin/img/Mitglieder/Asylbewerber/Allg-Informationen/Anlagen_2-1_2-2_Spanisch_LEK.pdf","x")</f>
        <v>x</v>
      </c>
      <c r="ER241" s="111"/>
      <c r="ES241" s="111"/>
      <c r="ET241" s="111"/>
      <c r="EU241" s="111"/>
      <c r="EV241" s="112" t="str">
        <f t="shared" si="1291"/>
        <v>x</v>
      </c>
      <c r="EW241" s="112" t="str">
        <f>HYPERLINK("http://www.rki.de/DE/Content/Infekt/IfSG/Belehrungsbogen/belehrungsbogen_eltern_spanisch.pdf?__blob=publicationFile","x")</f>
        <v>x</v>
      </c>
      <c r="EX241" s="111"/>
      <c r="EY241" s="111"/>
      <c r="EZ241" s="111"/>
      <c r="FA241" s="111"/>
      <c r="FB241" s="111"/>
      <c r="FC241" s="112" t="str">
        <f>HYPERLINK("http://mige.ix-tech.de/index.php?id=241","x")</f>
        <v>x</v>
      </c>
      <c r="FD241" s="112" t="str">
        <f>HYPERLINK("http://sghanstedt.elbnetz.com/ueber-uns/","x")</f>
        <v>x</v>
      </c>
      <c r="FE241" s="111"/>
      <c r="FF241" s="111"/>
      <c r="FG241" s="111"/>
      <c r="FH241" s="111"/>
      <c r="FI241" s="112"/>
      <c r="FJ241" s="112" t="str">
        <f>HYPERLINK("http://www.rki.de/DE/Content/Infekt/Impfen/Materialien/Downloads-Impfkalender/Impfkalender_Spanisch.pdf?__blob=publicationFile","x")</f>
        <v>x</v>
      </c>
      <c r="FK241" s="112" t="str">
        <f>HYPERLINK("http://www.ethno-medizinisches-zentrum.de/images/PDF-Files/impfwegweiser_spanisch_2013_online.pdf","x")</f>
        <v>x</v>
      </c>
      <c r="FL241" s="112"/>
      <c r="FM241" s="112" t="str">
        <f>HYPERLINK("http://www.rki.de/DE/Content/Infekt/Impfen/Materialien/Glossar-Downloads/glossar-de-spanisch.pdf?__blob=publicationFile","x")</f>
        <v>x</v>
      </c>
      <c r="FN241" s="112"/>
      <c r="FO241" s="112" t="str">
        <f>HYPERLINK("http://www.rki.de/DE/Content/Infekt/Impfen/Materialien/Downloads-MMR/MMR-Impfinfo-spanisch.pdf?__blob=publicationFile","x")</f>
        <v>x</v>
      </c>
      <c r="FP241" s="111"/>
      <c r="FQ241" s="112" t="str">
        <f>HYPERLINK("http://www.rki.de/DE/Content/Infekt/Impfen/Materialien/Downloads_HepA/Aufklaerung_HAV-Impfung_Spanisch.pdf?__blob=publicationFile","x")</f>
        <v>x</v>
      </c>
      <c r="FR241" s="112" t="str">
        <f>HYPERLINK("http://www.rki.de/DE/Content/Infekt/Impfen/Materialien/Downloads_Pneumokokken/Aufklaerung_Pneumo-Impfung_Spanisch.pdf?__blob=publicationFile","x")</f>
        <v>x</v>
      </c>
      <c r="FS241" s="112" t="str">
        <f>HYPERLINK("http://www.rki.de/DE/Content/Infekt/Impfen/Materialien/Downloads-DTaPIPVHibHepB/DTaPIPVHibHepB-spanisch.pdf?__blob=publicationFile","x")</f>
        <v>x</v>
      </c>
      <c r="FT241" s="112" t="str">
        <f>HYPERLINK("http://www.rki.de/DE/Content/Infekt/Impfen/Materialien/Downloads-Varizellen/Varizellen-Impfinfo-spanisch.pdf;jsessionid=65B697F4EE7EDA8A1ED9E2C4CD6C74EC.2_cid363?__blob=publicationFile","x")</f>
        <v>x</v>
      </c>
      <c r="FU241" s="112" t="str">
        <f>HYPERLINK("http://www.rki.de/DE/Content/Infekt/Impfen/Materialien/Downloads-Tdap-IPV/Tdap-IPV-spanisch.pdf?__blob=publicationFile","x")</f>
        <v>x</v>
      </c>
      <c r="FV241" s="112" t="str">
        <f>HYPERLINK("http://www.rki.de/DE/Content/Infekt/Impfen/Materialien/Downloads-Influenza_nasal/Influenza_nasal-spanisch.pdf?__blob=publicationFile","x")</f>
        <v>x</v>
      </c>
      <c r="FW241" s="111"/>
      <c r="FX241" s="111"/>
      <c r="FY241" s="111"/>
      <c r="FZ241" s="111"/>
      <c r="GA241" s="111"/>
      <c r="GB241" s="111"/>
      <c r="GC241" s="112" t="str">
        <f>HYPERLINK("http://www.ethno-medizinisches-zentrum.de/images/PDF-Files/lf_diabete_spanisch.pdf","x")</f>
        <v>x</v>
      </c>
      <c r="GD241" s="111"/>
      <c r="GE241" s="111"/>
      <c r="GF241" s="111"/>
      <c r="GG241" s="111"/>
      <c r="GH241" s="111"/>
      <c r="GI241" s="111"/>
      <c r="GJ241" s="112" t="str">
        <f>HYPERLINK("http://www.tipdoc.de/bus/pdf/hiv/HIV%20ESP_Webseite.pdf","x")</f>
        <v>x</v>
      </c>
      <c r="GK241" s="111"/>
      <c r="GL241" s="112" t="str">
        <f>HYPERLINK("http://www.rki.de/DE/Content/Infekt/Impfen/Materialien/Downloads-Influenza/Influenza-spanisch.pdf?__blob=publicationFile","x")</f>
        <v>x</v>
      </c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2" t="str">
        <f t="shared" si="1251"/>
        <v>x</v>
      </c>
      <c r="HC241" s="111"/>
      <c r="HD241" s="111"/>
      <c r="HE241" s="111"/>
      <c r="HF241" s="111"/>
      <c r="HG241" s="111"/>
      <c r="HH241" s="111"/>
      <c r="HI241" s="111"/>
      <c r="HJ241" s="112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2" t="str">
        <f>HYPERLINK("http://www.selfhelpfortrauma.org/","x")</f>
        <v>x</v>
      </c>
      <c r="HY241" s="112" t="str">
        <f>HYPERLINK("http://peacefulheart.se/wp-content/uploads/2014/12/Resolving-Yesterday-20141201-Self-Tapping.pdf","x")</f>
        <v>x</v>
      </c>
      <c r="HZ241" s="111"/>
      <c r="IA241" s="111"/>
      <c r="IB241" s="111"/>
      <c r="IC241" s="111"/>
      <c r="ID241" s="111"/>
      <c r="IE241" s="111"/>
      <c r="IF241" s="111"/>
      <c r="IG241" s="111"/>
      <c r="IH241" s="112" t="str">
        <f>HYPERLINK("http://www.caritas.de/hilfeundberatung/onlineberatung/suchtberatung/haeufiggestelltefragensucht/haeufiggestelltefragen-sucht","x")</f>
        <v>x</v>
      </c>
      <c r="II241" s="111"/>
      <c r="IJ241" s="112" t="str">
        <f>HYPERLINK("http://www.bamf.de/SharedDocs/Anlagen/DE/Publikationen/Flyer/Lassen-Sie-Sich-Beraten/lassen-sie-sich-beraten_es.pdf?__blob=publicationFile","x")</f>
        <v>x</v>
      </c>
      <c r="IK241" s="111"/>
      <c r="IL241" s="111"/>
      <c r="IM241" s="112" t="str">
        <f>HYPERLINK("https://www.bamf.de/SharedDocs/Anlagen/DE/Publikationen/Broschueren/willkommen-in-deutschland_es.pdf?__blob=publicationFile","x")</f>
        <v>x</v>
      </c>
      <c r="IN241" s="112"/>
      <c r="IO241" s="111"/>
      <c r="IP241" s="112" t="str">
        <f>HYPERLINK("http://www.bamf.de/SharedDocs/Anlagen/DE/Publikationen/Flyer/Lernen-Sie-Deutsch/lernen-sie-deutsch_es.pdf?__blob=publicationFile","x")</f>
        <v>x</v>
      </c>
      <c r="IQ241" s="112"/>
      <c r="IR241" s="111"/>
      <c r="IS241" s="111"/>
      <c r="IT241" s="111"/>
      <c r="IU241" s="112"/>
      <c r="IV241" s="112"/>
      <c r="IW241" s="112" t="str">
        <f t="shared" si="1292"/>
        <v>x</v>
      </c>
      <c r="IX241" s="112" t="str">
        <f>HYPERLINK("http://www.bamf.de/SharedDocs/Anlagen/DE/Publikationen/Broschueren/broschuere-eat-a4-es-spanisch.pdf?__blob=publicationFile","x")</f>
        <v>x</v>
      </c>
      <c r="IY241" s="111"/>
      <c r="IZ241" s="111"/>
      <c r="JA241" s="111"/>
      <c r="JB241" s="112"/>
      <c r="JC241" s="111"/>
      <c r="JD241" s="112"/>
      <c r="JE241" s="112"/>
      <c r="JF241" s="112"/>
      <c r="JG241" s="112"/>
      <c r="JH241" s="111"/>
      <c r="JI241" s="112"/>
      <c r="JJ241" s="112"/>
      <c r="JK241" s="112" t="str">
        <f>HYPERLINK("http://www.kub-berlin.org/formularprojekt/de/spanisch-antraege-und-uebersetzungshilfen/","x")</f>
        <v>x</v>
      </c>
      <c r="JL241" s="112" t="str">
        <f t="shared" si="1293"/>
        <v>x</v>
      </c>
      <c r="JM241" s="112"/>
      <c r="JN241" s="112"/>
      <c r="JO241" s="112"/>
      <c r="JP241" s="112"/>
      <c r="JQ241" s="112"/>
      <c r="JR241" s="112"/>
      <c r="JS241" s="111"/>
      <c r="JT241" s="111"/>
      <c r="JU241" s="111"/>
      <c r="JV241" s="112"/>
      <c r="JW241" s="112"/>
      <c r="JX241" s="111"/>
      <c r="JY241" s="111"/>
      <c r="JZ241" s="111"/>
      <c r="KA241" s="111"/>
      <c r="KB241" s="111"/>
      <c r="KC241" s="112" t="str">
        <f t="shared" si="1294"/>
        <v>x</v>
      </c>
      <c r="KD241" s="112"/>
      <c r="KE241" s="111"/>
      <c r="KF241" s="111"/>
      <c r="KG241" s="111"/>
      <c r="KH241" s="111"/>
      <c r="KI241" s="111"/>
      <c r="KJ241" s="111"/>
      <c r="KK241" s="111"/>
      <c r="KL241" s="111"/>
      <c r="KM241" s="111"/>
      <c r="KN241" s="111"/>
      <c r="KO241" s="111"/>
      <c r="KP241" s="111"/>
      <c r="KQ241" s="111"/>
      <c r="KR241" s="111"/>
      <c r="KS241" s="111"/>
      <c r="KT241" s="111"/>
      <c r="KU241" s="111"/>
      <c r="KV241" s="111"/>
      <c r="KW241" s="111"/>
      <c r="KX241" s="111"/>
      <c r="KY241" s="111"/>
      <c r="KZ241" s="111"/>
      <c r="LA241" s="111"/>
      <c r="LB241" s="111"/>
      <c r="LC241" s="111"/>
      <c r="LD241" s="111"/>
      <c r="LE241" s="111"/>
      <c r="LF241" s="111"/>
      <c r="LG241" s="111"/>
      <c r="LH241" s="111"/>
      <c r="LI241" s="111"/>
      <c r="LJ241" s="111"/>
      <c r="LK241" s="111"/>
      <c r="LL241" s="111"/>
      <c r="LM241" s="111"/>
      <c r="LN241" s="111"/>
      <c r="LO241" s="111"/>
      <c r="LP241" s="111"/>
      <c r="LQ241" s="111"/>
      <c r="LR241" s="111"/>
      <c r="LS241" s="111"/>
      <c r="LT241" s="111"/>
      <c r="LU241" s="111"/>
      <c r="LV241" s="111"/>
      <c r="LW241" s="111"/>
      <c r="LX241" s="111"/>
      <c r="LY241" s="111"/>
      <c r="LZ241" s="111"/>
      <c r="MA241" s="111"/>
      <c r="MB241" s="111"/>
      <c r="MC241" s="112" t="str">
        <f>HYPERLINK("http://www.rki.de/DE/Content/Infekt/IfSG/Belehrungsbogen/belehrungsbogen_lebensmittel_spanisch.pdf?__blob=publicationFile","x")</f>
        <v>x</v>
      </c>
      <c r="MD241" s="111"/>
      <c r="ME241" s="111"/>
      <c r="MF241" s="111"/>
      <c r="MG241" s="111"/>
      <c r="MH241" s="111"/>
    </row>
    <row r="242" spans="1:346" x14ac:dyDescent="0.25">
      <c r="A242" s="101" t="s">
        <v>476</v>
      </c>
      <c r="B242" s="102"/>
      <c r="C242" s="102"/>
      <c r="D242" s="102"/>
      <c r="E242" s="102"/>
      <c r="F242" s="102"/>
      <c r="G242" s="102"/>
      <c r="H242" s="102"/>
      <c r="I242" s="102"/>
      <c r="J242" s="103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6"/>
      <c r="AV242" s="106"/>
      <c r="AW242" s="106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9"/>
      <c r="EP242" s="109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5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4"/>
      <c r="JJ242" s="104"/>
      <c r="JK242" s="104"/>
      <c r="JL242" s="104"/>
      <c r="JM242" s="104"/>
      <c r="JN242" s="104"/>
      <c r="JO242" s="104"/>
      <c r="JP242" s="104"/>
      <c r="JQ242" s="104"/>
      <c r="JR242" s="104"/>
      <c r="JS242" s="104"/>
      <c r="JT242" s="104"/>
      <c r="JU242" s="104"/>
      <c r="JV242" s="104"/>
      <c r="JW242" s="104"/>
      <c r="JX242" s="104"/>
      <c r="JY242" s="104"/>
      <c r="JZ242" s="104"/>
      <c r="KA242" s="104"/>
      <c r="KB242" s="104"/>
      <c r="KC242" s="104"/>
      <c r="KD242" s="104"/>
      <c r="KE242" s="104"/>
      <c r="KF242" s="104"/>
      <c r="KG242" s="104"/>
      <c r="KH242" s="104"/>
      <c r="KI242" s="104"/>
      <c r="KJ242" s="104"/>
      <c r="KK242" s="104"/>
      <c r="KL242" s="104"/>
      <c r="KM242" s="104"/>
      <c r="KN242" s="104"/>
      <c r="KO242" s="104"/>
      <c r="KP242" s="104"/>
      <c r="KQ242" s="104"/>
      <c r="KR242" s="104"/>
      <c r="KS242" s="104"/>
      <c r="KT242" s="104"/>
      <c r="KU242" s="104"/>
      <c r="KV242" s="104"/>
      <c r="KW242" s="104"/>
      <c r="KX242" s="104"/>
      <c r="KY242" s="104"/>
      <c r="KZ242" s="104"/>
      <c r="LA242" s="104"/>
      <c r="LB242" s="104"/>
      <c r="LC242" s="104"/>
      <c r="LD242" s="104"/>
      <c r="LE242" s="104"/>
      <c r="LF242" s="104"/>
      <c r="LG242" s="104"/>
      <c r="LH242" s="104"/>
      <c r="LI242" s="104"/>
      <c r="LJ242" s="104"/>
      <c r="LK242" s="104"/>
      <c r="LL242" s="104"/>
      <c r="LM242" s="104"/>
      <c r="LN242" s="104"/>
      <c r="LO242" s="104"/>
      <c r="LP242" s="104"/>
      <c r="LQ242" s="104"/>
      <c r="LR242" s="104"/>
      <c r="LS242" s="104"/>
      <c r="LT242" s="104"/>
      <c r="LU242" s="104"/>
      <c r="LV242" s="104"/>
      <c r="LW242" s="104"/>
      <c r="LX242" s="104"/>
      <c r="LY242" s="104"/>
      <c r="LZ242" s="104"/>
      <c r="MA242" s="104"/>
      <c r="MB242" s="104"/>
      <c r="MC242" s="104"/>
      <c r="MD242" s="104"/>
      <c r="ME242" s="104"/>
      <c r="MF242" s="104"/>
      <c r="MG242" s="104"/>
      <c r="MH242" s="104"/>
    </row>
    <row r="243" spans="1:346" x14ac:dyDescent="0.25">
      <c r="A243" s="110" t="s">
        <v>476</v>
      </c>
      <c r="B243" s="101" t="s">
        <v>477</v>
      </c>
      <c r="C243" s="102"/>
      <c r="D243" s="102"/>
      <c r="E243" s="102"/>
      <c r="F243" s="102"/>
      <c r="G243" s="102"/>
      <c r="H243" s="102"/>
      <c r="I243" s="102"/>
      <c r="J243" s="103"/>
      <c r="K243" s="111"/>
      <c r="L243" s="11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1"/>
      <c r="W243" s="112"/>
      <c r="X243" s="111"/>
      <c r="Y243" s="111"/>
      <c r="Z243" s="111"/>
      <c r="AA243" s="111"/>
      <c r="AB243" s="111"/>
      <c r="AC243" s="112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2"/>
      <c r="AO243" s="112"/>
      <c r="AP243" s="112"/>
      <c r="AQ243" s="112"/>
      <c r="AR243" s="112"/>
      <c r="AS243" s="112"/>
      <c r="AT243" s="112"/>
      <c r="AU243" s="113"/>
      <c r="AV243" s="114" t="str">
        <f t="shared" ref="AV243:AV246" si="1295">HYPERLINK("http://sab.landtag.sachsen.de/dokumente/landtagskurier/SAB_DeutschLernen_DinA5_WEB141115.pdf","x")</f>
        <v>x</v>
      </c>
      <c r="AW243" s="114" t="str">
        <f t="shared" ref="AW243:AW246" si="1296">HYPERLINK("http://sab.landtag.sachsen.de/dokumente/landtagskurier/SAB_PL_Lernposter_WEB091115.pdf","x")</f>
        <v>x</v>
      </c>
      <c r="AX243" s="111"/>
      <c r="AY243" s="111"/>
      <c r="AZ243" s="112" t="str">
        <f t="shared" ref="AZ243:AZ246" si="129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3" s="112" t="str">
        <f t="shared" ref="BA243:BA246" si="1298">HYPERLINK("http://wie-kann-ich-helfen.info/WoerterbuchAnalphabet_innen_%28c%29_Dagmar_Schmeelcke.pdf","x")</f>
        <v>x</v>
      </c>
      <c r="BB243" s="111"/>
      <c r="BC243" s="111"/>
      <c r="BD243" s="111"/>
      <c r="BE243" s="111"/>
      <c r="BF243" s="111"/>
      <c r="BG243" s="112"/>
      <c r="BH243" s="112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2" t="str">
        <f t="shared" ref="BR243:BR246" si="1299">HYPERLINK("http://www.goethe.de/lrn/prj/wnd/deu/lti/deindex.htm#13322010","x")</f>
        <v>x</v>
      </c>
      <c r="BS243" s="112"/>
      <c r="BT243" s="111"/>
      <c r="BU243" s="112" t="str">
        <f t="shared" ref="BU243:BU246" si="1300">HYPERLINK("https://s3-eu-west-1.amazonaws.com/lingolia/download/lingolia_daf.pdf","x")</f>
        <v>x</v>
      </c>
      <c r="BV243" s="112"/>
      <c r="BW243" s="112"/>
      <c r="BX243" s="112"/>
      <c r="BY243" s="112"/>
      <c r="BZ243" s="112" t="str">
        <f t="shared" ref="BZ243:BZ246" si="1301">HYPERLINK("http://www.hueber.de/shared/uebungen/schritte-plus","x")</f>
        <v>x</v>
      </c>
      <c r="CA243" s="112" t="str">
        <f t="shared" ref="CA243:CA246" si="1302">HYPERLINK("https://www.hueber.de/shared/uebungen/menschen-hier/ab/a1-1/menu.html","x")</f>
        <v>x</v>
      </c>
      <c r="CB243" s="112" t="str">
        <f t="shared" ref="CB243:CB246" si="1303">HYPERLINK("http://www.goethe-verlag.com/DE/","x")</f>
        <v>x</v>
      </c>
      <c r="CC243" s="112"/>
      <c r="CD243" s="112"/>
      <c r="CE243" s="111"/>
      <c r="CF243" s="112"/>
      <c r="CG243" s="112"/>
      <c r="CH243" s="112"/>
      <c r="CI243" s="112"/>
      <c r="CJ243" s="112" t="str">
        <f t="shared" ref="CJ243:CJ246" si="1304">HYPERLINK("http://www.e-migrantinnen.de/index.php?de_wichtige-links","x")</f>
        <v>x</v>
      </c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5"/>
      <c r="DC243" s="112"/>
      <c r="DD243" s="112"/>
      <c r="DE243" s="112" t="str">
        <f t="shared" ref="DE243:DE246" si="1305">HYPERLINK("http://fi-lohmar-siegburg.de/data/documents/130-37_Inklusion_im_Anfangsunterricht_-_Poster_mit_Situationsbildern.pdf","x")</f>
        <v>x</v>
      </c>
      <c r="DF243" s="115" t="str">
        <f t="shared" ref="DF243:DF246" si="1306">HYPERLINK("http://s3-eu-west-1.amazonaws.com/lingolia/calendar/2016/lingolia_2016_de.pdf","x")</f>
        <v>x</v>
      </c>
      <c r="DG243" s="112" t="str">
        <f t="shared" ref="DG243:DG246" si="1307">HYPERLINK("http://www.bibliomedia.ch/de/angebote/img/Wimmelbild.jpg","x")</f>
        <v>x</v>
      </c>
      <c r="DH243" s="112" t="str">
        <f t="shared" ref="DH243:DH246" si="1308">HYPERLINK("http://www.bibliomedia.ch/de/angebote/dokumente/Wimmelbild_Fehler.jpg","x")</f>
        <v>x</v>
      </c>
      <c r="DI243" s="112" t="str">
        <f>HYPERLINK("http://www.bibliomedia.ch/de/angebote/dokumente/Glossar_tamil.pdf","x")</f>
        <v>x</v>
      </c>
      <c r="DJ243" s="112"/>
      <c r="DK243" s="112"/>
      <c r="DL243" s="112"/>
      <c r="DM243" s="112"/>
      <c r="DN243" s="112"/>
      <c r="DO243" s="111"/>
      <c r="DP243" s="112"/>
      <c r="DQ243" s="112"/>
      <c r="DR243" s="112"/>
      <c r="DS243" s="112"/>
      <c r="DT243" s="112"/>
      <c r="DU243" s="112"/>
      <c r="DV243" s="111"/>
      <c r="DW243" s="111"/>
      <c r="DX243" s="111"/>
      <c r="DY243" s="112"/>
      <c r="DZ243" s="112"/>
      <c r="EA243" s="112"/>
      <c r="EB243" s="112"/>
      <c r="EC243" s="111"/>
      <c r="ED243" s="111"/>
      <c r="EE243" s="111"/>
      <c r="EF243" s="111"/>
      <c r="EG243" s="111"/>
      <c r="EH243" s="111"/>
      <c r="EI243" s="112"/>
      <c r="EJ243" s="112"/>
      <c r="EK243" s="115"/>
      <c r="EL243" s="112"/>
      <c r="EM243" s="112"/>
      <c r="EN243" s="111"/>
      <c r="EO243" s="117"/>
      <c r="EP243" s="117"/>
      <c r="EQ243" s="112"/>
      <c r="ER243" s="111"/>
      <c r="ES243" s="111"/>
      <c r="ET243" s="111"/>
      <c r="EU243" s="112"/>
      <c r="EV243" s="112" t="str">
        <f t="shared" ref="EV243:EV246" si="1309">HYPERLINK("http://www.lak-rlp.de/fileadmin/redakteure/pdf/download/Piktogramme_Dosieretiketten_AoG.pdf","x")</f>
        <v>x</v>
      </c>
      <c r="EW243" s="112"/>
      <c r="EX243" s="112"/>
      <c r="EY243" s="112"/>
      <c r="EZ243" s="112"/>
      <c r="FA243" s="116"/>
      <c r="FB243" s="111"/>
      <c r="FC243" s="112" t="str">
        <f t="shared" ref="FC243:FC246" si="1310">HYPERLINK("http://mige.ix-tech.de/index.php?id=241","x")</f>
        <v>x</v>
      </c>
      <c r="FD243" s="112"/>
      <c r="FE243" s="112"/>
      <c r="FF243" s="111"/>
      <c r="FG243" s="111"/>
      <c r="FH243" s="111"/>
      <c r="FI243" s="112"/>
      <c r="FJ243" s="112"/>
      <c r="FK243" s="112"/>
      <c r="FL243" s="112"/>
      <c r="FM243" s="112"/>
      <c r="FN243" s="112"/>
      <c r="FO243" s="112"/>
      <c r="FP243" s="112"/>
      <c r="FQ243" s="112"/>
      <c r="FR243" s="112"/>
      <c r="FS243" s="112"/>
      <c r="FT243" s="112"/>
      <c r="FU243" s="112"/>
      <c r="FV243" s="112"/>
      <c r="FW243" s="112"/>
      <c r="FX243" s="112"/>
      <c r="FY243" s="112"/>
      <c r="FZ243" s="112"/>
      <c r="GA243" s="112"/>
      <c r="GB243" s="112"/>
      <c r="GC243" s="115"/>
      <c r="GD243" s="112"/>
      <c r="GE243" s="112"/>
      <c r="GF243" s="112"/>
      <c r="GG243" s="112"/>
      <c r="GH243" s="112"/>
      <c r="GI243" s="112"/>
      <c r="GJ243" s="111"/>
      <c r="GK243" s="111"/>
      <c r="GL243" s="112"/>
      <c r="GM243" s="112"/>
      <c r="GN243" s="112"/>
      <c r="GO243" s="112"/>
      <c r="GP243" s="112"/>
      <c r="GQ243" s="111"/>
      <c r="GR243" s="111"/>
      <c r="GS243" s="115"/>
      <c r="GT243" s="112"/>
      <c r="GU243" s="112"/>
      <c r="GV243" s="112"/>
      <c r="GW243" s="112"/>
      <c r="GX243" s="112"/>
      <c r="GY243" s="112"/>
      <c r="GZ243" s="112"/>
      <c r="HA243" s="112"/>
      <c r="HB243" s="112" t="str">
        <f t="shared" si="1251"/>
        <v>x</v>
      </c>
      <c r="HC243" s="112"/>
      <c r="HD243" s="112"/>
      <c r="HE243" s="112"/>
      <c r="HF243" s="112"/>
      <c r="HG243" s="112"/>
      <c r="HH243" s="112"/>
      <c r="HI243" s="112"/>
      <c r="HJ243" s="112"/>
      <c r="HK243" s="115"/>
      <c r="HL243" s="115"/>
      <c r="HM243" s="115"/>
      <c r="HN243" s="115"/>
      <c r="HO243" s="115"/>
      <c r="HP243" s="115"/>
      <c r="HQ243" s="115"/>
      <c r="HR243" s="115"/>
      <c r="HS243" s="115"/>
      <c r="HT243" s="115"/>
      <c r="HU243" s="115"/>
      <c r="HV243" s="115"/>
      <c r="HW243" s="115"/>
      <c r="HX243" s="112" t="str">
        <f t="shared" ref="HX243:HX246" si="1311">HYPERLINK("http://www.selfhelpfortrauma.org/","x")</f>
        <v>x</v>
      </c>
      <c r="HY243" s="112" t="str">
        <f t="shared" ref="HY243:HY246" si="1312">HYPERLINK("http://peacefulheart.se/wp-content/uploads/2014/12/Resolving-Yesterday-20141201-Self-Tapping.pdf","x")</f>
        <v>x</v>
      </c>
      <c r="HZ243" s="115"/>
      <c r="IA243" s="115"/>
      <c r="IB243" s="115"/>
      <c r="IC243" s="115"/>
      <c r="ID243" s="115"/>
      <c r="IE243" s="115"/>
      <c r="IF243" s="115"/>
      <c r="IG243" s="112"/>
      <c r="IH243" s="115"/>
      <c r="II243" s="115"/>
      <c r="IJ243" s="112"/>
      <c r="IK243" s="111"/>
      <c r="IL243" s="111"/>
      <c r="IM243" s="112"/>
      <c r="IN243" s="112"/>
      <c r="IO243" s="111"/>
      <c r="IP243" s="112"/>
      <c r="IQ243" s="112"/>
      <c r="IR243" s="111"/>
      <c r="IS243" s="111"/>
      <c r="IT243" s="111"/>
      <c r="IU243" s="112"/>
      <c r="IV243" s="112"/>
      <c r="IW243" s="112"/>
      <c r="IX243" s="112" t="str">
        <f>HYPERLINK("http://www.bamf.de/SharedDocs/Anlagen/DE/Publikationen/Broschueren/broschuere-eat-a4-ta-tamilisch.pdf?__blob=publicationFile","x")</f>
        <v>x</v>
      </c>
      <c r="IY243" s="111"/>
      <c r="IZ243" s="111"/>
      <c r="JA243" s="111"/>
      <c r="JB243" s="112"/>
      <c r="JC243" s="111"/>
      <c r="JD243" s="112"/>
      <c r="JE243" s="112"/>
      <c r="JF243" s="112"/>
      <c r="JG243" s="112"/>
      <c r="JH243" s="111"/>
      <c r="JI243" s="112"/>
      <c r="JJ243" s="112"/>
      <c r="JK243" s="112"/>
      <c r="JL243" s="112"/>
      <c r="JM243" s="112"/>
      <c r="JN243" s="112"/>
      <c r="JO243" s="112"/>
      <c r="JP243" s="112"/>
      <c r="JQ243" s="112" t="str">
        <f t="shared" ref="JQ243:JQ246" si="1313">HYPERLINK("http://www.ibla-germany.de/merkblaetter.php","x")</f>
        <v>x</v>
      </c>
      <c r="JR243" s="112"/>
      <c r="JS243" s="111"/>
      <c r="JT243" s="111"/>
      <c r="JU243" s="111"/>
      <c r="JV243" s="112"/>
      <c r="JW243" s="112"/>
      <c r="JX243" s="112"/>
      <c r="JY243" s="112"/>
      <c r="JZ243" s="112"/>
      <c r="KA243" s="112"/>
      <c r="KB243" s="112"/>
      <c r="KC243" s="112"/>
      <c r="KD243" s="112"/>
      <c r="KE243" s="111"/>
      <c r="KF243" s="112"/>
      <c r="KG243" s="112"/>
      <c r="KH243" s="112"/>
      <c r="KI243" s="112"/>
      <c r="KJ243" s="112"/>
      <c r="KK243" s="112"/>
      <c r="KL243" s="112"/>
      <c r="KM243" s="112"/>
      <c r="KN243" s="112"/>
      <c r="KO243" s="112"/>
      <c r="KP243" s="112"/>
      <c r="KQ243" s="112"/>
      <c r="KR243" s="112"/>
      <c r="KS243" s="112"/>
      <c r="KT243" s="112"/>
      <c r="KU243" s="112"/>
      <c r="KV243" s="112"/>
      <c r="KW243" s="112"/>
      <c r="KX243" s="112"/>
      <c r="KY243" s="112"/>
      <c r="KZ243" s="112"/>
      <c r="LA243" s="112"/>
      <c r="LB243" s="111"/>
      <c r="LC243" s="111"/>
      <c r="LD243" s="111"/>
      <c r="LE243" s="111"/>
      <c r="LF243" s="111"/>
      <c r="LG243" s="111"/>
      <c r="LH243" s="111"/>
      <c r="LI243" s="111"/>
      <c r="LJ243" s="111"/>
      <c r="LK243" s="111"/>
      <c r="LL243" s="111"/>
      <c r="LM243" s="111"/>
      <c r="LN243" s="111"/>
      <c r="LO243" s="111"/>
      <c r="LP243" s="111"/>
      <c r="LQ243" s="111"/>
      <c r="LR243" s="111"/>
      <c r="LS243" s="111"/>
      <c r="LT243" s="111"/>
      <c r="LU243" s="111"/>
      <c r="LV243" s="111"/>
      <c r="LW243" s="111"/>
      <c r="LX243" s="111"/>
      <c r="LY243" s="111"/>
      <c r="LZ243" s="111"/>
      <c r="MA243" s="111"/>
      <c r="MB243" s="111"/>
      <c r="MC243" s="112"/>
      <c r="MD243" s="111"/>
      <c r="ME243" s="111"/>
      <c r="MF243" s="111"/>
      <c r="MG243" s="111"/>
      <c r="MH243" s="112"/>
    </row>
    <row r="244" spans="1:346" x14ac:dyDescent="0.25">
      <c r="A244" s="110" t="s">
        <v>476</v>
      </c>
      <c r="B244" s="101" t="s">
        <v>90</v>
      </c>
      <c r="C244" s="102"/>
      <c r="D244" s="102"/>
      <c r="E244" s="102"/>
      <c r="F244" s="102"/>
      <c r="G244" s="102"/>
      <c r="H244" s="102"/>
      <c r="I244" s="102"/>
      <c r="J244" s="103"/>
      <c r="K244" s="111"/>
      <c r="L244" s="11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1"/>
      <c r="W244" s="112"/>
      <c r="X244" s="111"/>
      <c r="Y244" s="111"/>
      <c r="Z244" s="111"/>
      <c r="AA244" s="111"/>
      <c r="AB244" s="111"/>
      <c r="AC244" s="112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2"/>
      <c r="AO244" s="112"/>
      <c r="AP244" s="112"/>
      <c r="AQ244" s="112"/>
      <c r="AR244" s="112"/>
      <c r="AS244" s="112"/>
      <c r="AT244" s="112"/>
      <c r="AU244" s="113"/>
      <c r="AV244" s="114" t="str">
        <f t="shared" si="1295"/>
        <v>x</v>
      </c>
      <c r="AW244" s="114" t="str">
        <f t="shared" si="1296"/>
        <v>x</v>
      </c>
      <c r="AX244" s="111"/>
      <c r="AY244" s="111"/>
      <c r="AZ244" s="112" t="str">
        <f t="shared" si="1297"/>
        <v>x</v>
      </c>
      <c r="BA244" s="112" t="str">
        <f t="shared" si="1298"/>
        <v>x</v>
      </c>
      <c r="BB244" s="111"/>
      <c r="BC244" s="111"/>
      <c r="BD244" s="111"/>
      <c r="BE244" s="111"/>
      <c r="BF244" s="111"/>
      <c r="BG244" s="112"/>
      <c r="BH244" s="112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2" t="str">
        <f t="shared" si="1299"/>
        <v>x</v>
      </c>
      <c r="BS244" s="112"/>
      <c r="BT244" s="111"/>
      <c r="BU244" s="112" t="str">
        <f t="shared" si="1300"/>
        <v>x</v>
      </c>
      <c r="BV244" s="112"/>
      <c r="BW244" s="112"/>
      <c r="BX244" s="112"/>
      <c r="BY244" s="112"/>
      <c r="BZ244" s="112" t="str">
        <f t="shared" si="1301"/>
        <v>x</v>
      </c>
      <c r="CA244" s="112" t="str">
        <f t="shared" si="1302"/>
        <v>x</v>
      </c>
      <c r="CB244" s="112" t="str">
        <f t="shared" si="1303"/>
        <v>x</v>
      </c>
      <c r="CC244" s="112"/>
      <c r="CD244" s="112"/>
      <c r="CE244" s="111"/>
      <c r="CF244" s="112"/>
      <c r="CG244" s="112"/>
      <c r="CH244" s="112"/>
      <c r="CI244" s="112"/>
      <c r="CJ244" s="112" t="str">
        <f t="shared" si="1304"/>
        <v>x</v>
      </c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5"/>
      <c r="DC244" s="112"/>
      <c r="DD244" s="112"/>
      <c r="DE244" s="112" t="str">
        <f t="shared" si="1305"/>
        <v>x</v>
      </c>
      <c r="DF244" s="115" t="str">
        <f t="shared" si="1306"/>
        <v>x</v>
      </c>
      <c r="DG244" s="112" t="str">
        <f t="shared" si="1307"/>
        <v>x</v>
      </c>
      <c r="DH244" s="112" t="str">
        <f t="shared" si="1308"/>
        <v>x</v>
      </c>
      <c r="DI244" s="112" t="str">
        <f t="shared" ref="DI244:DI246" si="1314">HYPERLINK("http://www.bibliomedia.ch/de/angebote/dokumente/Glossar_tamil.pdf","x")</f>
        <v>x</v>
      </c>
      <c r="DJ244" s="112"/>
      <c r="DK244" s="112"/>
      <c r="DL244" s="112"/>
      <c r="DM244" s="112"/>
      <c r="DN244" s="112"/>
      <c r="DO244" s="111"/>
      <c r="DP244" s="112"/>
      <c r="DQ244" s="112"/>
      <c r="DR244" s="112"/>
      <c r="DS244" s="112"/>
      <c r="DT244" s="112"/>
      <c r="DU244" s="112"/>
      <c r="DV244" s="111"/>
      <c r="DW244" s="111"/>
      <c r="DX244" s="111"/>
      <c r="DY244" s="112"/>
      <c r="DZ244" s="112"/>
      <c r="EA244" s="112"/>
      <c r="EB244" s="112"/>
      <c r="EC244" s="111"/>
      <c r="ED244" s="111"/>
      <c r="EE244" s="111"/>
      <c r="EF244" s="111"/>
      <c r="EG244" s="111"/>
      <c r="EH244" s="111"/>
      <c r="EI244" s="112"/>
      <c r="EJ244" s="112"/>
      <c r="EK244" s="115"/>
      <c r="EL244" s="112"/>
      <c r="EM244" s="112"/>
      <c r="EN244" s="111"/>
      <c r="EO244" s="117"/>
      <c r="EP244" s="117"/>
      <c r="EQ244" s="112"/>
      <c r="ER244" s="111"/>
      <c r="ES244" s="111"/>
      <c r="ET244" s="111"/>
      <c r="EU244" s="112"/>
      <c r="EV244" s="112" t="str">
        <f t="shared" si="1309"/>
        <v>x</v>
      </c>
      <c r="EW244" s="112"/>
      <c r="EX244" s="112"/>
      <c r="EY244" s="112"/>
      <c r="EZ244" s="112"/>
      <c r="FA244" s="116"/>
      <c r="FB244" s="111"/>
      <c r="FC244" s="112" t="str">
        <f t="shared" si="1310"/>
        <v>x</v>
      </c>
      <c r="FD244" s="112"/>
      <c r="FE244" s="112"/>
      <c r="FF244" s="111"/>
      <c r="FG244" s="111"/>
      <c r="FH244" s="111"/>
      <c r="FI244" s="112"/>
      <c r="FJ244" s="112"/>
      <c r="FK244" s="112"/>
      <c r="FL244" s="112"/>
      <c r="FM244" s="112"/>
      <c r="FN244" s="112"/>
      <c r="FO244" s="112"/>
      <c r="FP244" s="112"/>
      <c r="FQ244" s="112"/>
      <c r="FR244" s="112"/>
      <c r="FS244" s="112"/>
      <c r="FT244" s="112"/>
      <c r="FU244" s="112"/>
      <c r="FV244" s="112"/>
      <c r="FW244" s="112"/>
      <c r="FX244" s="112"/>
      <c r="FY244" s="112"/>
      <c r="FZ244" s="112"/>
      <c r="GA244" s="112"/>
      <c r="GB244" s="112"/>
      <c r="GC244" s="115"/>
      <c r="GD244" s="112"/>
      <c r="GE244" s="112"/>
      <c r="GF244" s="112"/>
      <c r="GG244" s="112"/>
      <c r="GH244" s="112"/>
      <c r="GI244" s="112"/>
      <c r="GJ244" s="111"/>
      <c r="GK244" s="111"/>
      <c r="GL244" s="112"/>
      <c r="GM244" s="112"/>
      <c r="GN244" s="112"/>
      <c r="GO244" s="112"/>
      <c r="GP244" s="112"/>
      <c r="GQ244" s="111"/>
      <c r="GR244" s="111"/>
      <c r="GS244" s="115"/>
      <c r="GT244" s="112"/>
      <c r="GU244" s="112"/>
      <c r="GV244" s="112"/>
      <c r="GW244" s="112"/>
      <c r="GX244" s="112"/>
      <c r="GY244" s="112"/>
      <c r="GZ244" s="112"/>
      <c r="HA244" s="112"/>
      <c r="HB244" s="112" t="str">
        <f t="shared" si="1251"/>
        <v>x</v>
      </c>
      <c r="HC244" s="112"/>
      <c r="HD244" s="112"/>
      <c r="HE244" s="112"/>
      <c r="HF244" s="112"/>
      <c r="HG244" s="112"/>
      <c r="HH244" s="112"/>
      <c r="HI244" s="112"/>
      <c r="HJ244" s="112"/>
      <c r="HK244" s="115"/>
      <c r="HL244" s="115"/>
      <c r="HM244" s="115"/>
      <c r="HN244" s="115"/>
      <c r="HO244" s="115"/>
      <c r="HP244" s="115"/>
      <c r="HQ244" s="115"/>
      <c r="HR244" s="115"/>
      <c r="HS244" s="115"/>
      <c r="HT244" s="115"/>
      <c r="HU244" s="115"/>
      <c r="HV244" s="115"/>
      <c r="HW244" s="115"/>
      <c r="HX244" s="112" t="str">
        <f t="shared" si="1311"/>
        <v>x</v>
      </c>
      <c r="HY244" s="112" t="str">
        <f t="shared" si="1312"/>
        <v>x</v>
      </c>
      <c r="HZ244" s="115"/>
      <c r="IA244" s="115"/>
      <c r="IB244" s="115"/>
      <c r="IC244" s="115"/>
      <c r="ID244" s="115"/>
      <c r="IE244" s="115"/>
      <c r="IF244" s="115"/>
      <c r="IG244" s="112"/>
      <c r="IH244" s="115"/>
      <c r="II244" s="115"/>
      <c r="IJ244" s="112"/>
      <c r="IK244" s="111"/>
      <c r="IL244" s="111"/>
      <c r="IM244" s="112"/>
      <c r="IN244" s="112"/>
      <c r="IO244" s="111"/>
      <c r="IP244" s="112"/>
      <c r="IQ244" s="112"/>
      <c r="IR244" s="111"/>
      <c r="IS244" s="111"/>
      <c r="IT244" s="111"/>
      <c r="IU244" s="112"/>
      <c r="IV244" s="112"/>
      <c r="IW244" s="112"/>
      <c r="IX244" s="112" t="str">
        <f t="shared" ref="IX244:IX246" si="1315">HYPERLINK("http://www.bamf.de/SharedDocs/Anlagen/DE/Publikationen/Broschueren/broschuere-eat-a4-ta-tamilisch.pdf?__blob=publicationFile","x")</f>
        <v>x</v>
      </c>
      <c r="IY244" s="111"/>
      <c r="IZ244" s="111"/>
      <c r="JA244" s="111"/>
      <c r="JB244" s="112"/>
      <c r="JC244" s="111"/>
      <c r="JD244" s="112"/>
      <c r="JE244" s="112"/>
      <c r="JF244" s="112"/>
      <c r="JG244" s="112"/>
      <c r="JH244" s="111"/>
      <c r="JI244" s="112"/>
      <c r="JJ244" s="112"/>
      <c r="JK244" s="112"/>
      <c r="JL244" s="112"/>
      <c r="JM244" s="112"/>
      <c r="JN244" s="112"/>
      <c r="JO244" s="112"/>
      <c r="JP244" s="112"/>
      <c r="JQ244" s="112" t="str">
        <f t="shared" si="1313"/>
        <v>x</v>
      </c>
      <c r="JR244" s="112"/>
      <c r="JS244" s="111"/>
      <c r="JT244" s="111"/>
      <c r="JU244" s="111"/>
      <c r="JV244" s="112"/>
      <c r="JW244" s="112"/>
      <c r="JX244" s="112"/>
      <c r="JY244" s="112"/>
      <c r="JZ244" s="112"/>
      <c r="KA244" s="112"/>
      <c r="KB244" s="112"/>
      <c r="KC244" s="112"/>
      <c r="KD244" s="112"/>
      <c r="KE244" s="111"/>
      <c r="KF244" s="112"/>
      <c r="KG244" s="112"/>
      <c r="KH244" s="112"/>
      <c r="KI244" s="112"/>
      <c r="KJ244" s="112"/>
      <c r="KK244" s="112"/>
      <c r="KL244" s="112"/>
      <c r="KM244" s="112"/>
      <c r="KN244" s="112"/>
      <c r="KO244" s="112"/>
      <c r="KP244" s="112"/>
      <c r="KQ244" s="112"/>
      <c r="KR244" s="112"/>
      <c r="KS244" s="112"/>
      <c r="KT244" s="112"/>
      <c r="KU244" s="112"/>
      <c r="KV244" s="112"/>
      <c r="KW244" s="112"/>
      <c r="KX244" s="112"/>
      <c r="KY244" s="112"/>
      <c r="KZ244" s="112"/>
      <c r="LA244" s="112"/>
      <c r="LB244" s="111"/>
      <c r="LC244" s="111"/>
      <c r="LD244" s="111"/>
      <c r="LE244" s="111"/>
      <c r="LF244" s="111"/>
      <c r="LG244" s="111"/>
      <c r="LH244" s="111"/>
      <c r="LI244" s="111"/>
      <c r="LJ244" s="111"/>
      <c r="LK244" s="111"/>
      <c r="LL244" s="111"/>
      <c r="LM244" s="111"/>
      <c r="LN244" s="111"/>
      <c r="LO244" s="111"/>
      <c r="LP244" s="111"/>
      <c r="LQ244" s="111"/>
      <c r="LR244" s="111"/>
      <c r="LS244" s="111"/>
      <c r="LT244" s="111"/>
      <c r="LU244" s="111"/>
      <c r="LV244" s="111"/>
      <c r="LW244" s="111"/>
      <c r="LX244" s="111"/>
      <c r="LY244" s="111"/>
      <c r="LZ244" s="111"/>
      <c r="MA244" s="111"/>
      <c r="MB244" s="111"/>
      <c r="MC244" s="112"/>
      <c r="MD244" s="111"/>
      <c r="ME244" s="111"/>
      <c r="MF244" s="111"/>
      <c r="MG244" s="111"/>
      <c r="MH244" s="112"/>
    </row>
    <row r="245" spans="1:346" x14ac:dyDescent="0.25">
      <c r="A245" s="110" t="s">
        <v>476</v>
      </c>
      <c r="B245" s="101" t="s">
        <v>140</v>
      </c>
      <c r="C245" s="102"/>
      <c r="D245" s="102"/>
      <c r="E245" s="102"/>
      <c r="F245" s="102"/>
      <c r="G245" s="102"/>
      <c r="H245" s="102"/>
      <c r="I245" s="102"/>
      <c r="J245" s="103"/>
      <c r="K245" s="111"/>
      <c r="L245" s="11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1"/>
      <c r="W245" s="112"/>
      <c r="X245" s="111"/>
      <c r="Y245" s="111"/>
      <c r="Z245" s="111"/>
      <c r="AA245" s="111"/>
      <c r="AB245" s="111"/>
      <c r="AC245" s="112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2"/>
      <c r="AO245" s="112"/>
      <c r="AP245" s="112"/>
      <c r="AQ245" s="112"/>
      <c r="AR245" s="112"/>
      <c r="AS245" s="112"/>
      <c r="AT245" s="112"/>
      <c r="AU245" s="113"/>
      <c r="AV245" s="114" t="str">
        <f t="shared" si="1295"/>
        <v>x</v>
      </c>
      <c r="AW245" s="114" t="str">
        <f t="shared" si="1296"/>
        <v>x</v>
      </c>
      <c r="AX245" s="111"/>
      <c r="AY245" s="111"/>
      <c r="AZ245" s="112" t="str">
        <f t="shared" si="1297"/>
        <v>x</v>
      </c>
      <c r="BA245" s="112" t="str">
        <f t="shared" si="1298"/>
        <v>x</v>
      </c>
      <c r="BB245" s="111"/>
      <c r="BC245" s="111"/>
      <c r="BD245" s="111"/>
      <c r="BE245" s="111"/>
      <c r="BF245" s="111"/>
      <c r="BG245" s="112"/>
      <c r="BH245" s="112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2" t="str">
        <f t="shared" si="1299"/>
        <v>x</v>
      </c>
      <c r="BS245" s="112"/>
      <c r="BT245" s="111"/>
      <c r="BU245" s="112" t="str">
        <f t="shared" si="1300"/>
        <v>x</v>
      </c>
      <c r="BV245" s="112"/>
      <c r="BW245" s="112"/>
      <c r="BX245" s="112"/>
      <c r="BY245" s="112"/>
      <c r="BZ245" s="112" t="str">
        <f t="shared" si="1301"/>
        <v>x</v>
      </c>
      <c r="CA245" s="112" t="str">
        <f t="shared" si="1302"/>
        <v>x</v>
      </c>
      <c r="CB245" s="112" t="str">
        <f t="shared" si="1303"/>
        <v>x</v>
      </c>
      <c r="CC245" s="112"/>
      <c r="CD245" s="112"/>
      <c r="CE245" s="111"/>
      <c r="CF245" s="112"/>
      <c r="CG245" s="112"/>
      <c r="CH245" s="112"/>
      <c r="CI245" s="112"/>
      <c r="CJ245" s="112" t="str">
        <f t="shared" si="1304"/>
        <v>x</v>
      </c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5"/>
      <c r="DC245" s="112"/>
      <c r="DD245" s="112"/>
      <c r="DE245" s="112" t="str">
        <f t="shared" si="1305"/>
        <v>x</v>
      </c>
      <c r="DF245" s="115" t="str">
        <f t="shared" si="1306"/>
        <v>x</v>
      </c>
      <c r="DG245" s="112" t="str">
        <f t="shared" si="1307"/>
        <v>x</v>
      </c>
      <c r="DH245" s="112" t="str">
        <f t="shared" si="1308"/>
        <v>x</v>
      </c>
      <c r="DI245" s="112" t="str">
        <f t="shared" si="1314"/>
        <v>x</v>
      </c>
      <c r="DJ245" s="112"/>
      <c r="DK245" s="112"/>
      <c r="DL245" s="112"/>
      <c r="DM245" s="112"/>
      <c r="DN245" s="112"/>
      <c r="DO245" s="111"/>
      <c r="DP245" s="112"/>
      <c r="DQ245" s="112"/>
      <c r="DR245" s="112"/>
      <c r="DS245" s="112"/>
      <c r="DT245" s="112"/>
      <c r="DU245" s="112"/>
      <c r="DV245" s="111"/>
      <c r="DW245" s="111"/>
      <c r="DX245" s="111"/>
      <c r="DY245" s="112"/>
      <c r="DZ245" s="112"/>
      <c r="EA245" s="112"/>
      <c r="EB245" s="112"/>
      <c r="EC245" s="111"/>
      <c r="ED245" s="111"/>
      <c r="EE245" s="111"/>
      <c r="EF245" s="111"/>
      <c r="EG245" s="111"/>
      <c r="EH245" s="111"/>
      <c r="EI245" s="112"/>
      <c r="EJ245" s="112"/>
      <c r="EK245" s="115"/>
      <c r="EL245" s="112"/>
      <c r="EM245" s="112"/>
      <c r="EN245" s="111"/>
      <c r="EO245" s="117"/>
      <c r="EP245" s="117"/>
      <c r="EQ245" s="112"/>
      <c r="ER245" s="111"/>
      <c r="ES245" s="111"/>
      <c r="ET245" s="111"/>
      <c r="EU245" s="112"/>
      <c r="EV245" s="112" t="str">
        <f t="shared" si="1309"/>
        <v>x</v>
      </c>
      <c r="EW245" s="112"/>
      <c r="EX245" s="112"/>
      <c r="EY245" s="112"/>
      <c r="EZ245" s="112"/>
      <c r="FA245" s="116"/>
      <c r="FB245" s="111"/>
      <c r="FC245" s="112" t="str">
        <f t="shared" si="1310"/>
        <v>x</v>
      </c>
      <c r="FD245" s="112"/>
      <c r="FE245" s="112"/>
      <c r="FF245" s="111"/>
      <c r="FG245" s="111"/>
      <c r="FH245" s="111"/>
      <c r="FI245" s="112"/>
      <c r="FJ245" s="112"/>
      <c r="FK245" s="112"/>
      <c r="FL245" s="112"/>
      <c r="FM245" s="112"/>
      <c r="FN245" s="112"/>
      <c r="FO245" s="112"/>
      <c r="FP245" s="112"/>
      <c r="FQ245" s="112"/>
      <c r="FR245" s="112"/>
      <c r="FS245" s="112"/>
      <c r="FT245" s="112"/>
      <c r="FU245" s="112"/>
      <c r="FV245" s="112"/>
      <c r="FW245" s="112"/>
      <c r="FX245" s="112"/>
      <c r="FY245" s="112"/>
      <c r="FZ245" s="112"/>
      <c r="GA245" s="112"/>
      <c r="GB245" s="112"/>
      <c r="GC245" s="115"/>
      <c r="GD245" s="112"/>
      <c r="GE245" s="112"/>
      <c r="GF245" s="112"/>
      <c r="GG245" s="112"/>
      <c r="GH245" s="112"/>
      <c r="GI245" s="112"/>
      <c r="GJ245" s="111"/>
      <c r="GK245" s="111"/>
      <c r="GL245" s="112"/>
      <c r="GM245" s="112"/>
      <c r="GN245" s="112"/>
      <c r="GO245" s="112"/>
      <c r="GP245" s="112"/>
      <c r="GQ245" s="111"/>
      <c r="GR245" s="111"/>
      <c r="GS245" s="115"/>
      <c r="GT245" s="112"/>
      <c r="GU245" s="112"/>
      <c r="GV245" s="112"/>
      <c r="GW245" s="112"/>
      <c r="GX245" s="112"/>
      <c r="GY245" s="112"/>
      <c r="GZ245" s="112"/>
      <c r="HA245" s="112"/>
      <c r="HB245" s="112" t="str">
        <f t="shared" si="1251"/>
        <v>x</v>
      </c>
      <c r="HC245" s="112"/>
      <c r="HD245" s="112"/>
      <c r="HE245" s="112"/>
      <c r="HF245" s="112"/>
      <c r="HG245" s="112"/>
      <c r="HH245" s="112"/>
      <c r="HI245" s="112"/>
      <c r="HJ245" s="112"/>
      <c r="HK245" s="115"/>
      <c r="HL245" s="115"/>
      <c r="HM245" s="115"/>
      <c r="HN245" s="115"/>
      <c r="HO245" s="115"/>
      <c r="HP245" s="115"/>
      <c r="HQ245" s="115"/>
      <c r="HR245" s="115"/>
      <c r="HS245" s="115"/>
      <c r="HT245" s="115"/>
      <c r="HU245" s="115"/>
      <c r="HV245" s="115"/>
      <c r="HW245" s="115"/>
      <c r="HX245" s="112" t="str">
        <f t="shared" si="1311"/>
        <v>x</v>
      </c>
      <c r="HY245" s="112" t="str">
        <f t="shared" si="1312"/>
        <v>x</v>
      </c>
      <c r="HZ245" s="115"/>
      <c r="IA245" s="115"/>
      <c r="IB245" s="115"/>
      <c r="IC245" s="115"/>
      <c r="ID245" s="115"/>
      <c r="IE245" s="115"/>
      <c r="IF245" s="115"/>
      <c r="IG245" s="112"/>
      <c r="IH245" s="115"/>
      <c r="II245" s="115"/>
      <c r="IJ245" s="112"/>
      <c r="IK245" s="111"/>
      <c r="IL245" s="111"/>
      <c r="IM245" s="112"/>
      <c r="IN245" s="112"/>
      <c r="IO245" s="111"/>
      <c r="IP245" s="112"/>
      <c r="IQ245" s="112"/>
      <c r="IR245" s="111"/>
      <c r="IS245" s="111"/>
      <c r="IT245" s="111"/>
      <c r="IU245" s="112"/>
      <c r="IV245" s="112"/>
      <c r="IW245" s="112"/>
      <c r="IX245" s="112" t="str">
        <f t="shared" si="1315"/>
        <v>x</v>
      </c>
      <c r="IY245" s="111"/>
      <c r="IZ245" s="111"/>
      <c r="JA245" s="111"/>
      <c r="JB245" s="112"/>
      <c r="JC245" s="111"/>
      <c r="JD245" s="112"/>
      <c r="JE245" s="112"/>
      <c r="JF245" s="112"/>
      <c r="JG245" s="112"/>
      <c r="JH245" s="111"/>
      <c r="JI245" s="112"/>
      <c r="JJ245" s="112"/>
      <c r="JK245" s="112"/>
      <c r="JL245" s="112"/>
      <c r="JM245" s="112"/>
      <c r="JN245" s="112"/>
      <c r="JO245" s="112"/>
      <c r="JP245" s="112"/>
      <c r="JQ245" s="112" t="str">
        <f t="shared" si="1313"/>
        <v>x</v>
      </c>
      <c r="JR245" s="112"/>
      <c r="JS245" s="111"/>
      <c r="JT245" s="111"/>
      <c r="JU245" s="111"/>
      <c r="JV245" s="112"/>
      <c r="JW245" s="112"/>
      <c r="JX245" s="112"/>
      <c r="JY245" s="112"/>
      <c r="JZ245" s="112"/>
      <c r="KA245" s="112"/>
      <c r="KB245" s="112"/>
      <c r="KC245" s="112"/>
      <c r="KD245" s="112"/>
      <c r="KE245" s="111"/>
      <c r="KF245" s="112"/>
      <c r="KG245" s="112"/>
      <c r="KH245" s="112"/>
      <c r="KI245" s="112"/>
      <c r="KJ245" s="112"/>
      <c r="KK245" s="112"/>
      <c r="KL245" s="112"/>
      <c r="KM245" s="112"/>
      <c r="KN245" s="112"/>
      <c r="KO245" s="112"/>
      <c r="KP245" s="112"/>
      <c r="KQ245" s="112"/>
      <c r="KR245" s="112"/>
      <c r="KS245" s="112"/>
      <c r="KT245" s="112"/>
      <c r="KU245" s="112"/>
      <c r="KV245" s="112"/>
      <c r="KW245" s="112"/>
      <c r="KX245" s="112"/>
      <c r="KY245" s="112"/>
      <c r="KZ245" s="112"/>
      <c r="LA245" s="112"/>
      <c r="LB245" s="111"/>
      <c r="LC245" s="111"/>
      <c r="LD245" s="111"/>
      <c r="LE245" s="111"/>
      <c r="LF245" s="111"/>
      <c r="LG245" s="111"/>
      <c r="LH245" s="111"/>
      <c r="LI245" s="111"/>
      <c r="LJ245" s="111"/>
      <c r="LK245" s="111"/>
      <c r="LL245" s="111"/>
      <c r="LM245" s="111"/>
      <c r="LN245" s="111"/>
      <c r="LO245" s="111"/>
      <c r="LP245" s="111"/>
      <c r="LQ245" s="111"/>
      <c r="LR245" s="111"/>
      <c r="LS245" s="111"/>
      <c r="LT245" s="111"/>
      <c r="LU245" s="111"/>
      <c r="LV245" s="111"/>
      <c r="LW245" s="111"/>
      <c r="LX245" s="111"/>
      <c r="LY245" s="111"/>
      <c r="LZ245" s="111"/>
      <c r="MA245" s="111"/>
      <c r="MB245" s="111"/>
      <c r="MC245" s="112"/>
      <c r="MD245" s="111"/>
      <c r="ME245" s="111"/>
      <c r="MF245" s="111"/>
      <c r="MG245" s="111"/>
      <c r="MH245" s="112"/>
    </row>
    <row r="246" spans="1:346" x14ac:dyDescent="0.25">
      <c r="A246" s="110" t="s">
        <v>476</v>
      </c>
      <c r="B246" s="101" t="s">
        <v>138</v>
      </c>
      <c r="C246" s="102"/>
      <c r="D246" s="102"/>
      <c r="E246" s="102"/>
      <c r="F246" s="102"/>
      <c r="G246" s="102"/>
      <c r="H246" s="102"/>
      <c r="I246" s="102"/>
      <c r="J246" s="103"/>
      <c r="K246" s="111"/>
      <c r="L246" s="11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1"/>
      <c r="W246" s="112"/>
      <c r="X246" s="111"/>
      <c r="Y246" s="111"/>
      <c r="Z246" s="111"/>
      <c r="AA246" s="111"/>
      <c r="AB246" s="111"/>
      <c r="AC246" s="112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2"/>
      <c r="AO246" s="112"/>
      <c r="AP246" s="112"/>
      <c r="AQ246" s="112"/>
      <c r="AR246" s="112"/>
      <c r="AS246" s="112"/>
      <c r="AT246" s="112"/>
      <c r="AU246" s="113"/>
      <c r="AV246" s="114" t="str">
        <f t="shared" si="1295"/>
        <v>x</v>
      </c>
      <c r="AW246" s="114" t="str">
        <f t="shared" si="1296"/>
        <v>x</v>
      </c>
      <c r="AX246" s="111"/>
      <c r="AY246" s="111"/>
      <c r="AZ246" s="112" t="str">
        <f t="shared" si="1297"/>
        <v>x</v>
      </c>
      <c r="BA246" s="112" t="str">
        <f t="shared" si="1298"/>
        <v>x</v>
      </c>
      <c r="BB246" s="111"/>
      <c r="BC246" s="111"/>
      <c r="BD246" s="111"/>
      <c r="BE246" s="111"/>
      <c r="BF246" s="111"/>
      <c r="BG246" s="112"/>
      <c r="BH246" s="112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2" t="str">
        <f t="shared" si="1299"/>
        <v>x</v>
      </c>
      <c r="BS246" s="112"/>
      <c r="BT246" s="111"/>
      <c r="BU246" s="112" t="str">
        <f t="shared" si="1300"/>
        <v>x</v>
      </c>
      <c r="BV246" s="112"/>
      <c r="BW246" s="112"/>
      <c r="BX246" s="112"/>
      <c r="BY246" s="112"/>
      <c r="BZ246" s="112" t="str">
        <f t="shared" si="1301"/>
        <v>x</v>
      </c>
      <c r="CA246" s="112" t="str">
        <f t="shared" si="1302"/>
        <v>x</v>
      </c>
      <c r="CB246" s="112" t="str">
        <f t="shared" si="1303"/>
        <v>x</v>
      </c>
      <c r="CC246" s="112"/>
      <c r="CD246" s="112"/>
      <c r="CE246" s="111"/>
      <c r="CF246" s="112"/>
      <c r="CG246" s="112"/>
      <c r="CH246" s="112"/>
      <c r="CI246" s="112"/>
      <c r="CJ246" s="112" t="str">
        <f t="shared" si="1304"/>
        <v>x</v>
      </c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5"/>
      <c r="DC246" s="112"/>
      <c r="DD246" s="112"/>
      <c r="DE246" s="112" t="str">
        <f t="shared" si="1305"/>
        <v>x</v>
      </c>
      <c r="DF246" s="115" t="str">
        <f t="shared" si="1306"/>
        <v>x</v>
      </c>
      <c r="DG246" s="112" t="str">
        <f t="shared" si="1307"/>
        <v>x</v>
      </c>
      <c r="DH246" s="112" t="str">
        <f t="shared" si="1308"/>
        <v>x</v>
      </c>
      <c r="DI246" s="112" t="str">
        <f t="shared" si="1314"/>
        <v>x</v>
      </c>
      <c r="DJ246" s="112"/>
      <c r="DK246" s="112"/>
      <c r="DL246" s="112"/>
      <c r="DM246" s="112"/>
      <c r="DN246" s="112"/>
      <c r="DO246" s="111"/>
      <c r="DP246" s="112"/>
      <c r="DQ246" s="112"/>
      <c r="DR246" s="112"/>
      <c r="DS246" s="112"/>
      <c r="DT246" s="112"/>
      <c r="DU246" s="112"/>
      <c r="DV246" s="111"/>
      <c r="DW246" s="111"/>
      <c r="DX246" s="111"/>
      <c r="DY246" s="112"/>
      <c r="DZ246" s="112"/>
      <c r="EA246" s="112"/>
      <c r="EB246" s="112"/>
      <c r="EC246" s="111"/>
      <c r="ED246" s="111"/>
      <c r="EE246" s="111"/>
      <c r="EF246" s="111"/>
      <c r="EG246" s="111"/>
      <c r="EH246" s="111"/>
      <c r="EI246" s="112"/>
      <c r="EJ246" s="112"/>
      <c r="EK246" s="115"/>
      <c r="EL246" s="112"/>
      <c r="EM246" s="112"/>
      <c r="EN246" s="111"/>
      <c r="EO246" s="117"/>
      <c r="EP246" s="117"/>
      <c r="EQ246" s="112"/>
      <c r="ER246" s="111"/>
      <c r="ES246" s="111"/>
      <c r="ET246" s="111"/>
      <c r="EU246" s="112"/>
      <c r="EV246" s="112" t="str">
        <f t="shared" si="1309"/>
        <v>x</v>
      </c>
      <c r="EW246" s="112"/>
      <c r="EX246" s="112"/>
      <c r="EY246" s="112"/>
      <c r="EZ246" s="112"/>
      <c r="FA246" s="116"/>
      <c r="FB246" s="111"/>
      <c r="FC246" s="112" t="str">
        <f t="shared" si="1310"/>
        <v>x</v>
      </c>
      <c r="FD246" s="112"/>
      <c r="FE246" s="112"/>
      <c r="FF246" s="111"/>
      <c r="FG246" s="111"/>
      <c r="FH246" s="111"/>
      <c r="FI246" s="112"/>
      <c r="FJ246" s="112"/>
      <c r="FK246" s="112"/>
      <c r="FL246" s="112"/>
      <c r="FM246" s="112"/>
      <c r="FN246" s="112"/>
      <c r="FO246" s="112"/>
      <c r="FP246" s="112"/>
      <c r="FQ246" s="112"/>
      <c r="FR246" s="112"/>
      <c r="FS246" s="112"/>
      <c r="FT246" s="112"/>
      <c r="FU246" s="112"/>
      <c r="FV246" s="112"/>
      <c r="FW246" s="112"/>
      <c r="FX246" s="112"/>
      <c r="FY246" s="112"/>
      <c r="FZ246" s="112"/>
      <c r="GA246" s="112"/>
      <c r="GB246" s="112"/>
      <c r="GC246" s="115"/>
      <c r="GD246" s="112"/>
      <c r="GE246" s="112"/>
      <c r="GF246" s="112"/>
      <c r="GG246" s="112"/>
      <c r="GH246" s="112"/>
      <c r="GI246" s="112"/>
      <c r="GJ246" s="111"/>
      <c r="GK246" s="111"/>
      <c r="GL246" s="112"/>
      <c r="GM246" s="112"/>
      <c r="GN246" s="112"/>
      <c r="GO246" s="112"/>
      <c r="GP246" s="112"/>
      <c r="GQ246" s="111"/>
      <c r="GR246" s="111"/>
      <c r="GS246" s="115"/>
      <c r="GT246" s="112"/>
      <c r="GU246" s="112"/>
      <c r="GV246" s="112"/>
      <c r="GW246" s="112"/>
      <c r="GX246" s="112"/>
      <c r="GY246" s="112"/>
      <c r="GZ246" s="112"/>
      <c r="HA246" s="112"/>
      <c r="HB246" s="112" t="str">
        <f t="shared" si="1251"/>
        <v>x</v>
      </c>
      <c r="HC246" s="112"/>
      <c r="HD246" s="112"/>
      <c r="HE246" s="112"/>
      <c r="HF246" s="112"/>
      <c r="HG246" s="112"/>
      <c r="HH246" s="112"/>
      <c r="HI246" s="112"/>
      <c r="HJ246" s="112"/>
      <c r="HK246" s="115"/>
      <c r="HL246" s="115"/>
      <c r="HM246" s="115"/>
      <c r="HN246" s="115"/>
      <c r="HO246" s="115"/>
      <c r="HP246" s="115"/>
      <c r="HQ246" s="115"/>
      <c r="HR246" s="115"/>
      <c r="HS246" s="115"/>
      <c r="HT246" s="115"/>
      <c r="HU246" s="115"/>
      <c r="HV246" s="115"/>
      <c r="HW246" s="115"/>
      <c r="HX246" s="112" t="str">
        <f t="shared" si="1311"/>
        <v>x</v>
      </c>
      <c r="HY246" s="112" t="str">
        <f t="shared" si="1312"/>
        <v>x</v>
      </c>
      <c r="HZ246" s="115"/>
      <c r="IA246" s="115"/>
      <c r="IB246" s="115"/>
      <c r="IC246" s="115"/>
      <c r="ID246" s="115"/>
      <c r="IE246" s="115"/>
      <c r="IF246" s="115"/>
      <c r="IG246" s="112"/>
      <c r="IH246" s="115"/>
      <c r="II246" s="115"/>
      <c r="IJ246" s="112"/>
      <c r="IK246" s="111"/>
      <c r="IL246" s="111"/>
      <c r="IM246" s="112"/>
      <c r="IN246" s="112"/>
      <c r="IO246" s="111"/>
      <c r="IP246" s="112"/>
      <c r="IQ246" s="112"/>
      <c r="IR246" s="111"/>
      <c r="IS246" s="111"/>
      <c r="IT246" s="111"/>
      <c r="IU246" s="112"/>
      <c r="IV246" s="112"/>
      <c r="IW246" s="112"/>
      <c r="IX246" s="112" t="str">
        <f t="shared" si="1315"/>
        <v>x</v>
      </c>
      <c r="IY246" s="111"/>
      <c r="IZ246" s="111"/>
      <c r="JA246" s="111"/>
      <c r="JB246" s="112"/>
      <c r="JC246" s="111"/>
      <c r="JD246" s="112"/>
      <c r="JE246" s="112"/>
      <c r="JF246" s="112"/>
      <c r="JG246" s="112"/>
      <c r="JH246" s="111"/>
      <c r="JI246" s="112"/>
      <c r="JJ246" s="112"/>
      <c r="JK246" s="112"/>
      <c r="JL246" s="112"/>
      <c r="JM246" s="112"/>
      <c r="JN246" s="112"/>
      <c r="JO246" s="112"/>
      <c r="JP246" s="112"/>
      <c r="JQ246" s="112" t="str">
        <f t="shared" si="1313"/>
        <v>x</v>
      </c>
      <c r="JR246" s="112"/>
      <c r="JS246" s="111"/>
      <c r="JT246" s="111"/>
      <c r="JU246" s="111"/>
      <c r="JV246" s="112"/>
      <c r="JW246" s="112"/>
      <c r="JX246" s="112"/>
      <c r="JY246" s="112"/>
      <c r="JZ246" s="112"/>
      <c r="KA246" s="112"/>
      <c r="KB246" s="112"/>
      <c r="KC246" s="112"/>
      <c r="KD246" s="112"/>
      <c r="KE246" s="111"/>
      <c r="KF246" s="112"/>
      <c r="KG246" s="112"/>
      <c r="KH246" s="112"/>
      <c r="KI246" s="112"/>
      <c r="KJ246" s="112"/>
      <c r="KK246" s="112"/>
      <c r="KL246" s="112"/>
      <c r="KM246" s="112"/>
      <c r="KN246" s="112"/>
      <c r="KO246" s="112"/>
      <c r="KP246" s="112"/>
      <c r="KQ246" s="112"/>
      <c r="KR246" s="112"/>
      <c r="KS246" s="112"/>
      <c r="KT246" s="112"/>
      <c r="KU246" s="112"/>
      <c r="KV246" s="112"/>
      <c r="KW246" s="112"/>
      <c r="KX246" s="112"/>
      <c r="KY246" s="112"/>
      <c r="KZ246" s="112"/>
      <c r="LA246" s="112"/>
      <c r="LB246" s="111"/>
      <c r="LC246" s="111"/>
      <c r="LD246" s="111"/>
      <c r="LE246" s="111"/>
      <c r="LF246" s="111"/>
      <c r="LG246" s="111"/>
      <c r="LH246" s="111"/>
      <c r="LI246" s="111"/>
      <c r="LJ246" s="111"/>
      <c r="LK246" s="111"/>
      <c r="LL246" s="111"/>
      <c r="LM246" s="111"/>
      <c r="LN246" s="111"/>
      <c r="LO246" s="111"/>
      <c r="LP246" s="111"/>
      <c r="LQ246" s="111"/>
      <c r="LR246" s="111"/>
      <c r="LS246" s="111"/>
      <c r="LT246" s="111"/>
      <c r="LU246" s="111"/>
      <c r="LV246" s="111"/>
      <c r="LW246" s="111"/>
      <c r="LX246" s="111"/>
      <c r="LY246" s="111"/>
      <c r="LZ246" s="111"/>
      <c r="MA246" s="111"/>
      <c r="MB246" s="111"/>
      <c r="MC246" s="112"/>
      <c r="MD246" s="111"/>
      <c r="ME246" s="111"/>
      <c r="MF246" s="111"/>
      <c r="MG246" s="111"/>
      <c r="MH246" s="112"/>
    </row>
    <row r="247" spans="1:346" x14ac:dyDescent="0.25">
      <c r="A247" s="101" t="s">
        <v>10</v>
      </c>
      <c r="B247" s="102"/>
      <c r="C247" s="102"/>
      <c r="D247" s="102"/>
      <c r="E247" s="102"/>
      <c r="F247" s="102"/>
      <c r="G247" s="102"/>
      <c r="H247" s="102"/>
      <c r="I247" s="102"/>
      <c r="J247" s="10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6"/>
      <c r="AV247" s="106"/>
      <c r="AW247" s="106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9"/>
      <c r="EP247" s="109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5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4"/>
      <c r="JJ247" s="104"/>
      <c r="JK247" s="104"/>
      <c r="JL247" s="104"/>
      <c r="JM247" s="104"/>
      <c r="JN247" s="104"/>
      <c r="JO247" s="104"/>
      <c r="JP247" s="104"/>
      <c r="JQ247" s="104"/>
      <c r="JR247" s="104"/>
      <c r="JS247" s="104"/>
      <c r="JT247" s="104"/>
      <c r="JU247" s="104"/>
      <c r="JV247" s="104"/>
      <c r="JW247" s="104"/>
      <c r="JX247" s="104"/>
      <c r="JY247" s="104"/>
      <c r="JZ247" s="104"/>
      <c r="KA247" s="104"/>
      <c r="KB247" s="104"/>
      <c r="KC247" s="104"/>
      <c r="KD247" s="104"/>
      <c r="KE247" s="104"/>
      <c r="KF247" s="104"/>
      <c r="KG247" s="104"/>
      <c r="KH247" s="104"/>
      <c r="KI247" s="104"/>
      <c r="KJ247" s="104"/>
      <c r="KK247" s="104"/>
      <c r="KL247" s="104"/>
      <c r="KM247" s="104"/>
      <c r="KN247" s="104"/>
      <c r="KO247" s="104"/>
      <c r="KP247" s="104"/>
      <c r="KQ247" s="104"/>
      <c r="KR247" s="104"/>
      <c r="KS247" s="104"/>
      <c r="KT247" s="104"/>
      <c r="KU247" s="104"/>
      <c r="KV247" s="104"/>
      <c r="KW247" s="104"/>
      <c r="KX247" s="104"/>
      <c r="KY247" s="104"/>
      <c r="KZ247" s="104"/>
      <c r="LA247" s="104"/>
      <c r="LB247" s="104"/>
      <c r="LC247" s="104"/>
      <c r="LD247" s="104"/>
      <c r="LE247" s="104"/>
      <c r="LF247" s="104"/>
      <c r="LG247" s="104"/>
      <c r="LH247" s="104"/>
      <c r="LI247" s="104"/>
      <c r="LJ247" s="104"/>
      <c r="LK247" s="104"/>
      <c r="LL247" s="104"/>
      <c r="LM247" s="104"/>
      <c r="LN247" s="104"/>
      <c r="LO247" s="104"/>
      <c r="LP247" s="104"/>
      <c r="LQ247" s="104"/>
      <c r="LR247" s="104"/>
      <c r="LS247" s="104"/>
      <c r="LT247" s="104"/>
      <c r="LU247" s="104"/>
      <c r="LV247" s="104"/>
      <c r="LW247" s="104"/>
      <c r="LX247" s="104"/>
      <c r="LY247" s="104"/>
      <c r="LZ247" s="104"/>
      <c r="MA247" s="104"/>
      <c r="MB247" s="104"/>
      <c r="MC247" s="104"/>
      <c r="MD247" s="104"/>
      <c r="ME247" s="104"/>
      <c r="MF247" s="104"/>
      <c r="MG247" s="104"/>
      <c r="MH247" s="104"/>
    </row>
    <row r="248" spans="1:346" x14ac:dyDescent="0.25">
      <c r="A248" s="110" t="s">
        <v>10</v>
      </c>
      <c r="B248" s="101" t="s">
        <v>48</v>
      </c>
      <c r="C248" s="102"/>
      <c r="D248" s="102"/>
      <c r="E248" s="102"/>
      <c r="F248" s="102"/>
      <c r="G248" s="102"/>
      <c r="H248" s="102"/>
      <c r="I248" s="102"/>
      <c r="J248" s="103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2" t="str">
        <f t="shared" ref="AG248:AG249" si="1316">HYPERLINK("http://sghanstedt.elbnetz.com/ueber-uns/","x")</f>
        <v>x</v>
      </c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3"/>
      <c r="AV248" s="114" t="str">
        <f t="shared" ref="AV248:AV249" si="1317">HYPERLINK("http://sab.landtag.sachsen.de/dokumente/landtagskurier/SAB_DeutschLernen_DinA5_WEB141115.pdf","x")</f>
        <v>x</v>
      </c>
      <c r="AW248" s="114" t="str">
        <f t="shared" ref="AW248:AW249" si="1318">HYPERLINK("http://sab.landtag.sachsen.de/dokumente/landtagskurier/SAB_PL_Lernposter_WEB091115.pdf","x")</f>
        <v>x</v>
      </c>
      <c r="AX248" s="111"/>
      <c r="AY248" s="111"/>
      <c r="AZ248" s="112" t="str">
        <f t="shared" ref="AZ248:AZ249" si="131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8" s="112" t="str">
        <f t="shared" ref="BA248:BA249" si="1320">HYPERLINK("http://wie-kann-ich-helfen.info/WoerterbuchAnalphabet_innen_%28c%29_Dagmar_Schmeelcke.pdf","x")</f>
        <v>x</v>
      </c>
      <c r="BB248" s="111"/>
      <c r="BC248" s="111"/>
      <c r="BD248" s="111"/>
      <c r="BE248" s="111"/>
      <c r="BF248" s="111"/>
      <c r="BG248" s="111"/>
      <c r="BH248" s="112" t="str">
        <f>HYPERLINK("https://www.advanced-online.eu/downloads/RefugeePhrasebookCards_German-Tigrinya.pdf","x")</f>
        <v>x</v>
      </c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2" t="str">
        <f t="shared" ref="BR248:BR249" si="1321">HYPERLINK("http://www.goethe.de/lrn/prj/wnd/deu/lti/deindex.htm#13322010","x")</f>
        <v>x</v>
      </c>
      <c r="BS248" s="112"/>
      <c r="BT248" s="112" t="str">
        <f>HYPERLINK("http://www.memhr.org/dic/ebook/tigr-germ.pdf","x")</f>
        <v>x</v>
      </c>
      <c r="BU248" s="112" t="str">
        <f>HYPERLINK("https://s3-eu-west-1.amazonaws.com/lingolia/download/lingolia_daf.pdf","x")</f>
        <v>x</v>
      </c>
      <c r="BV248" s="112" t="str">
        <f>HYPERLINK("http://www.welcomegrooves.de/wp-content/uploads/2015/10/welcomegrooves_DE-TIGRINYA.pdf","x")</f>
        <v>x</v>
      </c>
      <c r="BW248" s="112"/>
      <c r="BX248" s="112" t="str">
        <f t="shared" ref="BX248:BX249" si="1322">HYPERLINK("http://www.tigrigna-german.ch/","x")</f>
        <v>x</v>
      </c>
      <c r="BY248" s="112"/>
      <c r="BZ248" s="112" t="str">
        <f t="shared" ref="BZ248:BZ249" si="1323">HYPERLINK("http://www.hueber.de/shared/uebungen/schritte-plus","x")</f>
        <v>x</v>
      </c>
      <c r="CA248" s="112" t="str">
        <f t="shared" ref="CA248:CA249" si="1324">HYPERLINK("https://www.hueber.de/shared/uebungen/menschen-hier/ab/a1-1/menu.html","x")</f>
        <v>x</v>
      </c>
      <c r="CB248" s="112" t="str">
        <f t="shared" ref="CB248:CB249" si="1325">HYPERLINK("http://www.goethe-verlag.com/DE/","x")</f>
        <v>x</v>
      </c>
      <c r="CC248" s="112"/>
      <c r="CD248" s="112"/>
      <c r="CE248" s="111"/>
      <c r="CF248" s="111"/>
      <c r="CG248" s="111"/>
      <c r="CH248" s="111"/>
      <c r="CI248" s="111"/>
      <c r="CJ248" s="112" t="str">
        <f t="shared" ref="CJ248:CJ249" si="1326">HYPERLINK("http://www.e-migrantinnen.de/index.php?de_wichtige-links","x")</f>
        <v>x</v>
      </c>
      <c r="CK248" s="112"/>
      <c r="CL248" s="112"/>
      <c r="CM248" s="112"/>
      <c r="CN248" s="112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2"/>
      <c r="CZ248" s="112"/>
      <c r="DA248" s="112"/>
      <c r="DB248" s="115"/>
      <c r="DC248" s="112"/>
      <c r="DD248" s="112"/>
      <c r="DE248" s="112" t="str">
        <f t="shared" ref="DE248:DE249" si="1327">HYPERLINK("http://fi-lohmar-siegburg.de/data/documents/130-37_Inklusion_im_Anfangsunterricht_-_Poster_mit_Situationsbildern.pdf","x")</f>
        <v>x</v>
      </c>
      <c r="DF248" s="115" t="str">
        <f t="shared" ref="DF248:DF249" si="1328">HYPERLINK("http://s3-eu-west-1.amazonaws.com/lingolia/calendar/2016/lingolia_2016_de.pdf","x")</f>
        <v>x</v>
      </c>
      <c r="DG248" s="112" t="str">
        <f t="shared" ref="DG248:DG249" si="1329">HYPERLINK("http://www.bibliomedia.ch/de/angebote/img/Wimmelbild.jpg","x")</f>
        <v>x</v>
      </c>
      <c r="DH248" s="112" t="str">
        <f t="shared" ref="DH248:DH249" si="1330">HYPERLINK("http://www.bibliomedia.ch/de/angebote/dokumente/Wimmelbild_Fehler.jpg","x")</f>
        <v>x</v>
      </c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2" t="str">
        <f>HYPERLINK("http://www.kvs-sachsen.de/fileadmin/img/Mitglieder/Asylbewerber/Allg-Informationen/Anlage_1_Anlage_2-1_2-2_Tigrinia_LEK.PDF","x")</f>
        <v>x</v>
      </c>
      <c r="EM248" s="111"/>
      <c r="EN248" s="111"/>
      <c r="EO248" s="117" t="str">
        <f t="shared" ref="EO248:EO249" si="1331">HYPERLINK("http://www.medi-bild.de/pdf/anamnese/Welche_Sprache.pdf","x")</f>
        <v>x</v>
      </c>
      <c r="EP248" s="118"/>
      <c r="EQ248" s="112" t="str">
        <f>HYPERLINK("http://www.kvs-sachsen.de/fileadmin/img/Mitglieder/Asylbewerber/Allg-Informationen/Anlage_1_Anlage_2-1_2-2_Tigrinia_LEK.PDF","x")</f>
        <v>x</v>
      </c>
      <c r="ER248" s="111"/>
      <c r="ES248" s="111"/>
      <c r="ET248" s="111"/>
      <c r="EU248" s="111"/>
      <c r="EV248" s="112" t="str">
        <f t="shared" ref="EV248:EV249" si="1332">HYPERLINK("http://www.lak-rlp.de/fileadmin/redakteure/pdf/download/Piktogramme_Dosieretiketten_AoG.pdf","x")</f>
        <v>x</v>
      </c>
      <c r="EW248" s="111"/>
      <c r="EX248" s="111"/>
      <c r="EY248" s="111"/>
      <c r="EZ248" s="111"/>
      <c r="FA248" s="111"/>
      <c r="FB248" s="111"/>
      <c r="FC248" s="112" t="str">
        <f t="shared" ref="FC248:FC249" si="1333">HYPERLINK("http://mige.ix-tech.de/index.php?id=241","x")</f>
        <v>x</v>
      </c>
      <c r="FD248" s="111"/>
      <c r="FE248" s="111"/>
      <c r="FF248" s="112" t="str">
        <f t="shared" ref="FF248:FF249" si="1334">HYPERLINK("http://www.tipdoc.de/grafik/asyl/Gesundheitsheft_Asyl.pdf","x")</f>
        <v>x</v>
      </c>
      <c r="FG248" s="111"/>
      <c r="FH248" s="111"/>
      <c r="FI248" s="112"/>
      <c r="FJ248" s="112" t="str">
        <f>HYPERLINK("http://www.rki.de/DE/Content/Infekt/Impfen/Materialien/Downloads-Impfkalender/Impfkalender_Tigrinya.pdf?__blob=publicationFile","x")</f>
        <v>x</v>
      </c>
      <c r="FK248" s="111"/>
      <c r="FL248" s="111"/>
      <c r="FM248" s="111"/>
      <c r="FN248" s="111"/>
      <c r="FO248" s="112" t="str">
        <f>HYPERLINK("http://www.rki.de/DE/Content/Infekt/Impfen/Materialien/Downloads-MMR/MMR-Impfinfo-tigrinya.pdf?__blob=publicationFile","x")</f>
        <v>x</v>
      </c>
      <c r="FP248" s="111"/>
      <c r="FQ248" s="112" t="str">
        <f>HYPERLINK("http://www.rki.de/DE/Content/Infekt/Impfen/Materialien/Downloads_HepA/Aufklaerung_HAV-Impfung_Tigrinya.pdf?__blob=publicationFile","x")</f>
        <v>x</v>
      </c>
      <c r="FR248" s="112" t="str">
        <f>HYPERLINK("http://www.rki.de/DE/Content/Infekt/Impfen/Materialien/Downloads_Pneumokokken/Aufklaerung_Pneumo-Impfung_Tigrinya.pdf?__blob=publicationFile","x")</f>
        <v>x</v>
      </c>
      <c r="FS248" s="112" t="str">
        <f>HYPERLINK("http://www.rki.de/DE/Content/Infekt/Impfen/Materialien/Downloads-DTaPIPVHibHepB/DTaPIPVHibHepB_tigrinya.pdf?__blob=publicationFile","x")</f>
        <v>x</v>
      </c>
      <c r="FT248" s="112" t="str">
        <f>HYPERLINK("http://www.rki.de/DE/Content/Infekt/Impfen/Materialien/Downloads-Varizellen/Varizellen-Impfinfo-tigrinya.pdf;jsessionid=65B697F4EE7EDA8A1ED9E2C4CD6C74EC.2_cid363?__blob=publicationFile","x")</f>
        <v>x</v>
      </c>
      <c r="FU248" s="112" t="str">
        <f>HYPERLINK("http://www.rki.de/DE/Content/Infekt/Impfen/Materialien/Downloads-Tdap-IPV/Tdap-IPV-tigrinya.pdf?__blob=publicationFile","x")</f>
        <v>x</v>
      </c>
      <c r="FV248" s="112" t="str">
        <f>HYPERLINK("http://www.rki.de/DE/Content/Infekt/Impfen/Materialien/Downloads-Influenza_nasal/Influenza_nasal-tigrinya.pdf?__blob=publicationFile","x")</f>
        <v>x</v>
      </c>
      <c r="FW248" s="111"/>
      <c r="FX248" s="111"/>
      <c r="FY248" s="111"/>
      <c r="FZ248" s="111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2" t="str">
        <f>HYPERLINK("http://www.rki.de/DE/Content/Infekt/Impfen/Materialien/Downloads-Influenza/Influenza-tigrinya.pdf?__blob=publicationFile","x")</f>
        <v>x</v>
      </c>
      <c r="GM248" s="111"/>
      <c r="GN248" s="111"/>
      <c r="GO248" s="112" t="str">
        <f>HYPERLINK("http://www.tipdoc.de/bus/pdf/kopflaeuse2/Kopflaeuse_TIGR.pdf","x")</f>
        <v>x</v>
      </c>
      <c r="GP248" s="112"/>
      <c r="GQ248" s="112" t="str">
        <f>HYPERLINK("http://www.tipdoc.com/bus/pdf/kraetze/tipdoc_Scabies_TIGR.pdf","x")</f>
        <v>x</v>
      </c>
      <c r="GR248" s="112" t="str">
        <f>HYPERLINK("http://www.tipdoc.com/bus/pdf/MagenDarmHaende/MagenDarmHaende_TIGRINYA.pdf","x")</f>
        <v>x</v>
      </c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2" t="str">
        <f t="shared" si="1251"/>
        <v>x</v>
      </c>
      <c r="HC248" s="111"/>
      <c r="HD248" s="111"/>
      <c r="HE248" s="111"/>
      <c r="HF248" s="111"/>
      <c r="HG248" s="111"/>
      <c r="HH248" s="111"/>
      <c r="HI248" s="111"/>
      <c r="HJ248" s="112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2" t="str">
        <f t="shared" ref="HX248:HX249" si="1335">HYPERLINK("http://www.selfhelpfortrauma.org/","x")</f>
        <v>x</v>
      </c>
      <c r="HY248" s="112" t="str">
        <f t="shared" ref="HY248:HY249" si="1336">HYPERLINK("http://peacefulheart.se/wp-content/uploads/2014/12/Resolving-Yesterday-20141201-Self-Tapping.pdf","x")</f>
        <v>x</v>
      </c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2" t="str">
        <f>HYPERLINK("http://www.bamf.de/SharedDocs/Anlagen/DE/Publikationen/Flyer/flyer-erstorientierung-asylsuchende_tigrinya.pdf?__blob=publicationFile","x")</f>
        <v>x</v>
      </c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2" t="str">
        <f>HYPERLINK("http://www.bamf.de/SharedDocs/Anlagen/DE/Publikationen/Broschueren/broschuere-eat-a4-ti-tigrinya.pdf?__blob=publicationFile","x")</f>
        <v>x</v>
      </c>
      <c r="IY248" s="111"/>
      <c r="IZ248" s="111"/>
      <c r="JA248" s="111"/>
      <c r="JB248" s="111"/>
      <c r="JC248" s="111"/>
      <c r="JD248" s="111"/>
      <c r="JE248" s="111"/>
      <c r="JF248" s="111"/>
      <c r="JG248" s="111"/>
      <c r="JH248" s="111"/>
      <c r="JI248" s="111"/>
      <c r="JJ248" s="111"/>
      <c r="JK248" s="111"/>
      <c r="JL248" s="111"/>
      <c r="JM248" s="111"/>
      <c r="JN248" s="111"/>
      <c r="JO248" s="111"/>
      <c r="JP248" s="111"/>
      <c r="JQ248" s="111"/>
      <c r="JR248" s="111"/>
      <c r="JS248" s="111"/>
      <c r="JT248" s="111"/>
      <c r="JU248" s="111"/>
      <c r="JV248" s="111"/>
      <c r="JW248" s="111"/>
      <c r="JX248" s="112"/>
      <c r="JY248" s="112"/>
      <c r="JZ248" s="112"/>
      <c r="KA248" s="112" t="str">
        <f>HYPERLINK("http://www.refugeeguide.de/dl/RefugeeGuide_tr_1115.pdf","x")</f>
        <v>x</v>
      </c>
      <c r="KB248" s="111"/>
      <c r="KC248" s="111"/>
      <c r="KD248" s="111"/>
      <c r="KE248" s="111"/>
      <c r="KF248" s="112"/>
      <c r="KG248" s="112"/>
      <c r="KH248" s="112"/>
      <c r="KI248" s="112"/>
      <c r="KJ248" s="112"/>
      <c r="KK248" s="112"/>
      <c r="KL248" s="112"/>
      <c r="KM248" s="112"/>
      <c r="KN248" s="112"/>
      <c r="KO248" s="112"/>
      <c r="KP248" s="112"/>
      <c r="KQ248" s="112"/>
      <c r="KR248" s="112"/>
      <c r="KS248" s="112"/>
      <c r="KT248" s="112"/>
      <c r="KU248" s="112"/>
      <c r="KV248" s="112"/>
      <c r="KW248" s="112"/>
      <c r="KX248" s="112"/>
      <c r="KY248" s="112"/>
      <c r="KZ248" s="112"/>
      <c r="LA248" s="112"/>
      <c r="LB248" s="111"/>
      <c r="LC248" s="111"/>
      <c r="LD248" s="111"/>
      <c r="LE248" s="111"/>
      <c r="LF248" s="111"/>
      <c r="LG248" s="111"/>
      <c r="LH248" s="111"/>
      <c r="LI248" s="111"/>
      <c r="LJ248" s="111"/>
      <c r="LK248" s="111"/>
      <c r="LL248" s="111"/>
      <c r="LM248" s="111"/>
      <c r="LN248" s="111"/>
      <c r="LO248" s="111"/>
      <c r="LP248" s="111"/>
      <c r="LQ248" s="111"/>
      <c r="LR248" s="111"/>
      <c r="LS248" s="111"/>
      <c r="LT248" s="111"/>
      <c r="LU248" s="111"/>
      <c r="LV248" s="111"/>
      <c r="LW248" s="111"/>
      <c r="LX248" s="111"/>
      <c r="LY248" s="111"/>
      <c r="LZ248" s="111"/>
      <c r="MA248" s="111"/>
      <c r="MB248" s="111"/>
      <c r="MC248" s="111"/>
      <c r="MD248" s="111"/>
      <c r="ME248" s="111"/>
      <c r="MF248" s="111"/>
      <c r="MG248" s="111"/>
      <c r="MH248" s="111"/>
    </row>
    <row r="249" spans="1:346" x14ac:dyDescent="0.25">
      <c r="A249" s="110" t="s">
        <v>10</v>
      </c>
      <c r="B249" s="101" t="s">
        <v>52</v>
      </c>
      <c r="C249" s="102"/>
      <c r="D249" s="102"/>
      <c r="E249" s="102"/>
      <c r="F249" s="102"/>
      <c r="G249" s="102"/>
      <c r="H249" s="102"/>
      <c r="I249" s="102"/>
      <c r="J249" s="103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2" t="str">
        <f t="shared" si="1316"/>
        <v>x</v>
      </c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3"/>
      <c r="AV249" s="114" t="str">
        <f t="shared" si="1317"/>
        <v>x</v>
      </c>
      <c r="AW249" s="114" t="str">
        <f t="shared" si="1318"/>
        <v>x</v>
      </c>
      <c r="AX249" s="111"/>
      <c r="AY249" s="111"/>
      <c r="AZ249" s="112" t="str">
        <f t="shared" si="1319"/>
        <v>x</v>
      </c>
      <c r="BA249" s="112" t="str">
        <f t="shared" si="1320"/>
        <v>x</v>
      </c>
      <c r="BB249" s="111"/>
      <c r="BC249" s="111"/>
      <c r="BD249" s="111"/>
      <c r="BE249" s="111"/>
      <c r="BF249" s="111"/>
      <c r="BG249" s="111"/>
      <c r="BH249" s="112" t="str">
        <f>HYPERLINK("https://www.advanced-online.eu/downloads/RefugeePhrasebookCards_German-Tigrinya.pdf","x")</f>
        <v>x</v>
      </c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2" t="str">
        <f t="shared" si="1321"/>
        <v>x</v>
      </c>
      <c r="BS249" s="112"/>
      <c r="BT249" s="112" t="str">
        <f>HYPERLINK("http://www.memhr.org/dic/ebook/tigr-germ.pdf","x")</f>
        <v>x</v>
      </c>
      <c r="BU249" s="112" t="str">
        <f>HYPERLINK("https://s3-eu-west-1.amazonaws.com/lingolia/download/lingolia_daf.pdf","x")</f>
        <v>x</v>
      </c>
      <c r="BV249" s="112" t="str">
        <f>HYPERLINK("http://www.welcomegrooves.de/wp-content/uploads/2015/10/welcomegrooves_DE-TIGRINYA.pdf","x")</f>
        <v>x</v>
      </c>
      <c r="BW249" s="112"/>
      <c r="BX249" s="112" t="str">
        <f t="shared" si="1322"/>
        <v>x</v>
      </c>
      <c r="BY249" s="112"/>
      <c r="BZ249" s="112" t="str">
        <f t="shared" si="1323"/>
        <v>x</v>
      </c>
      <c r="CA249" s="112" t="str">
        <f t="shared" si="1324"/>
        <v>x</v>
      </c>
      <c r="CB249" s="112" t="str">
        <f t="shared" si="1325"/>
        <v>x</v>
      </c>
      <c r="CC249" s="112"/>
      <c r="CD249" s="112"/>
      <c r="CE249" s="111"/>
      <c r="CF249" s="111"/>
      <c r="CG249" s="111"/>
      <c r="CH249" s="111"/>
      <c r="CI249" s="111"/>
      <c r="CJ249" s="112" t="str">
        <f t="shared" si="1326"/>
        <v>x</v>
      </c>
      <c r="CK249" s="112"/>
      <c r="CL249" s="112"/>
      <c r="CM249" s="112"/>
      <c r="CN249" s="112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2"/>
      <c r="CZ249" s="112"/>
      <c r="DA249" s="112"/>
      <c r="DB249" s="115"/>
      <c r="DC249" s="112"/>
      <c r="DD249" s="112"/>
      <c r="DE249" s="112" t="str">
        <f t="shared" si="1327"/>
        <v>x</v>
      </c>
      <c r="DF249" s="115" t="str">
        <f t="shared" si="1328"/>
        <v>x</v>
      </c>
      <c r="DG249" s="112" t="str">
        <f t="shared" si="1329"/>
        <v>x</v>
      </c>
      <c r="DH249" s="112" t="str">
        <f t="shared" si="1330"/>
        <v>x</v>
      </c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2" t="str">
        <f>HYPERLINK("http://www.kvs-sachsen.de/fileadmin/img/Mitglieder/Asylbewerber/Allg-Informationen/Anlage_1_Anlage_2-1_2-2_Tigrinia_LEK.PDF","x")</f>
        <v>x</v>
      </c>
      <c r="EM249" s="111"/>
      <c r="EN249" s="111"/>
      <c r="EO249" s="117" t="str">
        <f t="shared" si="1331"/>
        <v>x</v>
      </c>
      <c r="EP249" s="118"/>
      <c r="EQ249" s="112" t="str">
        <f>HYPERLINK("http://www.kvs-sachsen.de/fileadmin/img/Mitglieder/Asylbewerber/Allg-Informationen/Anlage_1_Anlage_2-1_2-2_Tigrinia_LEK.PDF","x")</f>
        <v>x</v>
      </c>
      <c r="ER249" s="111"/>
      <c r="ES249" s="111"/>
      <c r="ET249" s="111"/>
      <c r="EU249" s="111"/>
      <c r="EV249" s="112" t="str">
        <f t="shared" si="1332"/>
        <v>x</v>
      </c>
      <c r="EW249" s="111"/>
      <c r="EX249" s="111"/>
      <c r="EY249" s="111"/>
      <c r="EZ249" s="111"/>
      <c r="FA249" s="111"/>
      <c r="FB249" s="111"/>
      <c r="FC249" s="112" t="str">
        <f t="shared" si="1333"/>
        <v>x</v>
      </c>
      <c r="FD249" s="111"/>
      <c r="FE249" s="111"/>
      <c r="FF249" s="112" t="str">
        <f t="shared" si="1334"/>
        <v>x</v>
      </c>
      <c r="FG249" s="111"/>
      <c r="FH249" s="111"/>
      <c r="FI249" s="112"/>
      <c r="FJ249" s="112" t="str">
        <f>HYPERLINK("http://www.rki.de/DE/Content/Infekt/Impfen/Materialien/Downloads-Impfkalender/Impfkalender_Tigrinya.pdf?__blob=publicationFile","x")</f>
        <v>x</v>
      </c>
      <c r="FK249" s="111"/>
      <c r="FL249" s="111"/>
      <c r="FM249" s="111"/>
      <c r="FN249" s="111"/>
      <c r="FO249" s="112" t="str">
        <f>HYPERLINK("http://www.rki.de/DE/Content/Infekt/Impfen/Materialien/Downloads-MMR/MMR-Impfinfo-tigrinya.pdf?__blob=publicationFile","x")</f>
        <v>x</v>
      </c>
      <c r="FP249" s="111"/>
      <c r="FQ249" s="112" t="str">
        <f>HYPERLINK("http://www.rki.de/DE/Content/Infekt/Impfen/Materialien/Downloads_HepA/Aufklaerung_HAV-Impfung_Tigrinya.pdf?__blob=publicationFile","x")</f>
        <v>x</v>
      </c>
      <c r="FR249" s="112" t="str">
        <f>HYPERLINK("http://www.rki.de/DE/Content/Infekt/Impfen/Materialien/Downloads_Pneumokokken/Aufklaerung_Pneumo-Impfung_Tigrinya.pdf?__blob=publicationFile","x")</f>
        <v>x</v>
      </c>
      <c r="FS249" s="112" t="str">
        <f>HYPERLINK("http://www.rki.de/DE/Content/Infekt/Impfen/Materialien/Downloads-DTaPIPVHibHepB/DTaPIPVHibHepB_tigrinya.pdf?__blob=publicationFile","x")</f>
        <v>x</v>
      </c>
      <c r="FT249" s="112" t="str">
        <f>HYPERLINK("http://www.rki.de/DE/Content/Infekt/Impfen/Materialien/Downloads-Varizellen/Varizellen-Impfinfo-tigrinya.pdf;jsessionid=65B697F4EE7EDA8A1ED9E2C4CD6C74EC.2_cid363?__blob=publicationFile","x")</f>
        <v>x</v>
      </c>
      <c r="FU249" s="112" t="str">
        <f>HYPERLINK("http://www.rki.de/DE/Content/Infekt/Impfen/Materialien/Downloads-Tdap-IPV/Tdap-IPV-tigrinya.pdf?__blob=publicationFile","x")</f>
        <v>x</v>
      </c>
      <c r="FV249" s="112" t="str">
        <f>HYPERLINK("http://www.rki.de/DE/Content/Infekt/Impfen/Materialien/Downloads-Influenza_nasal/Influenza_nasal-tigrinya.pdf?__blob=publicationFile","x")</f>
        <v>x</v>
      </c>
      <c r="FW249" s="111"/>
      <c r="FX249" s="111"/>
      <c r="FY249" s="111"/>
      <c r="FZ249" s="111"/>
      <c r="GA249" s="111"/>
      <c r="GB249" s="111"/>
      <c r="GC249" s="111"/>
      <c r="GD249" s="111"/>
      <c r="GE249" s="111"/>
      <c r="GF249" s="111"/>
      <c r="GG249" s="111"/>
      <c r="GH249" s="111"/>
      <c r="GI249" s="111"/>
      <c r="GJ249" s="111"/>
      <c r="GK249" s="111"/>
      <c r="GL249" s="112" t="str">
        <f>HYPERLINK("http://www.rki.de/DE/Content/Infekt/Impfen/Materialien/Downloads-Influenza/Influenza-tigrinya.pdf?__blob=publicationFile","x")</f>
        <v>x</v>
      </c>
      <c r="GM249" s="111"/>
      <c r="GN249" s="111"/>
      <c r="GO249" s="112" t="str">
        <f>HYPERLINK("http://www.tipdoc.de/bus/pdf/kopflaeuse2/Kopflaeuse_TIGR.pdf","x")</f>
        <v>x</v>
      </c>
      <c r="GP249" s="112"/>
      <c r="GQ249" s="112" t="str">
        <f>HYPERLINK("http://www.tipdoc.com/bus/pdf/kraetze/tipdoc_Scabies_TIGR.pdf","x")</f>
        <v>x</v>
      </c>
      <c r="GR249" s="112" t="str">
        <f>HYPERLINK("http://www.tipdoc.com/bus/pdf/MagenDarmHaende/MagenDarmHaende_TIGRINYA.pdf","x")</f>
        <v>x</v>
      </c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2" t="str">
        <f t="shared" si="1251"/>
        <v>x</v>
      </c>
      <c r="HC249" s="111"/>
      <c r="HD249" s="111"/>
      <c r="HE249" s="111"/>
      <c r="HF249" s="111"/>
      <c r="HG249" s="111"/>
      <c r="HH249" s="111"/>
      <c r="HI249" s="111"/>
      <c r="HJ249" s="112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2" t="str">
        <f t="shared" si="1335"/>
        <v>x</v>
      </c>
      <c r="HY249" s="112" t="str">
        <f t="shared" si="1336"/>
        <v>x</v>
      </c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2" t="str">
        <f>HYPERLINK("http://www.bamf.de/SharedDocs/Anlagen/DE/Publikationen/Flyer/flyer-erstorientierung-asylsuchende_tigrinya.pdf?__blob=publicationFile","x")</f>
        <v>x</v>
      </c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2" t="str">
        <f>HYPERLINK("http://www.bamf.de/SharedDocs/Anlagen/DE/Publikationen/Broschueren/broschuere-eat-a4-ti-tigrinya.pdf?__blob=publicationFile","x")</f>
        <v>x</v>
      </c>
      <c r="IY249" s="111"/>
      <c r="IZ249" s="111"/>
      <c r="JA249" s="111"/>
      <c r="JB249" s="111"/>
      <c r="JC249" s="111"/>
      <c r="JD249" s="111"/>
      <c r="JE249" s="111"/>
      <c r="JF249" s="111"/>
      <c r="JG249" s="111"/>
      <c r="JH249" s="111"/>
      <c r="JI249" s="111"/>
      <c r="JJ249" s="111"/>
      <c r="JK249" s="111"/>
      <c r="JL249" s="111"/>
      <c r="JM249" s="111"/>
      <c r="JN249" s="111"/>
      <c r="JO249" s="111"/>
      <c r="JP249" s="111"/>
      <c r="JQ249" s="111"/>
      <c r="JR249" s="111"/>
      <c r="JS249" s="111"/>
      <c r="JT249" s="111"/>
      <c r="JU249" s="111"/>
      <c r="JV249" s="111"/>
      <c r="JW249" s="111"/>
      <c r="JX249" s="112"/>
      <c r="JY249" s="112"/>
      <c r="JZ249" s="112"/>
      <c r="KA249" s="112" t="str">
        <f>HYPERLINK("http://www.refugeeguide.de/dl/RefugeeGuide_tr_1115.pdf","x")</f>
        <v>x</v>
      </c>
      <c r="KB249" s="111"/>
      <c r="KC249" s="111"/>
      <c r="KD249" s="111"/>
      <c r="KE249" s="111"/>
      <c r="KF249" s="112"/>
      <c r="KG249" s="112"/>
      <c r="KH249" s="112"/>
      <c r="KI249" s="112"/>
      <c r="KJ249" s="112"/>
      <c r="KK249" s="112"/>
      <c r="KL249" s="112"/>
      <c r="KM249" s="112"/>
      <c r="KN249" s="112"/>
      <c r="KO249" s="112"/>
      <c r="KP249" s="112"/>
      <c r="KQ249" s="112"/>
      <c r="KR249" s="112"/>
      <c r="KS249" s="112"/>
      <c r="KT249" s="112"/>
      <c r="KU249" s="112"/>
      <c r="KV249" s="112"/>
      <c r="KW249" s="112"/>
      <c r="KX249" s="112"/>
      <c r="KY249" s="112"/>
      <c r="KZ249" s="112"/>
      <c r="LA249" s="112"/>
      <c r="LB249" s="111"/>
      <c r="LC249" s="111"/>
      <c r="LD249" s="111"/>
      <c r="LE249" s="111"/>
      <c r="LF249" s="111"/>
      <c r="LG249" s="111"/>
      <c r="LH249" s="111"/>
      <c r="LI249" s="111"/>
      <c r="LJ249" s="111"/>
      <c r="LK249" s="111"/>
      <c r="LL249" s="111"/>
      <c r="LM249" s="111"/>
      <c r="LN249" s="111"/>
      <c r="LO249" s="111"/>
      <c r="LP249" s="111"/>
      <c r="LQ249" s="111"/>
      <c r="LR249" s="111"/>
      <c r="LS249" s="111"/>
      <c r="LT249" s="111"/>
      <c r="LU249" s="111"/>
      <c r="LV249" s="111"/>
      <c r="LW249" s="111"/>
      <c r="LX249" s="111"/>
      <c r="LY249" s="111"/>
      <c r="LZ249" s="111"/>
      <c r="MA249" s="111"/>
      <c r="MB249" s="111"/>
      <c r="MC249" s="111"/>
      <c r="MD249" s="111"/>
      <c r="ME249" s="111"/>
      <c r="MF249" s="111"/>
      <c r="MG249" s="111"/>
      <c r="MH249" s="111"/>
    </row>
    <row r="250" spans="1:346" x14ac:dyDescent="0.25">
      <c r="A250" s="101" t="s">
        <v>473</v>
      </c>
      <c r="B250" s="102"/>
      <c r="C250" s="102"/>
      <c r="D250" s="102"/>
      <c r="E250" s="102"/>
      <c r="F250" s="102"/>
      <c r="G250" s="102"/>
      <c r="H250" s="102"/>
      <c r="I250" s="102"/>
      <c r="J250" s="103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6"/>
      <c r="AV250" s="106"/>
      <c r="AW250" s="106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9"/>
      <c r="EP250" s="109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5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4"/>
      <c r="JJ250" s="104"/>
      <c r="JK250" s="104"/>
      <c r="JL250" s="104"/>
      <c r="JM250" s="104"/>
      <c r="JN250" s="104"/>
      <c r="JO250" s="104"/>
      <c r="JP250" s="104"/>
      <c r="JQ250" s="104"/>
      <c r="JR250" s="104"/>
      <c r="JS250" s="104"/>
      <c r="JT250" s="104"/>
      <c r="JU250" s="104"/>
      <c r="JV250" s="104"/>
      <c r="JW250" s="104"/>
      <c r="JX250" s="104"/>
      <c r="JY250" s="104"/>
      <c r="JZ250" s="104"/>
      <c r="KA250" s="104"/>
      <c r="KB250" s="104"/>
      <c r="KC250" s="104"/>
      <c r="KD250" s="104"/>
      <c r="KE250" s="104"/>
      <c r="KF250" s="104"/>
      <c r="KG250" s="104"/>
      <c r="KH250" s="104"/>
      <c r="KI250" s="104"/>
      <c r="KJ250" s="104"/>
      <c r="KK250" s="104"/>
      <c r="KL250" s="104"/>
      <c r="KM250" s="104"/>
      <c r="KN250" s="104"/>
      <c r="KO250" s="104"/>
      <c r="KP250" s="104"/>
      <c r="KQ250" s="104"/>
      <c r="KR250" s="104"/>
      <c r="KS250" s="104"/>
      <c r="KT250" s="104"/>
      <c r="KU250" s="104"/>
      <c r="KV250" s="104"/>
      <c r="KW250" s="104"/>
      <c r="KX250" s="104"/>
      <c r="KY250" s="104"/>
      <c r="KZ250" s="104"/>
      <c r="LA250" s="104"/>
      <c r="LB250" s="104"/>
      <c r="LC250" s="104"/>
      <c r="LD250" s="104"/>
      <c r="LE250" s="104"/>
      <c r="LF250" s="104"/>
      <c r="LG250" s="104"/>
      <c r="LH250" s="104"/>
      <c r="LI250" s="104"/>
      <c r="LJ250" s="104"/>
      <c r="LK250" s="104"/>
      <c r="LL250" s="104"/>
      <c r="LM250" s="104"/>
      <c r="LN250" s="104"/>
      <c r="LO250" s="104"/>
      <c r="LP250" s="104"/>
      <c r="LQ250" s="104"/>
      <c r="LR250" s="104"/>
      <c r="LS250" s="104"/>
      <c r="LT250" s="104"/>
      <c r="LU250" s="104"/>
      <c r="LV250" s="104"/>
      <c r="LW250" s="104"/>
      <c r="LX250" s="104"/>
      <c r="LY250" s="104"/>
      <c r="LZ250" s="104"/>
      <c r="MA250" s="104"/>
      <c r="MB250" s="104"/>
      <c r="MC250" s="104"/>
      <c r="MD250" s="104"/>
      <c r="ME250" s="104"/>
      <c r="MF250" s="104"/>
      <c r="MG250" s="104"/>
      <c r="MH250" s="104"/>
    </row>
    <row r="251" spans="1:346" x14ac:dyDescent="0.25">
      <c r="A251" s="110" t="s">
        <v>473</v>
      </c>
      <c r="B251" s="101" t="s">
        <v>474</v>
      </c>
      <c r="C251" s="102"/>
      <c r="D251" s="102"/>
      <c r="E251" s="102"/>
      <c r="F251" s="102"/>
      <c r="G251" s="102"/>
      <c r="H251" s="102"/>
      <c r="I251" s="102"/>
      <c r="J251" s="103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2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3"/>
      <c r="AV251" s="114" t="str">
        <f t="shared" ref="AV251:AV252" si="1337">HYPERLINK("http://sab.landtag.sachsen.de/dokumente/landtagskurier/SAB_DeutschLernen_DinA5_WEB141115.pdf","x")</f>
        <v>x</v>
      </c>
      <c r="AW251" s="114" t="str">
        <f t="shared" ref="AW251:AW252" si="1338">HYPERLINK("http://sab.landtag.sachsen.de/dokumente/landtagskurier/SAB_PL_Lernposter_WEB091115.pdf","x")</f>
        <v>x</v>
      </c>
      <c r="AX251" s="111"/>
      <c r="AY251" s="111"/>
      <c r="AZ251" s="112" t="str">
        <f t="shared" ref="AZ251:AZ252" si="133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1" s="112" t="str">
        <f t="shared" ref="BA251:BA252" si="1340">HYPERLINK("http://wie-kann-ich-helfen.info/WoerterbuchAnalphabet_innen_%28c%29_Dagmar_Schmeelcke.pdf","x")</f>
        <v>x</v>
      </c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2" t="str">
        <f t="shared" ref="BR251:BR252" si="1341">HYPERLINK("http://www.goethe.de/lrn/prj/wnd/deu/lti/deindex.htm#13322010","x")</f>
        <v>x</v>
      </c>
      <c r="BS251" s="112"/>
      <c r="BT251" s="112"/>
      <c r="BU251" s="112" t="str">
        <f t="shared" ref="BU251:BU252" si="1342">HYPERLINK("https://s3-eu-west-1.amazonaws.com/lingolia/download/lingolia_daf.pdf","x")</f>
        <v>x</v>
      </c>
      <c r="BV251" s="112"/>
      <c r="BW251" s="112"/>
      <c r="BX251" s="112"/>
      <c r="BY251" s="112"/>
      <c r="BZ251" s="112" t="str">
        <f t="shared" ref="BZ251:BZ252" si="1343">HYPERLINK("http://www.hueber.de/shared/uebungen/schritte-plus","x")</f>
        <v>x</v>
      </c>
      <c r="CA251" s="112" t="str">
        <f t="shared" ref="CA251:CA252" si="1344">HYPERLINK("https://www.hueber.de/shared/uebungen/menschen-hier/ab/a1-1/menu.html","x")</f>
        <v>x</v>
      </c>
      <c r="CB251" s="112" t="str">
        <f t="shared" ref="CB251:CB252" si="1345">HYPERLINK("http://www.goethe-verlag.com/DE/","x")</f>
        <v>x</v>
      </c>
      <c r="CC251" s="112"/>
      <c r="CD251" s="112"/>
      <c r="CE251" s="111"/>
      <c r="CF251" s="111"/>
      <c r="CG251" s="111"/>
      <c r="CH251" s="111"/>
      <c r="CI251" s="111"/>
      <c r="CJ251" s="112" t="str">
        <f t="shared" ref="CJ251:CJ252" si="1346">HYPERLINK("http://www.e-migrantinnen.de/index.php?de_wichtige-links","x")</f>
        <v>x</v>
      </c>
      <c r="CK251" s="112"/>
      <c r="CL251" s="112"/>
      <c r="CM251" s="112"/>
      <c r="CN251" s="112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2"/>
      <c r="CZ251" s="112"/>
      <c r="DA251" s="112"/>
      <c r="DB251" s="115"/>
      <c r="DC251" s="112"/>
      <c r="DD251" s="112"/>
      <c r="DE251" s="112" t="str">
        <f t="shared" ref="DE251:DE252" si="1347">HYPERLINK("http://fi-lohmar-siegburg.de/data/documents/130-37_Inklusion_im_Anfangsunterricht_-_Poster_mit_Situationsbildern.pdf","x")</f>
        <v>x</v>
      </c>
      <c r="DF251" s="115" t="str">
        <f t="shared" ref="DF251:DF252" si="1348">HYPERLINK("http://s3-eu-west-1.amazonaws.com/lingolia/calendar/2016/lingolia_2016_de.pdf","x")</f>
        <v>x</v>
      </c>
      <c r="DG251" s="112" t="str">
        <f t="shared" ref="DG251:DG252" si="1349">HYPERLINK("http://www.bibliomedia.ch/de/angebote/img/Wimmelbild.jpg","x")</f>
        <v>x</v>
      </c>
      <c r="DH251" s="112" t="str">
        <f t="shared" ref="DH251:DH252" si="1350">HYPERLINK("http://www.bibliomedia.ch/de/angebote/dokumente/Wimmelbild_Fehler.jpg","x")</f>
        <v>x</v>
      </c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2" t="str">
        <f>HYPERLINK("http://www.bamf.de/SharedDocs/Anlagen/DE/Publikationen/Flyer/Berufsbezsprachf-ESF-BAMF/berufsbezsprachf-esf-bamf_cz.pdf?__blob=publicationFile","x")</f>
        <v>x</v>
      </c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2"/>
      <c r="EM251" s="111"/>
      <c r="EN251" s="111"/>
      <c r="EO251" s="117"/>
      <c r="EP251" s="118"/>
      <c r="EQ251" s="112"/>
      <c r="ER251" s="111"/>
      <c r="ES251" s="111"/>
      <c r="ET251" s="111"/>
      <c r="EU251" s="111"/>
      <c r="EV251" s="112" t="str">
        <f t="shared" ref="EV251:EV252" si="1351">HYPERLINK("http://www.lak-rlp.de/fileadmin/redakteure/pdf/download/Piktogramme_Dosieretiketten_AoG.pdf","x")</f>
        <v>x</v>
      </c>
      <c r="EW251" s="111"/>
      <c r="EX251" s="111"/>
      <c r="EY251" s="111"/>
      <c r="EZ251" s="111"/>
      <c r="FA251" s="111"/>
      <c r="FB251" s="111"/>
      <c r="FC251" s="112" t="str">
        <f t="shared" ref="FC251:FC252" si="1352">HYPERLINK("http://mige.ix-tech.de/index.php?id=241","x")</f>
        <v>x</v>
      </c>
      <c r="FD251" s="111"/>
      <c r="FE251" s="111"/>
      <c r="FF251" s="112"/>
      <c r="FG251" s="111"/>
      <c r="FH251" s="111"/>
      <c r="FI251" s="112"/>
      <c r="FJ251" s="112"/>
      <c r="FK251" s="111"/>
      <c r="FL251" s="111"/>
      <c r="FM251" s="111"/>
      <c r="FN251" s="111"/>
      <c r="FO251" s="112"/>
      <c r="FP251" s="111"/>
      <c r="FQ251" s="112"/>
      <c r="FR251" s="112"/>
      <c r="FS251" s="112"/>
      <c r="FT251" s="112"/>
      <c r="FU251" s="112"/>
      <c r="FV251" s="112"/>
      <c r="FW251" s="111"/>
      <c r="FX251" s="111"/>
      <c r="FY251" s="111"/>
      <c r="FZ251" s="111"/>
      <c r="GA251" s="111"/>
      <c r="GB251" s="111"/>
      <c r="GC251" s="111"/>
      <c r="GD251" s="111"/>
      <c r="GE251" s="111"/>
      <c r="GF251" s="111"/>
      <c r="GG251" s="111"/>
      <c r="GH251" s="111"/>
      <c r="GI251" s="111"/>
      <c r="GJ251" s="111"/>
      <c r="GK251" s="111"/>
      <c r="GL251" s="112"/>
      <c r="GM251" s="111"/>
      <c r="GN251" s="111"/>
      <c r="GO251" s="112"/>
      <c r="GP251" s="112"/>
      <c r="GQ251" s="112"/>
      <c r="GR251" s="112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2" t="str">
        <f t="shared" si="1251"/>
        <v>x</v>
      </c>
      <c r="HC251" s="111"/>
      <c r="HD251" s="111"/>
      <c r="HE251" s="111"/>
      <c r="HF251" s="111"/>
      <c r="HG251" s="111"/>
      <c r="HH251" s="111"/>
      <c r="HI251" s="111"/>
      <c r="HJ251" s="112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2" t="str">
        <f t="shared" ref="HX251:HX252" si="1353">HYPERLINK("http://www.selfhelpfortrauma.org/","x")</f>
        <v>x</v>
      </c>
      <c r="HY251" s="112" t="str">
        <f t="shared" ref="HY251:HY252" si="1354">HYPERLINK("http://peacefulheart.se/wp-content/uploads/2014/12/Resolving-Yesterday-20141201-Self-Tapping.pdf","x")</f>
        <v>x</v>
      </c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2" t="str">
        <f>HYPERLINK("http://www.bamf.de/SharedDocs/Anlagen/DE/Publikationen/Flyer/Lassen-Sie-Sich-Beraten/lassen-sie-sich-beraten_cs.pdf?__blob=publicationFile","x")</f>
        <v>x</v>
      </c>
      <c r="IK251" s="112"/>
      <c r="IL251" s="111"/>
      <c r="IM251" s="111"/>
      <c r="IN251" s="111"/>
      <c r="IO251" s="111"/>
      <c r="IP251" s="112" t="str">
        <f>HYPERLINK("http://www.bamf.de/SharedDocs/Anlagen/DE/Publikationen/Flyer/Lernen-Sie-Deutsch/lernen-sie-deutsch_cz.pdf?__blob=publicationFile","x")</f>
        <v>x</v>
      </c>
      <c r="IQ251" s="111"/>
      <c r="IR251" s="111"/>
      <c r="IS251" s="111"/>
      <c r="IT251" s="111"/>
      <c r="IU251" s="111"/>
      <c r="IV251" s="111"/>
      <c r="IW251" s="111"/>
      <c r="IX251" s="112"/>
      <c r="IY251" s="111"/>
      <c r="IZ251" s="111"/>
      <c r="JA251" s="111"/>
      <c r="JB251" s="111"/>
      <c r="JC251" s="111"/>
      <c r="JD251" s="111"/>
      <c r="JE251" s="111"/>
      <c r="JF251" s="111"/>
      <c r="JG251" s="111"/>
      <c r="JH251" s="111"/>
      <c r="JI251" s="111"/>
      <c r="JJ251" s="111"/>
      <c r="JK251" s="111"/>
      <c r="JL251" s="111"/>
      <c r="JM251" s="111"/>
      <c r="JN251" s="111"/>
      <c r="JO251" s="111"/>
      <c r="JP251" s="111"/>
      <c r="JQ251" s="112" t="str">
        <f t="shared" ref="JQ251:JQ252" si="1355">HYPERLINK("http://www.ibla-germany.de/merkblaetter.php","x")</f>
        <v>x</v>
      </c>
      <c r="JR251" s="111"/>
      <c r="JS251" s="111"/>
      <c r="JT251" s="111"/>
      <c r="JU251" s="111"/>
      <c r="JV251" s="111"/>
      <c r="JW251" s="111"/>
      <c r="JX251" s="112"/>
      <c r="JY251" s="112"/>
      <c r="JZ251" s="112"/>
      <c r="KA251" s="112"/>
      <c r="KB251" s="111"/>
      <c r="KC251" s="111"/>
      <c r="KD251" s="111"/>
      <c r="KE251" s="111"/>
      <c r="KF251" s="112"/>
      <c r="KG251" s="112"/>
      <c r="KH251" s="112"/>
      <c r="KI251" s="112"/>
      <c r="KJ251" s="112"/>
      <c r="KK251" s="112"/>
      <c r="KL251" s="112"/>
      <c r="KM251" s="112"/>
      <c r="KN251" s="112"/>
      <c r="KO251" s="112"/>
      <c r="KP251" s="112"/>
      <c r="KQ251" s="112"/>
      <c r="KR251" s="112"/>
      <c r="KS251" s="112"/>
      <c r="KT251" s="112"/>
      <c r="KU251" s="112"/>
      <c r="KV251" s="112"/>
      <c r="KW251" s="112"/>
      <c r="KX251" s="112"/>
      <c r="KY251" s="112"/>
      <c r="KZ251" s="112"/>
      <c r="LA251" s="112"/>
      <c r="LB251" s="111"/>
      <c r="LC251" s="111"/>
      <c r="LD251" s="111"/>
      <c r="LE251" s="111"/>
      <c r="LF251" s="111"/>
      <c r="LG251" s="111"/>
      <c r="LH251" s="111"/>
      <c r="LI251" s="111"/>
      <c r="LJ251" s="111"/>
      <c r="LK251" s="111"/>
      <c r="LL251" s="111"/>
      <c r="LM251" s="111"/>
      <c r="LN251" s="111"/>
      <c r="LO251" s="111"/>
      <c r="LP251" s="111"/>
      <c r="LQ251" s="111"/>
      <c r="LR251" s="111"/>
      <c r="LS251" s="111"/>
      <c r="LT251" s="111"/>
      <c r="LU251" s="111"/>
      <c r="LV251" s="111"/>
      <c r="LW251" s="111"/>
      <c r="LX251" s="111"/>
      <c r="LY251" s="111"/>
      <c r="LZ251" s="111"/>
      <c r="MA251" s="111"/>
      <c r="MB251" s="111"/>
      <c r="MC251" s="111"/>
      <c r="MD251" s="111"/>
      <c r="ME251" s="111"/>
      <c r="MF251" s="111"/>
      <c r="MG251" s="111"/>
      <c r="MH251" s="111"/>
    </row>
    <row r="252" spans="1:346" x14ac:dyDescent="0.25">
      <c r="A252" s="110" t="s">
        <v>473</v>
      </c>
      <c r="B252" s="101" t="s">
        <v>416</v>
      </c>
      <c r="C252" s="102"/>
      <c r="D252" s="102"/>
      <c r="E252" s="102"/>
      <c r="F252" s="102"/>
      <c r="G252" s="102"/>
      <c r="H252" s="102"/>
      <c r="I252" s="102"/>
      <c r="J252" s="103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2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3"/>
      <c r="AV252" s="114" t="str">
        <f t="shared" si="1337"/>
        <v>x</v>
      </c>
      <c r="AW252" s="114" t="str">
        <f t="shared" si="1338"/>
        <v>x</v>
      </c>
      <c r="AX252" s="111"/>
      <c r="AY252" s="111"/>
      <c r="AZ252" s="112" t="str">
        <f t="shared" si="1339"/>
        <v>x</v>
      </c>
      <c r="BA252" s="112" t="str">
        <f t="shared" si="1340"/>
        <v>x</v>
      </c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2" t="str">
        <f t="shared" si="1341"/>
        <v>x</v>
      </c>
      <c r="BS252" s="112"/>
      <c r="BT252" s="112"/>
      <c r="BU252" s="112" t="str">
        <f t="shared" si="1342"/>
        <v>x</v>
      </c>
      <c r="BV252" s="112"/>
      <c r="BW252" s="112"/>
      <c r="BX252" s="112"/>
      <c r="BY252" s="112"/>
      <c r="BZ252" s="112" t="str">
        <f t="shared" si="1343"/>
        <v>x</v>
      </c>
      <c r="CA252" s="112" t="str">
        <f t="shared" si="1344"/>
        <v>x</v>
      </c>
      <c r="CB252" s="112" t="str">
        <f t="shared" si="1345"/>
        <v>x</v>
      </c>
      <c r="CC252" s="112"/>
      <c r="CD252" s="112"/>
      <c r="CE252" s="111"/>
      <c r="CF252" s="111"/>
      <c r="CG252" s="111"/>
      <c r="CH252" s="111"/>
      <c r="CI252" s="111"/>
      <c r="CJ252" s="112" t="str">
        <f t="shared" si="1346"/>
        <v>x</v>
      </c>
      <c r="CK252" s="112"/>
      <c r="CL252" s="112"/>
      <c r="CM252" s="112"/>
      <c r="CN252" s="112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2"/>
      <c r="CZ252" s="112"/>
      <c r="DA252" s="112"/>
      <c r="DB252" s="115"/>
      <c r="DC252" s="112"/>
      <c r="DD252" s="112"/>
      <c r="DE252" s="112" t="str">
        <f t="shared" si="1347"/>
        <v>x</v>
      </c>
      <c r="DF252" s="115" t="str">
        <f t="shared" si="1348"/>
        <v>x</v>
      </c>
      <c r="DG252" s="112" t="str">
        <f t="shared" si="1349"/>
        <v>x</v>
      </c>
      <c r="DH252" s="112" t="str">
        <f t="shared" si="1350"/>
        <v>x</v>
      </c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2" t="str">
        <f>HYPERLINK("http://www.bamf.de/SharedDocs/Anlagen/DE/Publikationen/Flyer/Berufsbezsprachf-ESF-BAMF/berufsbezsprachf-esf-bamf_cz.pdf?__blob=publicationFile","x")</f>
        <v>x</v>
      </c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2"/>
      <c r="EM252" s="111"/>
      <c r="EN252" s="111"/>
      <c r="EO252" s="117"/>
      <c r="EP252" s="118"/>
      <c r="EQ252" s="112"/>
      <c r="ER252" s="111"/>
      <c r="ES252" s="111"/>
      <c r="ET252" s="111"/>
      <c r="EU252" s="111"/>
      <c r="EV252" s="112" t="str">
        <f t="shared" si="1351"/>
        <v>x</v>
      </c>
      <c r="EW252" s="111"/>
      <c r="EX252" s="111"/>
      <c r="EY252" s="111"/>
      <c r="EZ252" s="111"/>
      <c r="FA252" s="111"/>
      <c r="FB252" s="111"/>
      <c r="FC252" s="112" t="str">
        <f t="shared" si="1352"/>
        <v>x</v>
      </c>
      <c r="FD252" s="111"/>
      <c r="FE252" s="111"/>
      <c r="FF252" s="112"/>
      <c r="FG252" s="111"/>
      <c r="FH252" s="111"/>
      <c r="FI252" s="112"/>
      <c r="FJ252" s="112"/>
      <c r="FK252" s="111"/>
      <c r="FL252" s="111"/>
      <c r="FM252" s="111"/>
      <c r="FN252" s="111"/>
      <c r="FO252" s="112"/>
      <c r="FP252" s="111"/>
      <c r="FQ252" s="112"/>
      <c r="FR252" s="112"/>
      <c r="FS252" s="112"/>
      <c r="FT252" s="112"/>
      <c r="FU252" s="112"/>
      <c r="FV252" s="112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2"/>
      <c r="GM252" s="111"/>
      <c r="GN252" s="111"/>
      <c r="GO252" s="112"/>
      <c r="GP252" s="112"/>
      <c r="GQ252" s="112"/>
      <c r="GR252" s="112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2" t="str">
        <f t="shared" si="1251"/>
        <v>x</v>
      </c>
      <c r="HC252" s="111"/>
      <c r="HD252" s="111"/>
      <c r="HE252" s="111"/>
      <c r="HF252" s="111"/>
      <c r="HG252" s="111"/>
      <c r="HH252" s="111"/>
      <c r="HI252" s="111"/>
      <c r="HJ252" s="112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2" t="str">
        <f t="shared" si="1353"/>
        <v>x</v>
      </c>
      <c r="HY252" s="112" t="str">
        <f t="shared" si="1354"/>
        <v>x</v>
      </c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2" t="str">
        <f>HYPERLINK("http://www.bamf.de/SharedDocs/Anlagen/DE/Publikationen/Flyer/Lassen-Sie-Sich-Beraten/lassen-sie-sich-beraten_cs.pdf?__blob=publicationFile","x")</f>
        <v>x</v>
      </c>
      <c r="IK252" s="112"/>
      <c r="IL252" s="111"/>
      <c r="IM252" s="111"/>
      <c r="IN252" s="111"/>
      <c r="IO252" s="111"/>
      <c r="IP252" s="112" t="str">
        <f>HYPERLINK("http://www.bamf.de/SharedDocs/Anlagen/DE/Publikationen/Flyer/Lernen-Sie-Deutsch/lernen-sie-deutsch_cz.pdf?__blob=publicationFile","x")</f>
        <v>x</v>
      </c>
      <c r="IQ252" s="111"/>
      <c r="IR252" s="111"/>
      <c r="IS252" s="111"/>
      <c r="IT252" s="111"/>
      <c r="IU252" s="111"/>
      <c r="IV252" s="111"/>
      <c r="IW252" s="111"/>
      <c r="IX252" s="112"/>
      <c r="IY252" s="111"/>
      <c r="IZ252" s="111"/>
      <c r="JA252" s="111"/>
      <c r="JB252" s="111"/>
      <c r="JC252" s="111"/>
      <c r="JD252" s="111"/>
      <c r="JE252" s="111"/>
      <c r="JF252" s="111"/>
      <c r="JG252" s="111"/>
      <c r="JH252" s="111"/>
      <c r="JI252" s="111"/>
      <c r="JJ252" s="111"/>
      <c r="JK252" s="111"/>
      <c r="JL252" s="111"/>
      <c r="JM252" s="111"/>
      <c r="JN252" s="111"/>
      <c r="JO252" s="111"/>
      <c r="JP252" s="111"/>
      <c r="JQ252" s="112" t="str">
        <f t="shared" si="1355"/>
        <v>x</v>
      </c>
      <c r="JR252" s="111"/>
      <c r="JS252" s="111"/>
      <c r="JT252" s="111"/>
      <c r="JU252" s="111"/>
      <c r="JV252" s="111"/>
      <c r="JW252" s="111"/>
      <c r="JX252" s="112"/>
      <c r="JY252" s="112"/>
      <c r="JZ252" s="112"/>
      <c r="KA252" s="112"/>
      <c r="KB252" s="111"/>
      <c r="KC252" s="111"/>
      <c r="KD252" s="111"/>
      <c r="KE252" s="111"/>
      <c r="KF252" s="112"/>
      <c r="KG252" s="112"/>
      <c r="KH252" s="112"/>
      <c r="KI252" s="112"/>
      <c r="KJ252" s="112"/>
      <c r="KK252" s="112"/>
      <c r="KL252" s="112"/>
      <c r="KM252" s="112"/>
      <c r="KN252" s="112"/>
      <c r="KO252" s="112"/>
      <c r="KP252" s="112"/>
      <c r="KQ252" s="112"/>
      <c r="KR252" s="112"/>
      <c r="KS252" s="112"/>
      <c r="KT252" s="112"/>
      <c r="KU252" s="112"/>
      <c r="KV252" s="112"/>
      <c r="KW252" s="112"/>
      <c r="KX252" s="112"/>
      <c r="KY252" s="112"/>
      <c r="KZ252" s="112"/>
      <c r="LA252" s="112"/>
      <c r="LB252" s="111"/>
      <c r="LC252" s="111"/>
      <c r="LD252" s="111"/>
      <c r="LE252" s="111"/>
      <c r="LF252" s="111"/>
      <c r="LG252" s="111"/>
      <c r="LH252" s="111"/>
      <c r="LI252" s="111"/>
      <c r="LJ252" s="111"/>
      <c r="LK252" s="111"/>
      <c r="LL252" s="111"/>
      <c r="LM252" s="111"/>
      <c r="LN252" s="111"/>
      <c r="LO252" s="111"/>
      <c r="LP252" s="111"/>
      <c r="LQ252" s="111"/>
      <c r="LR252" s="111"/>
      <c r="LS252" s="111"/>
      <c r="LT252" s="111"/>
      <c r="LU252" s="111"/>
      <c r="LV252" s="111"/>
      <c r="LW252" s="111"/>
      <c r="LX252" s="111"/>
      <c r="LY252" s="111"/>
      <c r="LZ252" s="111"/>
      <c r="MA252" s="111"/>
      <c r="MB252" s="111"/>
      <c r="MC252" s="111"/>
      <c r="MD252" s="111"/>
      <c r="ME252" s="111"/>
      <c r="MF252" s="111"/>
      <c r="MG252" s="111"/>
      <c r="MH252" s="111"/>
    </row>
    <row r="253" spans="1:346" x14ac:dyDescent="0.25">
      <c r="A253" s="101" t="s">
        <v>11</v>
      </c>
      <c r="B253" s="102"/>
      <c r="C253" s="102"/>
      <c r="D253" s="102"/>
      <c r="E253" s="102"/>
      <c r="F253" s="102"/>
      <c r="G253" s="102"/>
      <c r="H253" s="102"/>
      <c r="I253" s="102"/>
      <c r="J253" s="103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6"/>
      <c r="AV253" s="106"/>
      <c r="AW253" s="106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9"/>
      <c r="EP253" s="109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5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4"/>
      <c r="JK253" s="104"/>
      <c r="JL253" s="104"/>
      <c r="JM253" s="104"/>
      <c r="JN253" s="104"/>
      <c r="JO253" s="104"/>
      <c r="JP253" s="104"/>
      <c r="JQ253" s="104"/>
      <c r="JR253" s="104"/>
      <c r="JS253" s="104"/>
      <c r="JT253" s="104"/>
      <c r="JU253" s="104"/>
      <c r="JV253" s="104"/>
      <c r="JW253" s="104"/>
      <c r="JX253" s="104"/>
      <c r="JY253" s="104"/>
      <c r="JZ253" s="104"/>
      <c r="KA253" s="104"/>
      <c r="KB253" s="104"/>
      <c r="KC253" s="104"/>
      <c r="KD253" s="104"/>
      <c r="KE253" s="104"/>
      <c r="KF253" s="104"/>
      <c r="KG253" s="104"/>
      <c r="KH253" s="104"/>
      <c r="KI253" s="104"/>
      <c r="KJ253" s="104"/>
      <c r="KK253" s="104"/>
      <c r="KL253" s="104"/>
      <c r="KM253" s="104"/>
      <c r="KN253" s="104"/>
      <c r="KO253" s="104"/>
      <c r="KP253" s="104"/>
      <c r="KQ253" s="104"/>
      <c r="KR253" s="104"/>
      <c r="KS253" s="104"/>
      <c r="KT253" s="104"/>
      <c r="KU253" s="104"/>
      <c r="KV253" s="104"/>
      <c r="KW253" s="104"/>
      <c r="KX253" s="104"/>
      <c r="KY253" s="104"/>
      <c r="KZ253" s="104"/>
      <c r="LA253" s="104"/>
      <c r="LB253" s="104"/>
      <c r="LC253" s="104"/>
      <c r="LD253" s="104"/>
      <c r="LE253" s="104"/>
      <c r="LF253" s="104"/>
      <c r="LG253" s="104"/>
      <c r="LH253" s="104"/>
      <c r="LI253" s="104"/>
      <c r="LJ253" s="104"/>
      <c r="LK253" s="104"/>
      <c r="LL253" s="104"/>
      <c r="LM253" s="104"/>
      <c r="LN253" s="104"/>
      <c r="LO253" s="104"/>
      <c r="LP253" s="104"/>
      <c r="LQ253" s="104"/>
      <c r="LR253" s="104"/>
      <c r="LS253" s="104"/>
      <c r="LT253" s="104"/>
      <c r="LU253" s="104"/>
      <c r="LV253" s="104"/>
      <c r="LW253" s="104"/>
      <c r="LX253" s="104"/>
      <c r="LY253" s="104"/>
      <c r="LZ253" s="104"/>
      <c r="MA253" s="104"/>
      <c r="MB253" s="104"/>
      <c r="MC253" s="104"/>
      <c r="MD253" s="104"/>
      <c r="ME253" s="104"/>
      <c r="MF253" s="104"/>
      <c r="MG253" s="104"/>
      <c r="MH253" s="104"/>
    </row>
    <row r="254" spans="1:346" x14ac:dyDescent="0.25">
      <c r="A254" s="110" t="s">
        <v>11</v>
      </c>
      <c r="B254" s="101" t="s">
        <v>77</v>
      </c>
      <c r="C254" s="102"/>
      <c r="D254" s="102"/>
      <c r="E254" s="102"/>
      <c r="F254" s="102"/>
      <c r="G254" s="102"/>
      <c r="H254" s="102"/>
      <c r="I254" s="102"/>
      <c r="J254" s="103"/>
      <c r="K254" s="111"/>
      <c r="L254" s="111"/>
      <c r="M254" s="112" t="str">
        <f t="shared" ref="M254" si="1356">HYPERLINK("http://www.ag-fluechtlingshilfe-wetterau.de/uploads/infos/170.pdf","x")</f>
        <v>x</v>
      </c>
      <c r="N254" s="112"/>
      <c r="O254" s="112" t="str">
        <f>HYPERLINK("http://www.awb-ahrweiler.de/admin/data/ddownload/Abfall%20Sonderhinweise-tuerkisch%202014.pdf","x")</f>
        <v>x</v>
      </c>
      <c r="P254" s="112"/>
      <c r="Q254" s="112"/>
      <c r="R254" s="112"/>
      <c r="S254" s="112"/>
      <c r="T254" s="112"/>
      <c r="U254" s="112"/>
      <c r="V254" s="111"/>
      <c r="W254" s="112"/>
      <c r="X254" s="111"/>
      <c r="Y254" s="111"/>
      <c r="Z254" s="111"/>
      <c r="AA254" s="111"/>
      <c r="AB254" s="111"/>
      <c r="AC254" s="112" t="str">
        <f t="shared" ref="AC254:AC261" si="1357">HYPERLINK("http://www.rundfunkbeitrag.de/e175/e199/Informationsflyer_Buergerinnen_und_Buerger_tuerkisch.pdf","x")</f>
        <v>x</v>
      </c>
      <c r="AD254" s="111"/>
      <c r="AE254" s="112" t="str">
        <f>HYPERLINK("http://www.kub-berlin.org/formularprojekt/de/tuerkisch-antraege-und-anlagen/","x")</f>
        <v>x</v>
      </c>
      <c r="AF254" s="111"/>
      <c r="AG254" s="111"/>
      <c r="AH254" s="111"/>
      <c r="AI254" s="111"/>
      <c r="AJ254" s="111"/>
      <c r="AK254" s="111"/>
      <c r="AL254" s="111"/>
      <c r="AM254" s="111"/>
      <c r="AN254" s="112"/>
      <c r="AO254" s="112"/>
      <c r="AP254" s="112"/>
      <c r="AQ254" s="112"/>
      <c r="AR254" s="112"/>
      <c r="AS254" s="112"/>
      <c r="AT254" s="112"/>
      <c r="AU254" s="113"/>
      <c r="AV254" s="114" t="str">
        <f t="shared" ref="AV254" si="1358">HYPERLINK("http://sab.landtag.sachsen.de/dokumente/landtagskurier/SAB_DeutschLernen_DinA5_WEB141115.pdf","x")</f>
        <v>x</v>
      </c>
      <c r="AW254" s="114" t="str">
        <f t="shared" ref="AW254" si="1359">HYPERLINK("http://sab.landtag.sachsen.de/dokumente/landtagskurier/SAB_PL_Lernposter_WEB091115.pdf","x")</f>
        <v>x</v>
      </c>
      <c r="AX254" s="111"/>
      <c r="AY254" s="111"/>
      <c r="AZ254" s="112" t="str">
        <f t="shared" ref="AZ254" si="136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4" s="112" t="str">
        <f t="shared" ref="BA254" si="1361">HYPERLINK("http://wie-kann-ich-helfen.info/WoerterbuchAnalphabet_innen_%28c%29_Dagmar_Schmeelcke.pdf","x")</f>
        <v>x</v>
      </c>
      <c r="BB254" s="111"/>
      <c r="BC254" s="111"/>
      <c r="BD254" s="111"/>
      <c r="BE254" s="111"/>
      <c r="BF254" s="111"/>
      <c r="BG254" s="112" t="str">
        <f t="shared" ref="BG254" si="1362">HYPERLINK("http://www.refugeephrasebook.de/pdf/germany150920.pdf","x")</f>
        <v>x</v>
      </c>
      <c r="BH254" s="112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2" t="str">
        <f t="shared" ref="BR254" si="1363">HYPERLINK("http://www.goethe.de/lrn/prj/wnd/deu/lti/deindex.htm#13322010","x")</f>
        <v>x</v>
      </c>
      <c r="BS254" s="112"/>
      <c r="BT254" s="111"/>
      <c r="BU254" s="112" t="str">
        <f t="shared" ref="BU254" si="1364">HYPERLINK("https://s3-eu-west-1.amazonaws.com/lingolia/download/lingolia_daf.pdf","x")</f>
        <v>x</v>
      </c>
      <c r="BV254" s="112" t="str">
        <f t="shared" ref="BV254:BV261" si="1365">HYPERLINK("http://www.welcomegrooves.de/wp-content/uploads/2015/10/welcomegrooves_DE-TUERKISCH1.pdf","x")</f>
        <v>x</v>
      </c>
      <c r="BW254" s="112"/>
      <c r="BX254" s="112"/>
      <c r="BY254" s="112"/>
      <c r="BZ254" s="112" t="str">
        <f t="shared" ref="BZ254" si="1366">HYPERLINK("http://www.hueber.de/shared/uebungen/schritte-plus","x")</f>
        <v>x</v>
      </c>
      <c r="CA254" s="112" t="str">
        <f t="shared" ref="CA254" si="1367">HYPERLINK("https://www.hueber.de/shared/uebungen/menschen-hier/ab/a1-1/menu.html","x")</f>
        <v>x</v>
      </c>
      <c r="CB254" s="112" t="str">
        <f t="shared" ref="CB254" si="1368">HYPERLINK("http://www.goethe-verlag.com/DE/","x")</f>
        <v>x</v>
      </c>
      <c r="CC254" s="112"/>
      <c r="CD254" s="112"/>
      <c r="CE254" s="111"/>
      <c r="CF254" s="112" t="str">
        <f t="shared" ref="CF254" si="1369">HYPERLINK("http://www.braunschweig.de/leben/frauen/hilfe/Ohne-Gewalt-leben.pdf","x")</f>
        <v>x</v>
      </c>
      <c r="CG254" s="112" t="str">
        <f>HYPERLINK("http://mifkjf.rlp.de/fileadmin/mifkjf/Frauen/Gewalt_gegen_Frauen/Downloads/Broschueren_Flyer/Flyer_Gewalt_tuerkisch.pdf","x")</f>
        <v>x</v>
      </c>
      <c r="CH254" s="112" t="str">
        <f t="shared" ref="CH254:CH261" si="1370">HYPERLINK("https://www.hilfetelefon.de/fileadmin/hilfetelefon_de/Materialien/Flyer/Infoflyer_Hilfetelefon_Gewalt_gegen_Frauen141105_b2.pdf","x")</f>
        <v>x</v>
      </c>
      <c r="CI254" s="112" t="str">
        <f t="shared" ref="CI254" si="1371">HYPERLINK("https://www.hilfetelefon.de/fileadmin/hilfetelefon_de/Materialien/weitere_werbemittel/Klappflyer_Vorder-_und_Rueckseite_opt2.pdf","x")</f>
        <v>x</v>
      </c>
      <c r="CJ254" s="112" t="str">
        <f t="shared" ref="CJ254" si="1372">HYPERLINK("http://www.e-migrantinnen.de/index.php?de_wichtige-links","x")</f>
        <v>x</v>
      </c>
      <c r="CK254" s="112" t="str">
        <f t="shared" ref="CK254" si="1373">HYPERLINK("http://www.frauenberatungsstelle.de/pdf/Migrantinnen-beraten-Migrantinnen.pdf","x")</f>
        <v>x</v>
      </c>
      <c r="CL254" s="112"/>
      <c r="CM254" s="112"/>
      <c r="CN254" s="112"/>
      <c r="CO254" s="112" t="str">
        <f>HYPERLINK("http://www.schwanger-und-viele-fragen.de/tr/","x")</f>
        <v>x</v>
      </c>
      <c r="CP254" s="112"/>
      <c r="CQ254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R254" s="112"/>
      <c r="CS254" s="112"/>
      <c r="CT254" s="112" t="str">
        <f>HYPERLINK("http://www.profamilia.de/fileadmin/publikationen/Erwachsene/mehrsprachig/verhuetung_tuerkisch.pdf","x")</f>
        <v>x</v>
      </c>
      <c r="CU254" s="112" t="str">
        <f t="shared" ref="CU254:CU261" si="1374">HYPERLINK("http://www.profamilia.de/fileadmin/publikationen/Reihe_Verhuetungsmethoden/Pille_Spirale_danach_tuerkisch_2011.pdf","x")</f>
        <v>x</v>
      </c>
      <c r="CV254" s="112" t="str">
        <f t="shared" ref="CV254:CV261" si="1375">HYPERLINK("http://www.profamilia.de/fileadmin/publikationen/Reihe_Verhuetungsmethoden/Einleger_tuerkisch.pdf","x")</f>
        <v>x</v>
      </c>
      <c r="CW254" s="112" t="str">
        <f t="shared" ref="CW254:CW261" si="1376">HYPERLINK("http://www.profamilia.de/fileadmin/publikationen/Reihe_Koerper_und_Sexualtitaet/Bro_Schwangerschaftsabbruch_TR_ANSICHT.pdf","x")</f>
        <v>x</v>
      </c>
      <c r="CX254" s="112" t="str">
        <f t="shared" ref="CX254" si="1377">HYPERLINK("http://www.caritas-schwarzwald-alb-donau.de/68854.html","x")</f>
        <v>x</v>
      </c>
      <c r="CY254" s="112" t="str">
        <f>HYPERLINK("http://www.dgfpi.de/tl_files/download/medien/unwissen-macht-tk.pdf","x")</f>
        <v>x</v>
      </c>
      <c r="CZ254" s="112"/>
      <c r="DA254" s="112"/>
      <c r="DB254" s="115" t="str">
        <f>HYPERLINK("http://www.kindersicherheit.de/pdf/2012_Bilderbuch-Gift-Tuerkisch.pdf","x")</f>
        <v>x</v>
      </c>
      <c r="DC254" s="112"/>
      <c r="DD254" s="112"/>
      <c r="DE254" s="112" t="str">
        <f t="shared" ref="DE254" si="1378">HYPERLINK("http://fi-lohmar-siegburg.de/data/documents/130-37_Inklusion_im_Anfangsunterricht_-_Poster_mit_Situationsbildern.pdf","x")</f>
        <v>x</v>
      </c>
      <c r="DF254" s="115" t="str">
        <f t="shared" ref="DF254" si="1379">HYPERLINK("http://s3-eu-west-1.amazonaws.com/lingolia/calendar/2016/lingolia_2016_de.pdf","x")</f>
        <v>x</v>
      </c>
      <c r="DG254" s="112" t="str">
        <f t="shared" ref="DG254" si="1380">HYPERLINK("http://www.bibliomedia.ch/de/angebote/img/Wimmelbild.jpg","x")</f>
        <v>x</v>
      </c>
      <c r="DH254" s="112" t="str">
        <f t="shared" ref="DH254" si="1381">HYPERLINK("http://www.bibliomedia.ch/de/angebote/dokumente/Wimmelbild_Fehler.jpg","x")</f>
        <v>x</v>
      </c>
      <c r="DI254" s="112" t="str">
        <f t="shared" ref="DI254:DI261" si="1382">HYPERLINK("http://www.bibliomedia.ch/de/angebote/dokumente/Glossar_tuerkisch.pdf","x")</f>
        <v>x</v>
      </c>
      <c r="DJ254" s="112"/>
      <c r="DK254" s="112"/>
      <c r="DL254" s="112"/>
      <c r="DM254" s="112"/>
      <c r="DN254" s="112"/>
      <c r="DO254" s="111"/>
      <c r="DP254" s="112" t="str">
        <f t="shared" ref="DP254" si="1383">HYPERLINK("http://tipdoc.de/bus/grafik/kinder-tip/SCHULTIP_give_didacta.pdf","x")</f>
        <v>x</v>
      </c>
      <c r="DQ254" s="112" t="str">
        <f t="shared" ref="DQ254:DQ261" si="1384">HYPERLINK("https://broschueren.nordrheinwestfalendirekt.de/broschuerenservice/msw/tue-das-schulsystem-in-nordrhein-westfalen-einfach-und-schnell-erklaert/1906","x")</f>
        <v>x</v>
      </c>
      <c r="DR254" s="112" t="str">
        <f>HYPERLINK("http://bildung.koeln.de/materialbibliothek/download.php?idx=46d99ecd1cd085058204a036d1394fed","x")</f>
        <v>x</v>
      </c>
      <c r="DS254" s="112" t="str">
        <f>HYPERLINK("http://bildung.koeln.de/materialbibliothek/download.php?idx=5fa16c0085d80ec9f9262f25c773ed7f","x")</f>
        <v>x</v>
      </c>
      <c r="DT254" s="112"/>
      <c r="DU254" s="112" t="str">
        <f t="shared" ref="DU254:DU261" si="1385">HYPERLINK("https://www.bmbf.de/pub/Kausa_Elternbroschuere_tuerkisch.pdf","x")</f>
        <v>x</v>
      </c>
      <c r="DV254" s="111"/>
      <c r="DW254" s="111"/>
      <c r="DX254" s="111"/>
      <c r="DY254" s="112" t="str">
        <f t="shared" ref="DY254:DY261" si="1386">HYPERLINK("http://www.bamf.de/SharedDocs/Anlagen/TR/Publikationen/Flyer/AnerkennungBerufsabschluss/anerkennung-berufsabschluss.pdf?__blob=publicationFile","x")</f>
        <v>x</v>
      </c>
      <c r="DZ254" s="112" t="str">
        <f t="shared" ref="DZ254:DZ261" si="1387">HYPERLINK("http://www.bamf.de/SharedDocs/Anlagen/TR/Publikationen/Flyer/AnerkennungBerufsabschluss/anerkennung-berufsabschluss_ausland.pdf?__blob=publicationFile","x")</f>
        <v>x</v>
      </c>
      <c r="EA254" s="112" t="str">
        <f t="shared" ref="EA254:EA261" si="1388">HYPERLINK("http://www.bamf.de/SharedDocs/Anlagen/DE/Publikationen/Broschueren/willkommen-in-deutschland-info-blaue-karte-eu_tr.pdf?__blob=publicationFile","x")</f>
        <v>x</v>
      </c>
      <c r="EB254" s="112" t="str">
        <f t="shared" ref="EB254:EB261" si="1389">HYPERLINK("http://www.bamf.de/SharedDocs/Anlagen/TR/Publikationen/Flyer/Berufsbezsprachf-ESF-BAMF/berufsbezsprachf-esf-bamf.pdf?__blob=publicationFile","x")</f>
        <v>x</v>
      </c>
      <c r="EC254" s="111"/>
      <c r="ED254" s="111"/>
      <c r="EE254" s="111"/>
      <c r="EF254" s="111"/>
      <c r="EG254" s="111"/>
      <c r="EH254" s="111"/>
      <c r="EI254" s="112"/>
      <c r="EJ254" s="112"/>
      <c r="EK254" s="115"/>
      <c r="EL254" s="112" t="str">
        <f t="shared" ref="EL254:EL261" si="1390">HYPERLINK("http://www.kvs-sachsen.de/fileadmin/img/Mitglieder/Asylbewerber/Allg-Informationen/Anlage_1_Tuerkisch_LEK.pdf","x")</f>
        <v>x</v>
      </c>
      <c r="EM254" s="112" t="str">
        <f t="shared" ref="EM254" si="1391">HYPERLINK("http://www.medizin-hilft-fluechtlingen.de/images/Dokumente/gSch/gSch_tur.pdf","x")</f>
        <v>x</v>
      </c>
      <c r="EN254" s="111"/>
      <c r="EO254" s="117" t="str">
        <f t="shared" ref="EO254" si="1392">HYPERLINK("http://www.medi-bild.de/pdf/anamnese/Welche_Sprache.pdf","x")</f>
        <v>x</v>
      </c>
      <c r="EP254" s="117" t="str">
        <f t="shared" ref="EP254" si="1393">HYPERLINK("http://www.armut-gesundheit.de/fileadmin/redakteur/dokumente/Anamnesebogen%20-%20t%C3%BCrkischnew.pdf","x")</f>
        <v>x</v>
      </c>
      <c r="EQ254" s="112" t="str">
        <f t="shared" ref="EQ254:EQ261" si="1394">HYPERLINK("http://www.kvs-sachsen.de/fileadmin/img/Mitglieder/Asylbewerber/Allg-Informationen/Anlagen_2-1_2-2_Tuerkisch_LEK.pdf","x")</f>
        <v>x</v>
      </c>
      <c r="ER254" s="111"/>
      <c r="ES254" s="111"/>
      <c r="ET254" s="111"/>
      <c r="EU254" s="112" t="str">
        <f t="shared" ref="EU254:EU261" si="1395">HYPERLINK("http://www.adler-apotheke-hh.de/fileadmin/user_upload/PDF-Dateien/Dosierzettel_mehrsprachig_AUF_0_.pdf","x")</f>
        <v>x</v>
      </c>
      <c r="EV254" s="112" t="str">
        <f t="shared" ref="EV254:EV261" si="1396">HYPERLINK("http://www.lak-rlp.de/fileadmin/redakteure/pdf/download/Piktogramme_Dosieretiketten_AoG.pdf","x")</f>
        <v>x</v>
      </c>
      <c r="EW254" s="112" t="str">
        <f t="shared" ref="EW254:EW261" si="1397">HYPERLINK("http://www.rki.de/DE/Content/Infekt/IfSG/Belehrungsbogen/belehrungsbogen_eltern_tuerkisch.pdf?__blob=publicationFile","x")</f>
        <v>x</v>
      </c>
      <c r="EX254" s="112" t="str">
        <f t="shared" ref="EX254" si="1398">HYPERLINK("http://www.bzga.de/infomaterialien/?sid=236","x")</f>
        <v>x</v>
      </c>
      <c r="EY254" s="112" t="str">
        <f t="shared" ref="EY254:EY261" si="1399">HYPERLINK("https://www.mh-hannover.de/fileadmin/mhh/bilder/aktuelles_presse/pressestelle/bilder/Pilzverg_tuerkisch.pdf","x")</f>
        <v>x</v>
      </c>
      <c r="EZ254" s="112"/>
      <c r="FA254" s="116"/>
      <c r="FB254" s="111"/>
      <c r="FC254" s="112" t="str">
        <f t="shared" ref="FC254" si="1400">HYPERLINK("http://mige.ix-tech.de/index.php?id=241","x")</f>
        <v>x</v>
      </c>
      <c r="FD254" s="112" t="str">
        <f t="shared" ref="FD254" si="1401">HYPERLINK("http://sghanstedt.elbnetz.com/ueber-uns/","x")</f>
        <v>x</v>
      </c>
      <c r="FE254" s="112" t="str">
        <f t="shared" ref="FE254" si="1402">HYPERLINK("http://www.fuhlenhagen.com/pdf_dateien/uebertzungshilfe_aerzte_mehrsprachig.pdf","x")</f>
        <v>x</v>
      </c>
      <c r="FF254" s="111"/>
      <c r="FG254" s="111"/>
      <c r="FH254" s="111"/>
      <c r="FI254" s="112"/>
      <c r="FJ254" s="112" t="str">
        <f t="shared" ref="FJ254" si="1403">HYPERLINK("http://www.rki.de/DE/Content/Infekt/Impfen/Materialien/Downloads-Impfkalender/Impfkalender_Tuerkisch.pdf?__blob=publicationFile","x")</f>
        <v>x</v>
      </c>
      <c r="FK254" s="112" t="str">
        <f t="shared" ref="FK254" si="1404">HYPERLINK("http://www.ethno-medizinisches-zentrum.de/images/PDF-Files/impfwegweiser_turkisch_2013_online.pdf","x")</f>
        <v>x</v>
      </c>
      <c r="FL254" s="112"/>
      <c r="FM254" s="112" t="str">
        <f t="shared" ref="FM254:FM261" si="1405">HYPERLINK("http://www.rki.de/DE/Content/Infekt/Impfen/Materialien/Glossar-Downloads/glossar-de-tuerkisch.pdf?__blob=publicationFile","x")</f>
        <v>x</v>
      </c>
      <c r="FN254" s="112"/>
      <c r="FO254" s="112" t="str">
        <f t="shared" ref="FO254:FO261" si="1406">HYPERLINK("http://www.rki.de/DE/Content/Infekt/Impfen/Materialien/Downloads-MMR/MMR-Impfinfo-tuerkisch.pdf?__blob=publicationFile","x")</f>
        <v>x</v>
      </c>
      <c r="FP254" s="112"/>
      <c r="FQ254" s="112" t="str">
        <f t="shared" ref="FQ254:FQ261" si="1407">HYPERLINK("http://www.rki.de/DE/Content/Infekt/Impfen/Materialien/Downloads_HepA/Aufklaerung_HAV-Impfung_Tuerkisch.pdf?__blob=publicationFile","x")</f>
        <v>x</v>
      </c>
      <c r="FR254" s="112" t="str">
        <f t="shared" ref="FR254:FR261" si="1408">HYPERLINK("http://www.rki.de/DE/Content/Infekt/Impfen/Materialien/Downloads_Pneumokokken/Aufklaerung_Pneumo-Impfung_Tuerkisch.pdf?__blob=publicationFile","x")</f>
        <v>x</v>
      </c>
      <c r="FS254" s="112" t="str">
        <f t="shared" ref="FS254:FS261" si="1409">HYPERLINK("http://www.rki.de/DE/Content/Infekt/Impfen/Materialien/Downloads-DTaPIPVHibHepB/DTaPIPVHibHepB-tuerkisch.pdf?__blob=publicationFile","x")</f>
        <v>x</v>
      </c>
      <c r="FT254" s="112" t="str">
        <f t="shared" ref="FT254:FT261" si="1410">HYPERLINK("http://www.rki.de/DE/Content/Infekt/Impfen/Materialien/Downloads-Varizellen/Varizellen-Impfinfo-tuerkisch.pdf;jsessionid=65B697F4EE7EDA8A1ED9E2C4CD6C74EC.2_cid363?__blob=publicationFile","x")</f>
        <v>x</v>
      </c>
      <c r="FU254" s="112" t="str">
        <f t="shared" ref="FU254:FU261" si="1411">HYPERLINK("http://www.rki.de/DE/Content/Infekt/Impfen/Materialien/Downloads-Tdap-IPV/Tdap-IPV-tuerkisch.pdf?__blob=publicationFile","x")</f>
        <v>x</v>
      </c>
      <c r="FV254" s="112" t="str">
        <f t="shared" ref="FV254:FV261" si="1412">HYPERLINK("http://www.rki.de/DE/Content/Infekt/Impfen/Materialien/Downloads-Influenza_nasal/Influenza_nasal-tuerkisch.pdf?__blob=publicationFile","x")</f>
        <v>x</v>
      </c>
      <c r="FW254" s="112" t="str">
        <f t="shared" ref="FW254:FW261" si="1413">HYPERLINK("http://www.medical-tribune.de/fileadmin/PDF/Arthrose_tuerkisch.pdf","x")</f>
        <v>x</v>
      </c>
      <c r="FX254" s="112"/>
      <c r="FY254" s="112" t="str">
        <f t="shared" ref="FY254:FY261" si="1414">HYPERLINK("http://www.medical-tribune.de/fileadmin/PDF/Bluthochdruck_tuerkisch.pdf","x")</f>
        <v>x</v>
      </c>
      <c r="FZ254" s="112"/>
      <c r="GA254" s="112"/>
      <c r="GB254" s="112" t="str">
        <f t="shared" ref="GB254:GB261" si="1415">HYPERLINK("http://www.medical-tribune.de/fileadmin/PDF/Demenz_tuerkisch.pdf","x")</f>
        <v>x</v>
      </c>
      <c r="GC254" s="115" t="str">
        <f t="shared" ref="GC254" si="1416">HYPERLINK("http://www.ethno-medizinisches-zentrum.de/images/PDF-Files/lf_diabetes_turkisch.pdf","x")</f>
        <v>x</v>
      </c>
      <c r="GD254" s="112" t="str">
        <f t="shared" ref="GD254:GD261" si="1417">HYPERLINK("http://www.medical-tribune.de/fileadmin/PDF/Divertikel_tuerkisch.pdf","x")</f>
        <v>x</v>
      </c>
      <c r="GE254" s="112"/>
      <c r="GF254" s="112" t="str">
        <f t="shared" ref="GF254:GF261" si="1418">HYPERLINK("http://www.medical-tribune.de/fileadmin/PDF/Gallenstein_tuerkisch.pdf","x")</f>
        <v>x</v>
      </c>
      <c r="GG254" s="112"/>
      <c r="GH254" s="112" t="str">
        <f t="shared" ref="GH254" si="1419">HYPERLINK("http://www.tipdoc.de/bus/pdf/hepatitis/Hep_B_Webseite.pdf","x")</f>
        <v>x</v>
      </c>
      <c r="GI254" s="112" t="str">
        <f t="shared" ref="GI254" si="1420">HYPERLINK("http://www.tipdoc.de/bus/pdf/hepatitis/Hep_C_Webseite.pdf","x")</f>
        <v>x</v>
      </c>
      <c r="GJ254" s="111"/>
      <c r="GK254" s="111"/>
      <c r="GL254" s="112" t="str">
        <f t="shared" ref="GL254:GL261" si="1421">HYPERLINK("http://www.rki.de/DE/Content/Infekt/Impfen/Materialien/Downloads-Influenza/Influenza-tuerkisch.pdf?__blob=publicationFile","x")</f>
        <v>x</v>
      </c>
      <c r="GM254" s="112" t="str">
        <f t="shared" ref="GM254:GM261" si="1422">HYPERLINK("http://www.medical-tribune.de/fileadmin/PDF/Erkaeltung_tuerkisch.pdf","x")</f>
        <v>x</v>
      </c>
      <c r="GN254" s="112"/>
      <c r="GO254" s="112" t="str">
        <f t="shared" ref="GO254:GO261" si="1423">HYPERLINK("http://www.medi-bild.de/pdf/kopflaeuse2/Kopflaeuse_TURK.pdf","x")</f>
        <v>x</v>
      </c>
      <c r="GP254" s="112"/>
      <c r="GQ254" s="111"/>
      <c r="GR254" s="111"/>
      <c r="GS254" s="115" t="str">
        <f t="shared" ref="GS254:GS261" si="1424">HYPERLINK("http://www.medical-tribune.de/fileadmin/PDF/Migraene_tuerkisch.pdf","x")</f>
        <v>x</v>
      </c>
      <c r="GT254" s="112" t="str">
        <f t="shared" ref="GT254:GT261" si="1425">HYPERLINK("http://www.medical-tribune.de/fileadmin/PDF/Rueckenschmerzen_tuerkisch.pdf","x")</f>
        <v>x</v>
      </c>
      <c r="GU254" s="112"/>
      <c r="GV254" s="112" t="str">
        <f t="shared" ref="GV254:GV261" si="1426">HYPERLINK("http://www.medical-tribune.de/fileadmin/PDF/Schlafstoerungen_tuerkisch.pdf","x")</f>
        <v>x</v>
      </c>
      <c r="GW254" s="112" t="str">
        <f t="shared" ref="GW254:GW261" si="1427">HYPERLINK("http://www.medical-tribune.de/fileadmin/PDF/Schwindel_tuerkisch.pdf","x")</f>
        <v>x</v>
      </c>
      <c r="GX254" s="112" t="str">
        <f t="shared" ref="GX254:GX261" si="1428">HYPERLINK("http://www.medical-tribune.de/fileadmin/PDF/Sodbrennen_tuerkisch.pdf","x")</f>
        <v>x</v>
      </c>
      <c r="GY254" s="112" t="str">
        <f t="shared" ref="GY254:GY261" si="1429">HYPERLINK("http://www.medical-tribune.de/fileadmin/PDF/Sportverletzungen_tuerkisch.pdf","x")</f>
        <v>x</v>
      </c>
      <c r="GZ254" s="112" t="str">
        <f t="shared" ref="GZ254:GZ261" si="1430">HYPERLINK("http://www.medical-tribune.de/fileadmin/PDF/Thrombose_tuerkisch.pdf","x")</f>
        <v>x</v>
      </c>
      <c r="HA254" s="112"/>
      <c r="HB254" s="112" t="str">
        <f t="shared" si="1251"/>
        <v>x</v>
      </c>
      <c r="HC254" s="112" t="str">
        <f t="shared" ref="HC254:HC261" si="1431">HYPERLINK("https://www.zahnaerzte-wl.de/images/_PDF-suche/KZV_ZÄK/ENDSTAND_Ankreuzbogen_Ich_verstehe.pdf","x")</f>
        <v>x</v>
      </c>
      <c r="HD254" s="112" t="str">
        <f t="shared" ref="HD254:HD261" si="1432">HYPERLINK("https://www.zahnaerzte-wl.de/images/_PDF-suche/KZV_ZÄK/Anschreiben_Patienten_tuerkisch.pdf","x")</f>
        <v>x</v>
      </c>
      <c r="HE254" s="112" t="str">
        <f t="shared" ref="HE254:HE261" si="1433">HYPERLINK("https://www.zahnaerzte-wl.de/images/_PDF-suche/KZV_ZÄK/Fragebogen_tuerkisch.pdf","x")</f>
        <v>x</v>
      </c>
      <c r="HF254" s="112" t="str">
        <f t="shared" ref="HF254:HF261" si="1434">HYPERLINK("https://www.zahnaerzte-wl.de/images/_PDF-suche/KZV_ZÄK/Patientenerhebungsbogen_tuerkisch.pdf","x")</f>
        <v>x</v>
      </c>
      <c r="HG254" s="112"/>
      <c r="HH254" s="112" t="str">
        <f>HYPERLINK("http://www.bvkm.de/fileadmin/web_data/Behinderung_und_Migration_tuerkisch_2014.pdf","x")</f>
        <v>x</v>
      </c>
      <c r="HI254" s="112" t="str">
        <f>HYPERLINK("http://www.ibbc-berlin.de/media/bvkm_Bro_de-tuerk_Berlin_web%20Endversion.pdf","x")</f>
        <v>x</v>
      </c>
      <c r="HJ254" s="112" t="str">
        <f t="shared" ref="HJ254:HJ261" si="1435">HYPERLINK("http://www.psychenet.de/tr/ruhsal-saglik/bilgiler/depresyon.html","x")</f>
        <v>x</v>
      </c>
      <c r="HK254" s="115" t="str">
        <f t="shared" ref="HK254" si="1436">HYPERLINK("http://www.ethno-medizinisches-zentrum.de/images/PDF-Files/lf_depression_tr.pdf","x")</f>
        <v>x</v>
      </c>
      <c r="HL254" s="115" t="str">
        <f t="shared" ref="HL254:HL261" si="1437">HYPERLINK("http://www.psychenet.de/tr/ruhsal-saglik/bilgiler/psikoz.html","x")</f>
        <v>x</v>
      </c>
      <c r="HM254" s="115" t="str">
        <f t="shared" ref="HM254:HM261" si="1438">HYPERLINK("http://www.psychenet.de/tr/ruhsal-saglik/bilgiler/somatoform-bozukluklar.html","x")</f>
        <v>x</v>
      </c>
      <c r="HN254" s="115" t="str">
        <f t="shared" ref="HN254:HN261" si="1439">HYPERLINK("http://www.psychenet.de/tr/ruhsal-saglik/bilgiler/asiri-zayiflik.html","x")</f>
        <v>x</v>
      </c>
      <c r="HO254" s="115" t="str">
        <f t="shared" ref="HO254:HO261" si="1440">HYPERLINK("http://www.psychenet.de/tr/ruhsal-saglik/bilgiler/bulimia.html","x")</f>
        <v>x</v>
      </c>
      <c r="HP254" s="115" t="str">
        <f t="shared" ref="HP254:HP261" si="1441">HYPERLINK("http://www.psychenet.de/tr/ruhsal-saglik/bilgiler/bipolar-bozukluk.html","x")</f>
        <v>x</v>
      </c>
      <c r="HQ254" s="115" t="str">
        <f t="shared" ref="HQ254:HQ261" si="1442">HYPERLINK("http://www.psychenet.de/tr/ruhsal-saglik/bilgiler/agorafobili-panik-bozukluk.html","x")</f>
        <v>x</v>
      </c>
      <c r="HR254" s="115" t="str">
        <f t="shared" ref="HR254:HR261" si="1443">HYPERLINK("http://www.psychenet.de/tr/ruhsal-saglik/bilgiler/sosyal-fobi.html","x")</f>
        <v>x</v>
      </c>
      <c r="HS254" s="115"/>
      <c r="HT254" s="115" t="str">
        <f t="shared" ref="HT254:HT261" si="1444">HYPERLINK("http://www.psychenet.de/tr/ruhsal-saglik/bilgiler/burnout.html","x")</f>
        <v>x</v>
      </c>
      <c r="HU254" s="115" t="str">
        <f t="shared" ref="HU254:HU261" si="1445">HYPERLINK("http://www.psychenet.de/tr/ruhsal-saglik/bilgiler/bilgiler-ve-destek.html","x")</f>
        <v>x</v>
      </c>
      <c r="HV254" s="115" t="str">
        <f t="shared" ref="HV254:HV261" si="1446">HYPERLINK("http://www.medical-tribune.de/fileadmin/PDF/Restless_Legs_tuerkisch.pdf","x")</f>
        <v>x</v>
      </c>
      <c r="HW254" s="115" t="str">
        <f>HYPERLINK("http://www.bkk-psychisch-gesund.de/fileadmin/user_upload/Dokumente/Versicherte/Broschueren/Wegweiser_Psychotherapie_tuerkisch.pdf","x")</f>
        <v>x</v>
      </c>
      <c r="HX254" s="112" t="str">
        <f t="shared" ref="HX254" si="1447">HYPERLINK("http://www.selfhelpfortrauma.org/","x")</f>
        <v>x</v>
      </c>
      <c r="HY254" s="112" t="str">
        <f t="shared" ref="HY254" si="1448">HYPERLINK("http://peacefulheart.se/wp-content/uploads/2014/12/Resolving-Yesterday-20141201-Self-Tapping.pdf","x")</f>
        <v>x</v>
      </c>
      <c r="HZ254" s="115"/>
      <c r="IA254" s="115"/>
      <c r="IB254" s="115"/>
      <c r="IC254" s="115"/>
      <c r="ID254" s="115" t="str">
        <f t="shared" ref="ID254:ID261" si="1449">HYPERLINK("http://www.psychenet.de/tr/ruhsal-saglik/bilgiler/genclerde-alkol-tueketimi.html","x")</f>
        <v>x</v>
      </c>
      <c r="IE254" s="115"/>
      <c r="IF254" s="115"/>
      <c r="IG254" s="112" t="str">
        <f t="shared" ref="IG254" si="1450">HYPERLINK("http://www.ethno-medizinisches-zentrum.de/images/PDF-Files/lf_mediensucht_tr_geschutzt.pdf","x")</f>
        <v>x</v>
      </c>
      <c r="IH254" s="115" t="str">
        <f t="shared" ref="IH254:IH261" si="1451">HYPERLINK("http://www.caritas.de/hilfeundberatung/onlineberatung/suchtberatung/haeufiggestelltefragensucht/haeufiggestelltefragen-sucht","x")</f>
        <v>x</v>
      </c>
      <c r="II254" s="115" t="str">
        <f t="shared" ref="II254:II261" si="1452">HYPERLINK("http://www.bzga.de/infomaterialien/suchtvorbeugung/","x")</f>
        <v>x</v>
      </c>
      <c r="IJ254" s="112" t="str">
        <f t="shared" ref="IJ254:IJ261" si="1453">HYPERLINK("http://www.bamf.de/SharedDocs/Anlagen/TR/Publikationen/Flyer/Lassen-Sie-Sich-Beraten/lassen-sie-sich-beraten.pdf?__blob=publicationFile","x")</f>
        <v>x</v>
      </c>
      <c r="IK254" s="111"/>
      <c r="IL254" s="111"/>
      <c r="IM254" s="112" t="str">
        <f t="shared" ref="IM254:IM261" si="1454">HYPERLINK("https://www.bamf.de/SharedDocs/Anlagen/TR/Publikationen/Broschueren/willkommen-in-deutschland-tr.pdf?__blob=publicationFile","x")</f>
        <v>x</v>
      </c>
      <c r="IN254" s="112"/>
      <c r="IO254" s="111"/>
      <c r="IP254" s="112" t="str">
        <f t="shared" ref="IP254:IP261" si="1455">HYPERLINK("http://www.bamf.de/SharedDocs/Anlagen/TR/Publikationen/Flyer/Lernen-Sie-Deutsch/lernen-sie-deutsch.pdf?__blob=publicationFile","x")</f>
        <v>x</v>
      </c>
      <c r="IQ254" s="112"/>
      <c r="IR254" s="111"/>
      <c r="IS254" s="111"/>
      <c r="IT254" s="111"/>
      <c r="IU254" s="112" t="str">
        <f t="shared" ref="IU254:IU261" si="1456">HYPERLINK("http://www.asyl.net/fileadmin/user_upload/infoblatt_anhoerung/Tuerk_final.pdf","x")</f>
        <v>x</v>
      </c>
      <c r="IV254" s="112"/>
      <c r="IW254" s="112" t="str">
        <f t="shared" ref="IW254:IW261" si="1457">HYPERLINK("http://www.berlin.de/labo/willkommen-in-berlin/service/downloads/artikel.273193.php","x")</f>
        <v>x</v>
      </c>
      <c r="IX254" s="112" t="str">
        <f t="shared" ref="IX254:IX261" si="1458">HYPERLINK("http://www.bamf.de/SharedDocs/Anlagen/TR/Publikationen/Broschueren/broschuere-eat-a4-tr.pdf?__blob=publicationFile","x")</f>
        <v>x</v>
      </c>
      <c r="IY254" s="111"/>
      <c r="IZ254" s="111"/>
      <c r="JA254" s="111"/>
      <c r="JB254" s="112"/>
      <c r="JC254" s="111"/>
      <c r="JD254" s="112"/>
      <c r="JE254" s="112"/>
      <c r="JF254" s="112" t="str">
        <f t="shared" ref="JF254:JF261" si="1459">HYPERLINK("http://www.bamf.de/SharedDocs/Anlagen/TR/Publikationen/Flyer/Ehegattennachzug/ehegattennachzug.pdf?__blob=publicationFile","x")</f>
        <v>x</v>
      </c>
      <c r="JG254" s="112"/>
      <c r="JH254" s="111"/>
      <c r="JI254" s="112"/>
      <c r="JJ254" s="112"/>
      <c r="JK254" s="112"/>
      <c r="JL254" s="112" t="str">
        <f t="shared" ref="JL254:JL261" si="1460">HYPERLINK("https://www.arbeitsagentur.de/web/content/DE/Formulare/Detail/index.htm?dfContentId=L6019022DSTBAI485740","x")</f>
        <v>x</v>
      </c>
      <c r="JM254" s="112"/>
      <c r="JN254" s="112"/>
      <c r="JO254" s="112"/>
      <c r="JP254" s="112"/>
      <c r="JQ254" s="112" t="str">
        <f t="shared" ref="JQ254:JQ261" si="1461">HYPERLINK("http://www.ibla-germany.de/merkblaetter.php","x")</f>
        <v>x</v>
      </c>
      <c r="JR254" s="112"/>
      <c r="JS254" s="111"/>
      <c r="JT254" s="111"/>
      <c r="JU254" s="111"/>
      <c r="JV254" s="112"/>
      <c r="JW254" s="112"/>
      <c r="JX254" s="112"/>
      <c r="JY254" s="112"/>
      <c r="JZ254" s="112"/>
      <c r="KA254" s="112" t="str">
        <f t="shared" ref="KA254" si="1462">HYPERLINK("http://www.refugeeguide.de/dl/RefugeeGuide_tu_1208.pdf","x")</f>
        <v>x</v>
      </c>
      <c r="KB254" s="112" t="str">
        <f t="shared" ref="KB254:KB261" si="1463">HYPERLINK("http://www.bpb.de/shop/buecher/grundgesetz/34367/grundgesetz-fuer-die-bundesrepublik-deutschland","x")</f>
        <v>x</v>
      </c>
      <c r="KC254" s="112" t="str">
        <f t="shared" ref="KC254:KC261" si="1464">HYPERLINK("http://www.wedel.de/fileadmin/user_upload/media/pdf/Rathaus_und_Politik/20160118_PM_Broschuere.pdf","x")</f>
        <v>x</v>
      </c>
      <c r="KD254" s="112"/>
      <c r="KE254" s="111"/>
      <c r="KF254" s="112"/>
      <c r="KG254" s="112"/>
      <c r="KH254" s="112"/>
      <c r="KI254" s="112"/>
      <c r="KJ254" s="112"/>
      <c r="KK254" s="112"/>
      <c r="KL254" s="112"/>
      <c r="KM254" s="112"/>
      <c r="KN254" s="112"/>
      <c r="KO254" s="112"/>
      <c r="KP254" s="112"/>
      <c r="KQ254" s="112"/>
      <c r="KR254" s="112"/>
      <c r="KS254" s="112"/>
      <c r="KT254" s="112"/>
      <c r="KU254" s="112"/>
      <c r="KV254" s="112"/>
      <c r="KW254" s="112"/>
      <c r="KX254" s="112"/>
      <c r="KY254" s="112"/>
      <c r="KZ254" s="112"/>
      <c r="LA254" s="112"/>
      <c r="LB254" s="111"/>
      <c r="LC254" s="111"/>
      <c r="LD254" s="111"/>
      <c r="LE254" s="111"/>
      <c r="LF254" s="111"/>
      <c r="LG254" s="111"/>
      <c r="LH254" s="111"/>
      <c r="LI254" s="111"/>
      <c r="LJ254" s="111"/>
      <c r="LK254" s="111"/>
      <c r="LL254" s="111"/>
      <c r="LM254" s="111"/>
      <c r="LN254" s="111"/>
      <c r="LO254" s="111"/>
      <c r="LP254" s="111"/>
      <c r="LQ254" s="111"/>
      <c r="LR254" s="111"/>
      <c r="LS254" s="111"/>
      <c r="LT254" s="111"/>
      <c r="LU254" s="111"/>
      <c r="LV254" s="111"/>
      <c r="LW254" s="111"/>
      <c r="LX254" s="111"/>
      <c r="LY254" s="111"/>
      <c r="LZ254" s="111"/>
      <c r="MA254" s="111"/>
      <c r="MB254" s="111"/>
      <c r="MC254" s="112" t="str">
        <f t="shared" ref="MC254:MC261" si="1465">HYPERLINK("http://www.rki.de/DE/Content/Infekt/IfSG/Belehrungsbogen/belehrungsbogen_lebensmittel_tuerkisch.pdf?__blob=publicationFile","x")</f>
        <v>x</v>
      </c>
      <c r="MD254" s="111"/>
      <c r="ME254" s="111"/>
      <c r="MF254" s="111"/>
      <c r="MG254" s="111"/>
      <c r="MH254" s="112" t="str">
        <f t="shared" ref="MH254:MH261" si="1466">HYPERLINK("http://www.kindersicherheit.de/pdf/2012_poster_achtunggiftig_8sprachig.pdf","x")</f>
        <v>x</v>
      </c>
    </row>
    <row r="255" spans="1:346" x14ac:dyDescent="0.25">
      <c r="A255" s="110" t="s">
        <v>11</v>
      </c>
      <c r="B255" s="101" t="s">
        <v>71</v>
      </c>
      <c r="C255" s="102"/>
      <c r="D255" s="102"/>
      <c r="E255" s="102"/>
      <c r="F255" s="102"/>
      <c r="G255" s="102"/>
      <c r="H255" s="102"/>
      <c r="I255" s="102"/>
      <c r="J255" s="103"/>
      <c r="K255" s="111"/>
      <c r="L255" s="111"/>
      <c r="M255" s="112" t="str">
        <f t="shared" ref="M255:M261" si="1467">HYPERLINK("http://www.ag-fluechtlingshilfe-wetterau.de/uploads/infos/170.pdf","x")</f>
        <v>x</v>
      </c>
      <c r="N255" s="112"/>
      <c r="O255" s="112" t="str">
        <f t="shared" ref="O255:O261" si="1468">HYPERLINK("http://www.awb-ahrweiler.de/admin/data/ddownload/Abfall%20Sonderhinweise-tuerkisch%202014.pdf","x")</f>
        <v>x</v>
      </c>
      <c r="P255" s="112"/>
      <c r="Q255" s="112"/>
      <c r="R255" s="112"/>
      <c r="S255" s="112"/>
      <c r="T255" s="112"/>
      <c r="U255" s="112"/>
      <c r="V255" s="111"/>
      <c r="W255" s="112"/>
      <c r="X255" s="111"/>
      <c r="Y255" s="111"/>
      <c r="Z255" s="111"/>
      <c r="AA255" s="111"/>
      <c r="AB255" s="111"/>
      <c r="AC255" s="112" t="str">
        <f t="shared" si="1357"/>
        <v>x</v>
      </c>
      <c r="AD255" s="111"/>
      <c r="AE255" s="112" t="str">
        <f t="shared" ref="AE255:AE261" si="1469">HYPERLINK("http://www.kub-berlin.org/formularprojekt/de/tuerkisch-antraege-und-anlagen/","x")</f>
        <v>x</v>
      </c>
      <c r="AF255" s="111"/>
      <c r="AG255" s="111"/>
      <c r="AH255" s="111"/>
      <c r="AI255" s="111"/>
      <c r="AJ255" s="111"/>
      <c r="AK255" s="111"/>
      <c r="AL255" s="111"/>
      <c r="AM255" s="111"/>
      <c r="AN255" s="112"/>
      <c r="AO255" s="112"/>
      <c r="AP255" s="112"/>
      <c r="AQ255" s="112"/>
      <c r="AR255" s="112"/>
      <c r="AS255" s="112"/>
      <c r="AT255" s="112"/>
      <c r="AU255" s="113"/>
      <c r="AV255" s="114" t="str">
        <f t="shared" ref="AV255:AV261" si="1470">HYPERLINK("http://sab.landtag.sachsen.de/dokumente/landtagskurier/SAB_DeutschLernen_DinA5_WEB141115.pdf","x")</f>
        <v>x</v>
      </c>
      <c r="AW255" s="114" t="str">
        <f t="shared" ref="AW255:AW261" si="1471">HYPERLINK("http://sab.landtag.sachsen.de/dokumente/landtagskurier/SAB_PL_Lernposter_WEB091115.pdf","x")</f>
        <v>x</v>
      </c>
      <c r="AX255" s="111"/>
      <c r="AY255" s="111"/>
      <c r="AZ255" s="112" t="str">
        <f t="shared" ref="AZ255:AZ261" si="147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5" s="112" t="str">
        <f t="shared" ref="BA255:BA261" si="1473">HYPERLINK("http://wie-kann-ich-helfen.info/WoerterbuchAnalphabet_innen_%28c%29_Dagmar_Schmeelcke.pdf","x")</f>
        <v>x</v>
      </c>
      <c r="BB255" s="111"/>
      <c r="BC255" s="111"/>
      <c r="BD255" s="111"/>
      <c r="BE255" s="111"/>
      <c r="BF255" s="111"/>
      <c r="BG255" s="112" t="str">
        <f t="shared" ref="BG255:BG261" si="1474">HYPERLINK("http://www.refugeephrasebook.de/pdf/germany150920.pdf","x")</f>
        <v>x</v>
      </c>
      <c r="BH255" s="112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2" t="str">
        <f t="shared" ref="BR255:BR261" si="1475">HYPERLINK("http://www.goethe.de/lrn/prj/wnd/deu/lti/deindex.htm#13322010","x")</f>
        <v>x</v>
      </c>
      <c r="BS255" s="112"/>
      <c r="BT255" s="111"/>
      <c r="BU255" s="112" t="str">
        <f t="shared" ref="BU255:BU261" si="1476">HYPERLINK("https://s3-eu-west-1.amazonaws.com/lingolia/download/lingolia_daf.pdf","x")</f>
        <v>x</v>
      </c>
      <c r="BV255" s="112" t="str">
        <f t="shared" si="1365"/>
        <v>x</v>
      </c>
      <c r="BW255" s="112"/>
      <c r="BX255" s="112"/>
      <c r="BY255" s="112"/>
      <c r="BZ255" s="112" t="str">
        <f t="shared" ref="BZ255:BZ261" si="1477">HYPERLINK("http://www.hueber.de/shared/uebungen/schritte-plus","x")</f>
        <v>x</v>
      </c>
      <c r="CA255" s="112" t="str">
        <f t="shared" ref="CA255:CA261" si="1478">HYPERLINK("https://www.hueber.de/shared/uebungen/menschen-hier/ab/a1-1/menu.html","x")</f>
        <v>x</v>
      </c>
      <c r="CB255" s="112" t="str">
        <f t="shared" ref="CB255:CB261" si="1479">HYPERLINK("http://www.goethe-verlag.com/DE/","x")</f>
        <v>x</v>
      </c>
      <c r="CC255" s="112"/>
      <c r="CD255" s="112"/>
      <c r="CE255" s="111"/>
      <c r="CF255" s="112" t="str">
        <f t="shared" ref="CF255:CF261" si="1480">HYPERLINK("http://www.braunschweig.de/leben/frauen/hilfe/Ohne-Gewalt-leben.pdf","x")</f>
        <v>x</v>
      </c>
      <c r="CG255" s="112" t="str">
        <f t="shared" ref="CG255:CG261" si="1481">HYPERLINK("http://mifkjf.rlp.de/fileadmin/mifkjf/Frauen/Gewalt_gegen_Frauen/Downloads/Broschueren_Flyer/Flyer_Gewalt_tuerkisch.pdf","x")</f>
        <v>x</v>
      </c>
      <c r="CH255" s="112" t="str">
        <f t="shared" si="1370"/>
        <v>x</v>
      </c>
      <c r="CI255" s="112" t="str">
        <f t="shared" ref="CI255:CI261" si="1482">HYPERLINK("https://www.hilfetelefon.de/fileadmin/hilfetelefon_de/Materialien/weitere_werbemittel/Klappflyer_Vorder-_und_Rueckseite_opt2.pdf","x")</f>
        <v>x</v>
      </c>
      <c r="CJ255" s="112" t="str">
        <f t="shared" ref="CJ255:CJ261" si="1483">HYPERLINK("http://www.e-migrantinnen.de/index.php?de_wichtige-links","x")</f>
        <v>x</v>
      </c>
      <c r="CK255" s="112" t="str">
        <f t="shared" ref="CK255:CK261" si="1484">HYPERLINK("http://www.frauenberatungsstelle.de/pdf/Migrantinnen-beraten-Migrantinnen.pdf","x")</f>
        <v>x</v>
      </c>
      <c r="CL255" s="112"/>
      <c r="CM255" s="112"/>
      <c r="CN255" s="112"/>
      <c r="CO255" s="112" t="str">
        <f t="shared" ref="CO255:CO261" si="1485">HYPERLINK("http://www.schwanger-und-viele-fragen.de/tr/","x")</f>
        <v>x</v>
      </c>
      <c r="CP255" s="112"/>
      <c r="CQ255" s="112" t="str">
        <f t="shared" ref="CQ255:CQ261" si="1486"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R255" s="112"/>
      <c r="CS255" s="112"/>
      <c r="CT255" s="112" t="str">
        <f t="shared" ref="CT255:CT261" si="1487">HYPERLINK("http://www.profamilia.de/fileadmin/publikationen/Erwachsene/mehrsprachig/verhuetung_tuerkisch.pdf","x")</f>
        <v>x</v>
      </c>
      <c r="CU255" s="112" t="str">
        <f t="shared" si="1374"/>
        <v>x</v>
      </c>
      <c r="CV255" s="112" t="str">
        <f t="shared" si="1375"/>
        <v>x</v>
      </c>
      <c r="CW255" s="112" t="str">
        <f t="shared" si="1376"/>
        <v>x</v>
      </c>
      <c r="CX255" s="112" t="str">
        <f t="shared" ref="CX255:CX261" si="1488">HYPERLINK("http://www.caritas-schwarzwald-alb-donau.de/68854.html","x")</f>
        <v>x</v>
      </c>
      <c r="CY255" s="112" t="str">
        <f t="shared" ref="CY255:CY261" si="1489">HYPERLINK("http://www.dgfpi.de/tl_files/download/medien/unwissen-macht-tk.pdf","x")</f>
        <v>x</v>
      </c>
      <c r="CZ255" s="112"/>
      <c r="DA255" s="112"/>
      <c r="DB255" s="115" t="str">
        <f t="shared" ref="DB255:DB261" si="1490">HYPERLINK("http://www.kindersicherheit.de/pdf/2012_Bilderbuch-Gift-Tuerkisch.pdf","x")</f>
        <v>x</v>
      </c>
      <c r="DC255" s="112"/>
      <c r="DD255" s="112"/>
      <c r="DE255" s="112" t="str">
        <f t="shared" ref="DE255:DE261" si="1491">HYPERLINK("http://fi-lohmar-siegburg.de/data/documents/130-37_Inklusion_im_Anfangsunterricht_-_Poster_mit_Situationsbildern.pdf","x")</f>
        <v>x</v>
      </c>
      <c r="DF255" s="115" t="str">
        <f t="shared" ref="DF255:DF261" si="1492">HYPERLINK("http://s3-eu-west-1.amazonaws.com/lingolia/calendar/2016/lingolia_2016_de.pdf","x")</f>
        <v>x</v>
      </c>
      <c r="DG255" s="112" t="str">
        <f t="shared" ref="DG255:DG261" si="1493">HYPERLINK("http://www.bibliomedia.ch/de/angebote/img/Wimmelbild.jpg","x")</f>
        <v>x</v>
      </c>
      <c r="DH255" s="112" t="str">
        <f t="shared" ref="DH255:DH261" si="1494">HYPERLINK("http://www.bibliomedia.ch/de/angebote/dokumente/Wimmelbild_Fehler.jpg","x")</f>
        <v>x</v>
      </c>
      <c r="DI255" s="112" t="str">
        <f t="shared" si="1382"/>
        <v>x</v>
      </c>
      <c r="DJ255" s="112"/>
      <c r="DK255" s="112"/>
      <c r="DL255" s="112"/>
      <c r="DM255" s="112"/>
      <c r="DN255" s="112"/>
      <c r="DO255" s="111"/>
      <c r="DP255" s="112" t="str">
        <f t="shared" ref="DP255:DP261" si="1495">HYPERLINK("http://tipdoc.de/bus/grafik/kinder-tip/SCHULTIP_give_didacta.pdf","x")</f>
        <v>x</v>
      </c>
      <c r="DQ255" s="112" t="str">
        <f t="shared" si="1384"/>
        <v>x</v>
      </c>
      <c r="DR255" s="112" t="str">
        <f t="shared" ref="DR255:DR261" si="1496">HYPERLINK("http://bildung.koeln.de/materialbibliothek/download.php?idx=46d99ecd1cd085058204a036d1394fed","x")</f>
        <v>x</v>
      </c>
      <c r="DS255" s="112" t="str">
        <f t="shared" ref="DS255:DS261" si="1497">HYPERLINK("http://bildung.koeln.de/materialbibliothek/download.php?idx=5fa16c0085d80ec9f9262f25c773ed7f","x")</f>
        <v>x</v>
      </c>
      <c r="DT255" s="112"/>
      <c r="DU255" s="112" t="str">
        <f t="shared" si="1385"/>
        <v>x</v>
      </c>
      <c r="DV255" s="111"/>
      <c r="DW255" s="111"/>
      <c r="DX255" s="111"/>
      <c r="DY255" s="112" t="str">
        <f t="shared" si="1386"/>
        <v>x</v>
      </c>
      <c r="DZ255" s="112" t="str">
        <f t="shared" si="1387"/>
        <v>x</v>
      </c>
      <c r="EA255" s="112" t="str">
        <f t="shared" si="1388"/>
        <v>x</v>
      </c>
      <c r="EB255" s="112" t="str">
        <f t="shared" si="1389"/>
        <v>x</v>
      </c>
      <c r="EC255" s="111"/>
      <c r="ED255" s="111"/>
      <c r="EE255" s="111"/>
      <c r="EF255" s="111"/>
      <c r="EG255" s="111"/>
      <c r="EH255" s="111"/>
      <c r="EI255" s="112"/>
      <c r="EJ255" s="112"/>
      <c r="EK255" s="115"/>
      <c r="EL255" s="112" t="str">
        <f t="shared" si="1390"/>
        <v>x</v>
      </c>
      <c r="EM255" s="112" t="str">
        <f t="shared" ref="EM255:EM261" si="1498">HYPERLINK("http://www.medizin-hilft-fluechtlingen.de/images/Dokumente/gSch/gSch_tur.pdf","x")</f>
        <v>x</v>
      </c>
      <c r="EN255" s="111"/>
      <c r="EO255" s="117" t="str">
        <f t="shared" ref="EO255:EO261" si="1499">HYPERLINK("http://www.medi-bild.de/pdf/anamnese/Welche_Sprache.pdf","x")</f>
        <v>x</v>
      </c>
      <c r="EP255" s="117" t="str">
        <f t="shared" ref="EP255:EP261" si="1500">HYPERLINK("http://www.armut-gesundheit.de/fileadmin/redakteur/dokumente/Anamnesebogen%20-%20t%C3%BCrkischnew.pdf","x")</f>
        <v>x</v>
      </c>
      <c r="EQ255" s="112" t="str">
        <f t="shared" si="1394"/>
        <v>x</v>
      </c>
      <c r="ER255" s="111"/>
      <c r="ES255" s="111"/>
      <c r="ET255" s="111"/>
      <c r="EU255" s="112" t="str">
        <f t="shared" si="1395"/>
        <v>x</v>
      </c>
      <c r="EV255" s="112" t="str">
        <f t="shared" si="1396"/>
        <v>x</v>
      </c>
      <c r="EW255" s="112" t="str">
        <f t="shared" si="1397"/>
        <v>x</v>
      </c>
      <c r="EX255" s="112" t="str">
        <f t="shared" ref="EX255:EX261" si="1501">HYPERLINK("http://www.bzga.de/infomaterialien/?sid=236","x")</f>
        <v>x</v>
      </c>
      <c r="EY255" s="112" t="str">
        <f t="shared" si="1399"/>
        <v>x</v>
      </c>
      <c r="EZ255" s="112"/>
      <c r="FA255" s="116"/>
      <c r="FB255" s="111"/>
      <c r="FC255" s="112" t="str">
        <f t="shared" ref="FC255:FC261" si="1502">HYPERLINK("http://mige.ix-tech.de/index.php?id=241","x")</f>
        <v>x</v>
      </c>
      <c r="FD255" s="112" t="str">
        <f t="shared" ref="FD255:FD261" si="1503">HYPERLINK("http://sghanstedt.elbnetz.com/ueber-uns/","x")</f>
        <v>x</v>
      </c>
      <c r="FE255" s="112" t="str">
        <f t="shared" ref="FE255:FE261" si="1504">HYPERLINK("http://www.fuhlenhagen.com/pdf_dateien/uebertzungshilfe_aerzte_mehrsprachig.pdf","x")</f>
        <v>x</v>
      </c>
      <c r="FF255" s="111"/>
      <c r="FG255" s="111"/>
      <c r="FH255" s="111"/>
      <c r="FI255" s="112"/>
      <c r="FJ255" s="112" t="str">
        <f t="shared" ref="FJ255:FJ261" si="1505">HYPERLINK("http://www.rki.de/DE/Content/Infekt/Impfen/Materialien/Downloads-Impfkalender/Impfkalender_Tuerkisch.pdf?__blob=publicationFile","x")</f>
        <v>x</v>
      </c>
      <c r="FK255" s="112" t="str">
        <f t="shared" ref="FK255:FK261" si="1506">HYPERLINK("http://www.ethno-medizinisches-zentrum.de/images/PDF-Files/impfwegweiser_turkisch_2013_online.pdf","x")</f>
        <v>x</v>
      </c>
      <c r="FL255" s="112"/>
      <c r="FM255" s="112" t="str">
        <f t="shared" si="1405"/>
        <v>x</v>
      </c>
      <c r="FN255" s="112"/>
      <c r="FO255" s="112" t="str">
        <f t="shared" si="1406"/>
        <v>x</v>
      </c>
      <c r="FP255" s="112"/>
      <c r="FQ255" s="112" t="str">
        <f t="shared" si="1407"/>
        <v>x</v>
      </c>
      <c r="FR255" s="112" t="str">
        <f t="shared" si="1408"/>
        <v>x</v>
      </c>
      <c r="FS255" s="112" t="str">
        <f t="shared" si="1409"/>
        <v>x</v>
      </c>
      <c r="FT255" s="112" t="str">
        <f t="shared" si="1410"/>
        <v>x</v>
      </c>
      <c r="FU255" s="112" t="str">
        <f t="shared" si="1411"/>
        <v>x</v>
      </c>
      <c r="FV255" s="112" t="str">
        <f t="shared" si="1412"/>
        <v>x</v>
      </c>
      <c r="FW255" s="112" t="str">
        <f t="shared" si="1413"/>
        <v>x</v>
      </c>
      <c r="FX255" s="112"/>
      <c r="FY255" s="112" t="str">
        <f t="shared" si="1414"/>
        <v>x</v>
      </c>
      <c r="FZ255" s="112"/>
      <c r="GA255" s="112"/>
      <c r="GB255" s="112" t="str">
        <f t="shared" si="1415"/>
        <v>x</v>
      </c>
      <c r="GC255" s="115" t="str">
        <f t="shared" ref="GC255:GC261" si="1507">HYPERLINK("http://www.ethno-medizinisches-zentrum.de/images/PDF-Files/lf_diabetes_turkisch.pdf","x")</f>
        <v>x</v>
      </c>
      <c r="GD255" s="112" t="str">
        <f t="shared" si="1417"/>
        <v>x</v>
      </c>
      <c r="GE255" s="112"/>
      <c r="GF255" s="112" t="str">
        <f t="shared" si="1418"/>
        <v>x</v>
      </c>
      <c r="GG255" s="112"/>
      <c r="GH255" s="112" t="str">
        <f t="shared" ref="GH255:GH261" si="1508">HYPERLINK("http://www.tipdoc.de/bus/pdf/hepatitis/Hep_B_Webseite.pdf","x")</f>
        <v>x</v>
      </c>
      <c r="GI255" s="112" t="str">
        <f t="shared" ref="GI255:GI261" si="1509">HYPERLINK("http://www.tipdoc.de/bus/pdf/hepatitis/Hep_C_Webseite.pdf","x")</f>
        <v>x</v>
      </c>
      <c r="GJ255" s="111"/>
      <c r="GK255" s="111"/>
      <c r="GL255" s="112" t="str">
        <f t="shared" si="1421"/>
        <v>x</v>
      </c>
      <c r="GM255" s="112" t="str">
        <f t="shared" si="1422"/>
        <v>x</v>
      </c>
      <c r="GN255" s="112"/>
      <c r="GO255" s="112" t="str">
        <f t="shared" si="1423"/>
        <v>x</v>
      </c>
      <c r="GP255" s="112"/>
      <c r="GQ255" s="111"/>
      <c r="GR255" s="111"/>
      <c r="GS255" s="115" t="str">
        <f t="shared" si="1424"/>
        <v>x</v>
      </c>
      <c r="GT255" s="112" t="str">
        <f t="shared" si="1425"/>
        <v>x</v>
      </c>
      <c r="GU255" s="112"/>
      <c r="GV255" s="112" t="str">
        <f t="shared" si="1426"/>
        <v>x</v>
      </c>
      <c r="GW255" s="112" t="str">
        <f t="shared" si="1427"/>
        <v>x</v>
      </c>
      <c r="GX255" s="112" t="str">
        <f t="shared" si="1428"/>
        <v>x</v>
      </c>
      <c r="GY255" s="112" t="str">
        <f t="shared" si="1429"/>
        <v>x</v>
      </c>
      <c r="GZ255" s="112" t="str">
        <f t="shared" si="1430"/>
        <v>x</v>
      </c>
      <c r="HA255" s="112"/>
      <c r="HB255" s="112" t="str">
        <f t="shared" ref="HB255:HB261" si="1510">HYPERLINK("https://www.zahnaerzte-wl.de/images/_PDF-suche/KZV_ZÄK/piktogrammheft.pdf","x")</f>
        <v>x</v>
      </c>
      <c r="HC255" s="112" t="str">
        <f t="shared" si="1431"/>
        <v>x</v>
      </c>
      <c r="HD255" s="112" t="str">
        <f t="shared" si="1432"/>
        <v>x</v>
      </c>
      <c r="HE255" s="112" t="str">
        <f t="shared" si="1433"/>
        <v>x</v>
      </c>
      <c r="HF255" s="112" t="str">
        <f t="shared" si="1434"/>
        <v>x</v>
      </c>
      <c r="HG255" s="112"/>
      <c r="HH255" s="112" t="str">
        <f t="shared" ref="HH255:HH261" si="1511">HYPERLINK("http://www.bvkm.de/fileadmin/web_data/Behinderung_und_Migration_tuerkisch_2014.pdf","x")</f>
        <v>x</v>
      </c>
      <c r="HI255" s="112" t="str">
        <f t="shared" ref="HI255:HI261" si="1512">HYPERLINK("http://www.ibbc-berlin.de/media/bvkm_Bro_de-tuerk_Berlin_web%20Endversion.pdf","x")</f>
        <v>x</v>
      </c>
      <c r="HJ255" s="112" t="str">
        <f t="shared" si="1435"/>
        <v>x</v>
      </c>
      <c r="HK255" s="115" t="str">
        <f t="shared" ref="HK255:HK261" si="1513">HYPERLINK("http://www.ethno-medizinisches-zentrum.de/images/PDF-Files/lf_depression_tr.pdf","x")</f>
        <v>x</v>
      </c>
      <c r="HL255" s="115" t="str">
        <f t="shared" si="1437"/>
        <v>x</v>
      </c>
      <c r="HM255" s="115" t="str">
        <f t="shared" si="1438"/>
        <v>x</v>
      </c>
      <c r="HN255" s="115" t="str">
        <f t="shared" si="1439"/>
        <v>x</v>
      </c>
      <c r="HO255" s="115" t="str">
        <f t="shared" si="1440"/>
        <v>x</v>
      </c>
      <c r="HP255" s="115" t="str">
        <f t="shared" si="1441"/>
        <v>x</v>
      </c>
      <c r="HQ255" s="115" t="str">
        <f t="shared" si="1442"/>
        <v>x</v>
      </c>
      <c r="HR255" s="115" t="str">
        <f t="shared" si="1443"/>
        <v>x</v>
      </c>
      <c r="HS255" s="115"/>
      <c r="HT255" s="115" t="str">
        <f t="shared" si="1444"/>
        <v>x</v>
      </c>
      <c r="HU255" s="115" t="str">
        <f t="shared" si="1445"/>
        <v>x</v>
      </c>
      <c r="HV255" s="115" t="str">
        <f t="shared" si="1446"/>
        <v>x</v>
      </c>
      <c r="HW255" s="115" t="str">
        <f t="shared" ref="HW255:HW261" si="1514">HYPERLINK("http://www.bkk-psychisch-gesund.de/fileadmin/user_upload/Dokumente/Versicherte/Broschueren/Wegweiser_Psychotherapie_tuerkisch.pdf","x")</f>
        <v>x</v>
      </c>
      <c r="HX255" s="112" t="str">
        <f t="shared" ref="HX255:HX261" si="1515">HYPERLINK("http://www.selfhelpfortrauma.org/","x")</f>
        <v>x</v>
      </c>
      <c r="HY255" s="112" t="str">
        <f t="shared" ref="HY255:HY261" si="1516">HYPERLINK("http://peacefulheart.se/wp-content/uploads/2014/12/Resolving-Yesterday-20141201-Self-Tapping.pdf","x")</f>
        <v>x</v>
      </c>
      <c r="HZ255" s="115"/>
      <c r="IA255" s="115"/>
      <c r="IB255" s="115"/>
      <c r="IC255" s="115"/>
      <c r="ID255" s="115" t="str">
        <f t="shared" si="1449"/>
        <v>x</v>
      </c>
      <c r="IE255" s="115"/>
      <c r="IF255" s="115"/>
      <c r="IG255" s="112" t="str">
        <f t="shared" ref="IG255:IG261" si="1517">HYPERLINK("http://www.ethno-medizinisches-zentrum.de/images/PDF-Files/lf_mediensucht_tr_geschutzt.pdf","x")</f>
        <v>x</v>
      </c>
      <c r="IH255" s="115" t="str">
        <f t="shared" si="1451"/>
        <v>x</v>
      </c>
      <c r="II255" s="115" t="str">
        <f t="shared" si="1452"/>
        <v>x</v>
      </c>
      <c r="IJ255" s="112" t="str">
        <f t="shared" si="1453"/>
        <v>x</v>
      </c>
      <c r="IK255" s="111"/>
      <c r="IL255" s="111"/>
      <c r="IM255" s="112" t="str">
        <f t="shared" si="1454"/>
        <v>x</v>
      </c>
      <c r="IN255" s="112"/>
      <c r="IO255" s="111"/>
      <c r="IP255" s="112" t="str">
        <f t="shared" si="1455"/>
        <v>x</v>
      </c>
      <c r="IQ255" s="112"/>
      <c r="IR255" s="111"/>
      <c r="IS255" s="111"/>
      <c r="IT255" s="111"/>
      <c r="IU255" s="112" t="str">
        <f t="shared" si="1456"/>
        <v>x</v>
      </c>
      <c r="IV255" s="112"/>
      <c r="IW255" s="112" t="str">
        <f t="shared" si="1457"/>
        <v>x</v>
      </c>
      <c r="IX255" s="112" t="str">
        <f t="shared" si="1458"/>
        <v>x</v>
      </c>
      <c r="IY255" s="111"/>
      <c r="IZ255" s="111"/>
      <c r="JA255" s="111"/>
      <c r="JB255" s="112"/>
      <c r="JC255" s="111"/>
      <c r="JD255" s="112"/>
      <c r="JE255" s="112"/>
      <c r="JF255" s="112" t="str">
        <f t="shared" si="1459"/>
        <v>x</v>
      </c>
      <c r="JG255" s="112"/>
      <c r="JH255" s="111"/>
      <c r="JI255" s="112"/>
      <c r="JJ255" s="112"/>
      <c r="JK255" s="112"/>
      <c r="JL255" s="112" t="str">
        <f t="shared" si="1460"/>
        <v>x</v>
      </c>
      <c r="JM255" s="112"/>
      <c r="JN255" s="112"/>
      <c r="JO255" s="112"/>
      <c r="JP255" s="112"/>
      <c r="JQ255" s="112" t="str">
        <f t="shared" si="1461"/>
        <v>x</v>
      </c>
      <c r="JR255" s="112"/>
      <c r="JS255" s="111"/>
      <c r="JT255" s="111"/>
      <c r="JU255" s="111"/>
      <c r="JV255" s="112"/>
      <c r="JW255" s="112"/>
      <c r="JX255" s="112"/>
      <c r="JY255" s="112"/>
      <c r="JZ255" s="112"/>
      <c r="KA255" s="112" t="str">
        <f t="shared" ref="KA255:KA261" si="1518">HYPERLINK("http://www.refugeeguide.de/dl/RefugeeGuide_tu_1208.pdf","x")</f>
        <v>x</v>
      </c>
      <c r="KB255" s="112" t="str">
        <f t="shared" si="1463"/>
        <v>x</v>
      </c>
      <c r="KC255" s="112" t="str">
        <f t="shared" si="1464"/>
        <v>x</v>
      </c>
      <c r="KD255" s="112"/>
      <c r="KE255" s="111"/>
      <c r="KF255" s="112"/>
      <c r="KG255" s="112"/>
      <c r="KH255" s="112"/>
      <c r="KI255" s="112"/>
      <c r="KJ255" s="112"/>
      <c r="KK255" s="112"/>
      <c r="KL255" s="112"/>
      <c r="KM255" s="112"/>
      <c r="KN255" s="112"/>
      <c r="KO255" s="112"/>
      <c r="KP255" s="112"/>
      <c r="KQ255" s="112"/>
      <c r="KR255" s="112"/>
      <c r="KS255" s="112"/>
      <c r="KT255" s="112"/>
      <c r="KU255" s="112"/>
      <c r="KV255" s="112"/>
      <c r="KW255" s="112"/>
      <c r="KX255" s="112"/>
      <c r="KY255" s="112"/>
      <c r="KZ255" s="112"/>
      <c r="LA255" s="112"/>
      <c r="LB255" s="111"/>
      <c r="LC255" s="111"/>
      <c r="LD255" s="111"/>
      <c r="LE255" s="111"/>
      <c r="LF255" s="111"/>
      <c r="LG255" s="111"/>
      <c r="LH255" s="111"/>
      <c r="LI255" s="111"/>
      <c r="LJ255" s="111"/>
      <c r="LK255" s="111"/>
      <c r="LL255" s="111"/>
      <c r="LM255" s="111"/>
      <c r="LN255" s="111"/>
      <c r="LO255" s="111"/>
      <c r="LP255" s="111"/>
      <c r="LQ255" s="111"/>
      <c r="LR255" s="111"/>
      <c r="LS255" s="111"/>
      <c r="LT255" s="111"/>
      <c r="LU255" s="111"/>
      <c r="LV255" s="111"/>
      <c r="LW255" s="111"/>
      <c r="LX255" s="111"/>
      <c r="LY255" s="111"/>
      <c r="LZ255" s="111"/>
      <c r="MA255" s="111"/>
      <c r="MB255" s="111"/>
      <c r="MC255" s="112" t="str">
        <f t="shared" si="1465"/>
        <v>x</v>
      </c>
      <c r="MD255" s="111"/>
      <c r="ME255" s="111"/>
      <c r="MF255" s="111"/>
      <c r="MG255" s="111"/>
      <c r="MH255" s="112" t="str">
        <f t="shared" si="1466"/>
        <v>x</v>
      </c>
    </row>
    <row r="256" spans="1:346" x14ac:dyDescent="0.25">
      <c r="A256" s="110" t="s">
        <v>11</v>
      </c>
      <c r="B256" s="101" t="s">
        <v>72</v>
      </c>
      <c r="C256" s="102"/>
      <c r="D256" s="102"/>
      <c r="E256" s="102"/>
      <c r="F256" s="102"/>
      <c r="G256" s="102"/>
      <c r="H256" s="102"/>
      <c r="I256" s="102"/>
      <c r="J256" s="103"/>
      <c r="K256" s="111"/>
      <c r="L256" s="111"/>
      <c r="M256" s="112" t="str">
        <f t="shared" si="1467"/>
        <v>x</v>
      </c>
      <c r="N256" s="112"/>
      <c r="O256" s="112" t="str">
        <f t="shared" si="1468"/>
        <v>x</v>
      </c>
      <c r="P256" s="112"/>
      <c r="Q256" s="112"/>
      <c r="R256" s="112"/>
      <c r="S256" s="112"/>
      <c r="T256" s="112"/>
      <c r="U256" s="112"/>
      <c r="V256" s="111"/>
      <c r="W256" s="112"/>
      <c r="X256" s="111"/>
      <c r="Y256" s="111"/>
      <c r="Z256" s="111"/>
      <c r="AA256" s="111"/>
      <c r="AB256" s="111"/>
      <c r="AC256" s="112" t="str">
        <f t="shared" si="1357"/>
        <v>x</v>
      </c>
      <c r="AD256" s="111"/>
      <c r="AE256" s="112" t="str">
        <f t="shared" si="1469"/>
        <v>x</v>
      </c>
      <c r="AF256" s="111"/>
      <c r="AG256" s="111"/>
      <c r="AH256" s="111"/>
      <c r="AI256" s="111"/>
      <c r="AJ256" s="111"/>
      <c r="AK256" s="111"/>
      <c r="AL256" s="111"/>
      <c r="AM256" s="111"/>
      <c r="AN256" s="112"/>
      <c r="AO256" s="112"/>
      <c r="AP256" s="112"/>
      <c r="AQ256" s="112"/>
      <c r="AR256" s="112"/>
      <c r="AS256" s="112"/>
      <c r="AT256" s="112"/>
      <c r="AU256" s="113"/>
      <c r="AV256" s="114" t="str">
        <f t="shared" si="1470"/>
        <v>x</v>
      </c>
      <c r="AW256" s="114" t="str">
        <f t="shared" si="1471"/>
        <v>x</v>
      </c>
      <c r="AX256" s="111"/>
      <c r="AY256" s="111"/>
      <c r="AZ256" s="112" t="str">
        <f t="shared" si="1472"/>
        <v>x</v>
      </c>
      <c r="BA256" s="112" t="str">
        <f t="shared" si="1473"/>
        <v>x</v>
      </c>
      <c r="BB256" s="111"/>
      <c r="BC256" s="111"/>
      <c r="BD256" s="111"/>
      <c r="BE256" s="111"/>
      <c r="BF256" s="111"/>
      <c r="BG256" s="112" t="str">
        <f t="shared" si="1474"/>
        <v>x</v>
      </c>
      <c r="BH256" s="112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2" t="str">
        <f t="shared" si="1475"/>
        <v>x</v>
      </c>
      <c r="BS256" s="112"/>
      <c r="BT256" s="111"/>
      <c r="BU256" s="112" t="str">
        <f t="shared" si="1476"/>
        <v>x</v>
      </c>
      <c r="BV256" s="112" t="str">
        <f t="shared" si="1365"/>
        <v>x</v>
      </c>
      <c r="BW256" s="112"/>
      <c r="BX256" s="112"/>
      <c r="BY256" s="112"/>
      <c r="BZ256" s="112" t="str">
        <f t="shared" si="1477"/>
        <v>x</v>
      </c>
      <c r="CA256" s="112" t="str">
        <f t="shared" si="1478"/>
        <v>x</v>
      </c>
      <c r="CB256" s="112" t="str">
        <f t="shared" si="1479"/>
        <v>x</v>
      </c>
      <c r="CC256" s="112"/>
      <c r="CD256" s="112"/>
      <c r="CE256" s="111"/>
      <c r="CF256" s="112" t="str">
        <f t="shared" si="1480"/>
        <v>x</v>
      </c>
      <c r="CG256" s="112" t="str">
        <f t="shared" si="1481"/>
        <v>x</v>
      </c>
      <c r="CH256" s="112" t="str">
        <f t="shared" si="1370"/>
        <v>x</v>
      </c>
      <c r="CI256" s="112" t="str">
        <f t="shared" si="1482"/>
        <v>x</v>
      </c>
      <c r="CJ256" s="112" t="str">
        <f t="shared" si="1483"/>
        <v>x</v>
      </c>
      <c r="CK256" s="112" t="str">
        <f t="shared" si="1484"/>
        <v>x</v>
      </c>
      <c r="CL256" s="112"/>
      <c r="CM256" s="112"/>
      <c r="CN256" s="112"/>
      <c r="CO256" s="112" t="str">
        <f t="shared" si="1485"/>
        <v>x</v>
      </c>
      <c r="CP256" s="112"/>
      <c r="CQ256" s="112" t="str">
        <f t="shared" si="1486"/>
        <v>x</v>
      </c>
      <c r="CR256" s="112"/>
      <c r="CS256" s="112"/>
      <c r="CT256" s="112" t="str">
        <f t="shared" si="1487"/>
        <v>x</v>
      </c>
      <c r="CU256" s="112" t="str">
        <f t="shared" si="1374"/>
        <v>x</v>
      </c>
      <c r="CV256" s="112" t="str">
        <f t="shared" si="1375"/>
        <v>x</v>
      </c>
      <c r="CW256" s="112" t="str">
        <f t="shared" si="1376"/>
        <v>x</v>
      </c>
      <c r="CX256" s="112" t="str">
        <f t="shared" si="1488"/>
        <v>x</v>
      </c>
      <c r="CY256" s="112" t="str">
        <f t="shared" si="1489"/>
        <v>x</v>
      </c>
      <c r="CZ256" s="112"/>
      <c r="DA256" s="112"/>
      <c r="DB256" s="115" t="str">
        <f t="shared" si="1490"/>
        <v>x</v>
      </c>
      <c r="DC256" s="112"/>
      <c r="DD256" s="112"/>
      <c r="DE256" s="112" t="str">
        <f t="shared" si="1491"/>
        <v>x</v>
      </c>
      <c r="DF256" s="115" t="str">
        <f t="shared" si="1492"/>
        <v>x</v>
      </c>
      <c r="DG256" s="112" t="str">
        <f t="shared" si="1493"/>
        <v>x</v>
      </c>
      <c r="DH256" s="112" t="str">
        <f t="shared" si="1494"/>
        <v>x</v>
      </c>
      <c r="DI256" s="112" t="str">
        <f t="shared" si="1382"/>
        <v>x</v>
      </c>
      <c r="DJ256" s="112"/>
      <c r="DK256" s="112"/>
      <c r="DL256" s="112"/>
      <c r="DM256" s="112"/>
      <c r="DN256" s="112"/>
      <c r="DO256" s="111"/>
      <c r="DP256" s="112" t="str">
        <f t="shared" si="1495"/>
        <v>x</v>
      </c>
      <c r="DQ256" s="112" t="str">
        <f t="shared" si="1384"/>
        <v>x</v>
      </c>
      <c r="DR256" s="112" t="str">
        <f t="shared" si="1496"/>
        <v>x</v>
      </c>
      <c r="DS256" s="112" t="str">
        <f t="shared" si="1497"/>
        <v>x</v>
      </c>
      <c r="DT256" s="112"/>
      <c r="DU256" s="112" t="str">
        <f t="shared" si="1385"/>
        <v>x</v>
      </c>
      <c r="DV256" s="111"/>
      <c r="DW256" s="111"/>
      <c r="DX256" s="111"/>
      <c r="DY256" s="112" t="str">
        <f t="shared" si="1386"/>
        <v>x</v>
      </c>
      <c r="DZ256" s="112" t="str">
        <f t="shared" si="1387"/>
        <v>x</v>
      </c>
      <c r="EA256" s="112" t="str">
        <f t="shared" si="1388"/>
        <v>x</v>
      </c>
      <c r="EB256" s="112" t="str">
        <f t="shared" si="1389"/>
        <v>x</v>
      </c>
      <c r="EC256" s="111"/>
      <c r="ED256" s="111"/>
      <c r="EE256" s="111"/>
      <c r="EF256" s="111"/>
      <c r="EG256" s="111"/>
      <c r="EH256" s="111"/>
      <c r="EI256" s="112"/>
      <c r="EJ256" s="112"/>
      <c r="EK256" s="115"/>
      <c r="EL256" s="112" t="str">
        <f t="shared" si="1390"/>
        <v>x</v>
      </c>
      <c r="EM256" s="112" t="str">
        <f t="shared" si="1498"/>
        <v>x</v>
      </c>
      <c r="EN256" s="111"/>
      <c r="EO256" s="117" t="str">
        <f t="shared" si="1499"/>
        <v>x</v>
      </c>
      <c r="EP256" s="117" t="str">
        <f t="shared" si="1500"/>
        <v>x</v>
      </c>
      <c r="EQ256" s="112" t="str">
        <f t="shared" si="1394"/>
        <v>x</v>
      </c>
      <c r="ER256" s="111"/>
      <c r="ES256" s="111"/>
      <c r="ET256" s="111"/>
      <c r="EU256" s="112" t="str">
        <f t="shared" si="1395"/>
        <v>x</v>
      </c>
      <c r="EV256" s="112" t="str">
        <f t="shared" si="1396"/>
        <v>x</v>
      </c>
      <c r="EW256" s="112" t="str">
        <f t="shared" si="1397"/>
        <v>x</v>
      </c>
      <c r="EX256" s="112" t="str">
        <f t="shared" si="1501"/>
        <v>x</v>
      </c>
      <c r="EY256" s="112" t="str">
        <f t="shared" si="1399"/>
        <v>x</v>
      </c>
      <c r="EZ256" s="112"/>
      <c r="FA256" s="116"/>
      <c r="FB256" s="111"/>
      <c r="FC256" s="112" t="str">
        <f t="shared" si="1502"/>
        <v>x</v>
      </c>
      <c r="FD256" s="112" t="str">
        <f t="shared" si="1503"/>
        <v>x</v>
      </c>
      <c r="FE256" s="112" t="str">
        <f t="shared" si="1504"/>
        <v>x</v>
      </c>
      <c r="FF256" s="111"/>
      <c r="FG256" s="111"/>
      <c r="FH256" s="111"/>
      <c r="FI256" s="112"/>
      <c r="FJ256" s="112" t="str">
        <f t="shared" si="1505"/>
        <v>x</v>
      </c>
      <c r="FK256" s="112" t="str">
        <f t="shared" si="1506"/>
        <v>x</v>
      </c>
      <c r="FL256" s="112"/>
      <c r="FM256" s="112" t="str">
        <f t="shared" si="1405"/>
        <v>x</v>
      </c>
      <c r="FN256" s="112"/>
      <c r="FO256" s="112" t="str">
        <f t="shared" si="1406"/>
        <v>x</v>
      </c>
      <c r="FP256" s="112"/>
      <c r="FQ256" s="112" t="str">
        <f t="shared" si="1407"/>
        <v>x</v>
      </c>
      <c r="FR256" s="112" t="str">
        <f t="shared" si="1408"/>
        <v>x</v>
      </c>
      <c r="FS256" s="112" t="str">
        <f t="shared" si="1409"/>
        <v>x</v>
      </c>
      <c r="FT256" s="112" t="str">
        <f t="shared" si="1410"/>
        <v>x</v>
      </c>
      <c r="FU256" s="112" t="str">
        <f t="shared" si="1411"/>
        <v>x</v>
      </c>
      <c r="FV256" s="112" t="str">
        <f t="shared" si="1412"/>
        <v>x</v>
      </c>
      <c r="FW256" s="112" t="str">
        <f t="shared" si="1413"/>
        <v>x</v>
      </c>
      <c r="FX256" s="112"/>
      <c r="FY256" s="112" t="str">
        <f t="shared" si="1414"/>
        <v>x</v>
      </c>
      <c r="FZ256" s="112"/>
      <c r="GA256" s="112"/>
      <c r="GB256" s="112" t="str">
        <f t="shared" si="1415"/>
        <v>x</v>
      </c>
      <c r="GC256" s="115" t="str">
        <f t="shared" si="1507"/>
        <v>x</v>
      </c>
      <c r="GD256" s="112" t="str">
        <f t="shared" si="1417"/>
        <v>x</v>
      </c>
      <c r="GE256" s="112"/>
      <c r="GF256" s="112" t="str">
        <f t="shared" si="1418"/>
        <v>x</v>
      </c>
      <c r="GG256" s="112"/>
      <c r="GH256" s="112" t="str">
        <f t="shared" si="1508"/>
        <v>x</v>
      </c>
      <c r="GI256" s="112" t="str">
        <f t="shared" si="1509"/>
        <v>x</v>
      </c>
      <c r="GJ256" s="111"/>
      <c r="GK256" s="111"/>
      <c r="GL256" s="112" t="str">
        <f t="shared" si="1421"/>
        <v>x</v>
      </c>
      <c r="GM256" s="112" t="str">
        <f t="shared" si="1422"/>
        <v>x</v>
      </c>
      <c r="GN256" s="112"/>
      <c r="GO256" s="112" t="str">
        <f t="shared" si="1423"/>
        <v>x</v>
      </c>
      <c r="GP256" s="112"/>
      <c r="GQ256" s="111"/>
      <c r="GR256" s="111"/>
      <c r="GS256" s="115" t="str">
        <f t="shared" si="1424"/>
        <v>x</v>
      </c>
      <c r="GT256" s="112" t="str">
        <f t="shared" si="1425"/>
        <v>x</v>
      </c>
      <c r="GU256" s="112"/>
      <c r="GV256" s="112" t="str">
        <f t="shared" si="1426"/>
        <v>x</v>
      </c>
      <c r="GW256" s="112" t="str">
        <f t="shared" si="1427"/>
        <v>x</v>
      </c>
      <c r="GX256" s="112" t="str">
        <f t="shared" si="1428"/>
        <v>x</v>
      </c>
      <c r="GY256" s="112" t="str">
        <f t="shared" si="1429"/>
        <v>x</v>
      </c>
      <c r="GZ256" s="112" t="str">
        <f t="shared" si="1430"/>
        <v>x</v>
      </c>
      <c r="HA256" s="112"/>
      <c r="HB256" s="112" t="str">
        <f t="shared" si="1510"/>
        <v>x</v>
      </c>
      <c r="HC256" s="112" t="str">
        <f t="shared" si="1431"/>
        <v>x</v>
      </c>
      <c r="HD256" s="112" t="str">
        <f t="shared" si="1432"/>
        <v>x</v>
      </c>
      <c r="HE256" s="112" t="str">
        <f t="shared" si="1433"/>
        <v>x</v>
      </c>
      <c r="HF256" s="112" t="str">
        <f t="shared" si="1434"/>
        <v>x</v>
      </c>
      <c r="HG256" s="112"/>
      <c r="HH256" s="112" t="str">
        <f t="shared" si="1511"/>
        <v>x</v>
      </c>
      <c r="HI256" s="112" t="str">
        <f t="shared" si="1512"/>
        <v>x</v>
      </c>
      <c r="HJ256" s="112" t="str">
        <f t="shared" si="1435"/>
        <v>x</v>
      </c>
      <c r="HK256" s="115" t="str">
        <f t="shared" si="1513"/>
        <v>x</v>
      </c>
      <c r="HL256" s="115" t="str">
        <f t="shared" si="1437"/>
        <v>x</v>
      </c>
      <c r="HM256" s="115" t="str">
        <f t="shared" si="1438"/>
        <v>x</v>
      </c>
      <c r="HN256" s="115" t="str">
        <f t="shared" si="1439"/>
        <v>x</v>
      </c>
      <c r="HO256" s="115" t="str">
        <f t="shared" si="1440"/>
        <v>x</v>
      </c>
      <c r="HP256" s="115" t="str">
        <f t="shared" si="1441"/>
        <v>x</v>
      </c>
      <c r="HQ256" s="115" t="str">
        <f t="shared" si="1442"/>
        <v>x</v>
      </c>
      <c r="HR256" s="115" t="str">
        <f t="shared" si="1443"/>
        <v>x</v>
      </c>
      <c r="HS256" s="115"/>
      <c r="HT256" s="115" t="str">
        <f t="shared" si="1444"/>
        <v>x</v>
      </c>
      <c r="HU256" s="115" t="str">
        <f t="shared" si="1445"/>
        <v>x</v>
      </c>
      <c r="HV256" s="115" t="str">
        <f t="shared" si="1446"/>
        <v>x</v>
      </c>
      <c r="HW256" s="115" t="str">
        <f t="shared" si="1514"/>
        <v>x</v>
      </c>
      <c r="HX256" s="112" t="str">
        <f t="shared" si="1515"/>
        <v>x</v>
      </c>
      <c r="HY256" s="112" t="str">
        <f t="shared" si="1516"/>
        <v>x</v>
      </c>
      <c r="HZ256" s="115"/>
      <c r="IA256" s="115"/>
      <c r="IB256" s="115"/>
      <c r="IC256" s="115"/>
      <c r="ID256" s="115" t="str">
        <f t="shared" si="1449"/>
        <v>x</v>
      </c>
      <c r="IE256" s="115"/>
      <c r="IF256" s="115"/>
      <c r="IG256" s="112" t="str">
        <f t="shared" si="1517"/>
        <v>x</v>
      </c>
      <c r="IH256" s="115" t="str">
        <f t="shared" si="1451"/>
        <v>x</v>
      </c>
      <c r="II256" s="115" t="str">
        <f t="shared" si="1452"/>
        <v>x</v>
      </c>
      <c r="IJ256" s="112" t="str">
        <f t="shared" si="1453"/>
        <v>x</v>
      </c>
      <c r="IK256" s="111"/>
      <c r="IL256" s="111"/>
      <c r="IM256" s="112" t="str">
        <f t="shared" si="1454"/>
        <v>x</v>
      </c>
      <c r="IN256" s="112"/>
      <c r="IO256" s="111"/>
      <c r="IP256" s="112" t="str">
        <f t="shared" si="1455"/>
        <v>x</v>
      </c>
      <c r="IQ256" s="112"/>
      <c r="IR256" s="111"/>
      <c r="IS256" s="111"/>
      <c r="IT256" s="111"/>
      <c r="IU256" s="112" t="str">
        <f t="shared" si="1456"/>
        <v>x</v>
      </c>
      <c r="IV256" s="112"/>
      <c r="IW256" s="112" t="str">
        <f t="shared" si="1457"/>
        <v>x</v>
      </c>
      <c r="IX256" s="112" t="str">
        <f t="shared" si="1458"/>
        <v>x</v>
      </c>
      <c r="IY256" s="111"/>
      <c r="IZ256" s="111"/>
      <c r="JA256" s="111"/>
      <c r="JB256" s="112"/>
      <c r="JC256" s="111"/>
      <c r="JD256" s="112"/>
      <c r="JE256" s="112"/>
      <c r="JF256" s="112" t="str">
        <f t="shared" si="1459"/>
        <v>x</v>
      </c>
      <c r="JG256" s="112"/>
      <c r="JH256" s="111"/>
      <c r="JI256" s="112"/>
      <c r="JJ256" s="112"/>
      <c r="JK256" s="112"/>
      <c r="JL256" s="112" t="str">
        <f t="shared" si="1460"/>
        <v>x</v>
      </c>
      <c r="JM256" s="112"/>
      <c r="JN256" s="112"/>
      <c r="JO256" s="112"/>
      <c r="JP256" s="112"/>
      <c r="JQ256" s="112" t="str">
        <f t="shared" si="1461"/>
        <v>x</v>
      </c>
      <c r="JR256" s="112"/>
      <c r="JS256" s="111"/>
      <c r="JT256" s="111"/>
      <c r="JU256" s="111"/>
      <c r="JV256" s="112"/>
      <c r="JW256" s="112"/>
      <c r="JX256" s="112"/>
      <c r="JY256" s="112"/>
      <c r="JZ256" s="112"/>
      <c r="KA256" s="112" t="str">
        <f t="shared" si="1518"/>
        <v>x</v>
      </c>
      <c r="KB256" s="112" t="str">
        <f t="shared" si="1463"/>
        <v>x</v>
      </c>
      <c r="KC256" s="112" t="str">
        <f t="shared" si="1464"/>
        <v>x</v>
      </c>
      <c r="KD256" s="112"/>
      <c r="KE256" s="111"/>
      <c r="KF256" s="112"/>
      <c r="KG256" s="112"/>
      <c r="KH256" s="112"/>
      <c r="KI256" s="112"/>
      <c r="KJ256" s="112"/>
      <c r="KK256" s="112"/>
      <c r="KL256" s="112"/>
      <c r="KM256" s="112"/>
      <c r="KN256" s="112"/>
      <c r="KO256" s="112"/>
      <c r="KP256" s="112"/>
      <c r="KQ256" s="112"/>
      <c r="KR256" s="112"/>
      <c r="KS256" s="112"/>
      <c r="KT256" s="112"/>
      <c r="KU256" s="112"/>
      <c r="KV256" s="112"/>
      <c r="KW256" s="112"/>
      <c r="KX256" s="112"/>
      <c r="KY256" s="112"/>
      <c r="KZ256" s="112"/>
      <c r="LA256" s="112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2" t="str">
        <f t="shared" si="1465"/>
        <v>x</v>
      </c>
      <c r="MD256" s="111"/>
      <c r="ME256" s="111"/>
      <c r="MF256" s="111"/>
      <c r="MG256" s="111"/>
      <c r="MH256" s="112" t="str">
        <f t="shared" si="1466"/>
        <v>x</v>
      </c>
    </row>
    <row r="257" spans="1:346" x14ac:dyDescent="0.25">
      <c r="A257" s="110" t="s">
        <v>11</v>
      </c>
      <c r="B257" s="101" t="s">
        <v>75</v>
      </c>
      <c r="C257" s="102"/>
      <c r="D257" s="102"/>
      <c r="E257" s="102"/>
      <c r="F257" s="102"/>
      <c r="G257" s="102"/>
      <c r="H257" s="102"/>
      <c r="I257" s="102"/>
      <c r="J257" s="103"/>
      <c r="K257" s="111"/>
      <c r="L257" s="111"/>
      <c r="M257" s="112" t="str">
        <f t="shared" si="1467"/>
        <v>x</v>
      </c>
      <c r="N257" s="112"/>
      <c r="O257" s="112" t="str">
        <f t="shared" si="1468"/>
        <v>x</v>
      </c>
      <c r="P257" s="112"/>
      <c r="Q257" s="112"/>
      <c r="R257" s="112"/>
      <c r="S257" s="112"/>
      <c r="T257" s="112"/>
      <c r="U257" s="112"/>
      <c r="V257" s="111"/>
      <c r="W257" s="112"/>
      <c r="X257" s="111"/>
      <c r="Y257" s="111"/>
      <c r="Z257" s="111"/>
      <c r="AA257" s="111"/>
      <c r="AB257" s="111"/>
      <c r="AC257" s="112" t="str">
        <f t="shared" si="1357"/>
        <v>x</v>
      </c>
      <c r="AD257" s="111"/>
      <c r="AE257" s="112" t="str">
        <f t="shared" si="1469"/>
        <v>x</v>
      </c>
      <c r="AF257" s="111"/>
      <c r="AG257" s="111"/>
      <c r="AH257" s="111"/>
      <c r="AI257" s="111"/>
      <c r="AJ257" s="111"/>
      <c r="AK257" s="111"/>
      <c r="AL257" s="111"/>
      <c r="AM257" s="111"/>
      <c r="AN257" s="112"/>
      <c r="AO257" s="112"/>
      <c r="AP257" s="112"/>
      <c r="AQ257" s="112"/>
      <c r="AR257" s="112"/>
      <c r="AS257" s="112"/>
      <c r="AT257" s="112"/>
      <c r="AU257" s="113"/>
      <c r="AV257" s="114" t="str">
        <f t="shared" si="1470"/>
        <v>x</v>
      </c>
      <c r="AW257" s="114" t="str">
        <f t="shared" si="1471"/>
        <v>x</v>
      </c>
      <c r="AX257" s="111"/>
      <c r="AY257" s="111"/>
      <c r="AZ257" s="112" t="str">
        <f t="shared" si="1472"/>
        <v>x</v>
      </c>
      <c r="BA257" s="112" t="str">
        <f t="shared" si="1473"/>
        <v>x</v>
      </c>
      <c r="BB257" s="111"/>
      <c r="BC257" s="111"/>
      <c r="BD257" s="111"/>
      <c r="BE257" s="111"/>
      <c r="BF257" s="111"/>
      <c r="BG257" s="112" t="str">
        <f t="shared" si="1474"/>
        <v>x</v>
      </c>
      <c r="BH257" s="112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2" t="str">
        <f t="shared" si="1475"/>
        <v>x</v>
      </c>
      <c r="BS257" s="112"/>
      <c r="BT257" s="111"/>
      <c r="BU257" s="112" t="str">
        <f t="shared" si="1476"/>
        <v>x</v>
      </c>
      <c r="BV257" s="112" t="str">
        <f t="shared" si="1365"/>
        <v>x</v>
      </c>
      <c r="BW257" s="112"/>
      <c r="BX257" s="112"/>
      <c r="BY257" s="112"/>
      <c r="BZ257" s="112" t="str">
        <f t="shared" si="1477"/>
        <v>x</v>
      </c>
      <c r="CA257" s="112" t="str">
        <f t="shared" si="1478"/>
        <v>x</v>
      </c>
      <c r="CB257" s="112" t="str">
        <f t="shared" si="1479"/>
        <v>x</v>
      </c>
      <c r="CC257" s="112"/>
      <c r="CD257" s="112"/>
      <c r="CE257" s="111"/>
      <c r="CF257" s="112" t="str">
        <f t="shared" si="1480"/>
        <v>x</v>
      </c>
      <c r="CG257" s="112" t="str">
        <f t="shared" si="1481"/>
        <v>x</v>
      </c>
      <c r="CH257" s="112" t="str">
        <f t="shared" si="1370"/>
        <v>x</v>
      </c>
      <c r="CI257" s="112" t="str">
        <f t="shared" si="1482"/>
        <v>x</v>
      </c>
      <c r="CJ257" s="112" t="str">
        <f t="shared" si="1483"/>
        <v>x</v>
      </c>
      <c r="CK257" s="112" t="str">
        <f t="shared" si="1484"/>
        <v>x</v>
      </c>
      <c r="CL257" s="112"/>
      <c r="CM257" s="112"/>
      <c r="CN257" s="112"/>
      <c r="CO257" s="112" t="str">
        <f t="shared" si="1485"/>
        <v>x</v>
      </c>
      <c r="CP257" s="112"/>
      <c r="CQ257" s="112" t="str">
        <f t="shared" si="1486"/>
        <v>x</v>
      </c>
      <c r="CR257" s="112"/>
      <c r="CS257" s="112"/>
      <c r="CT257" s="112" t="str">
        <f t="shared" si="1487"/>
        <v>x</v>
      </c>
      <c r="CU257" s="112" t="str">
        <f t="shared" si="1374"/>
        <v>x</v>
      </c>
      <c r="CV257" s="112" t="str">
        <f t="shared" si="1375"/>
        <v>x</v>
      </c>
      <c r="CW257" s="112" t="str">
        <f t="shared" si="1376"/>
        <v>x</v>
      </c>
      <c r="CX257" s="112" t="str">
        <f t="shared" si="1488"/>
        <v>x</v>
      </c>
      <c r="CY257" s="112" t="str">
        <f t="shared" si="1489"/>
        <v>x</v>
      </c>
      <c r="CZ257" s="112"/>
      <c r="DA257" s="112"/>
      <c r="DB257" s="115" t="str">
        <f t="shared" si="1490"/>
        <v>x</v>
      </c>
      <c r="DC257" s="112"/>
      <c r="DD257" s="112"/>
      <c r="DE257" s="112" t="str">
        <f t="shared" si="1491"/>
        <v>x</v>
      </c>
      <c r="DF257" s="115" t="str">
        <f t="shared" si="1492"/>
        <v>x</v>
      </c>
      <c r="DG257" s="112" t="str">
        <f t="shared" si="1493"/>
        <v>x</v>
      </c>
      <c r="DH257" s="112" t="str">
        <f t="shared" si="1494"/>
        <v>x</v>
      </c>
      <c r="DI257" s="112" t="str">
        <f t="shared" si="1382"/>
        <v>x</v>
      </c>
      <c r="DJ257" s="112"/>
      <c r="DK257" s="112"/>
      <c r="DL257" s="112"/>
      <c r="DM257" s="112"/>
      <c r="DN257" s="112"/>
      <c r="DO257" s="111"/>
      <c r="DP257" s="112" t="str">
        <f t="shared" si="1495"/>
        <v>x</v>
      </c>
      <c r="DQ257" s="112" t="str">
        <f t="shared" si="1384"/>
        <v>x</v>
      </c>
      <c r="DR257" s="112" t="str">
        <f t="shared" si="1496"/>
        <v>x</v>
      </c>
      <c r="DS257" s="112" t="str">
        <f t="shared" si="1497"/>
        <v>x</v>
      </c>
      <c r="DT257" s="112"/>
      <c r="DU257" s="112" t="str">
        <f t="shared" si="1385"/>
        <v>x</v>
      </c>
      <c r="DV257" s="111"/>
      <c r="DW257" s="111"/>
      <c r="DX257" s="111"/>
      <c r="DY257" s="112" t="str">
        <f t="shared" si="1386"/>
        <v>x</v>
      </c>
      <c r="DZ257" s="112" t="str">
        <f t="shared" si="1387"/>
        <v>x</v>
      </c>
      <c r="EA257" s="112" t="str">
        <f t="shared" si="1388"/>
        <v>x</v>
      </c>
      <c r="EB257" s="112" t="str">
        <f t="shared" si="1389"/>
        <v>x</v>
      </c>
      <c r="EC257" s="111"/>
      <c r="ED257" s="111"/>
      <c r="EE257" s="111"/>
      <c r="EF257" s="111"/>
      <c r="EG257" s="111"/>
      <c r="EH257" s="111"/>
      <c r="EI257" s="112"/>
      <c r="EJ257" s="112"/>
      <c r="EK257" s="115"/>
      <c r="EL257" s="112" t="str">
        <f t="shared" si="1390"/>
        <v>x</v>
      </c>
      <c r="EM257" s="112" t="str">
        <f t="shared" si="1498"/>
        <v>x</v>
      </c>
      <c r="EN257" s="111"/>
      <c r="EO257" s="117" t="str">
        <f t="shared" si="1499"/>
        <v>x</v>
      </c>
      <c r="EP257" s="117" t="str">
        <f t="shared" si="1500"/>
        <v>x</v>
      </c>
      <c r="EQ257" s="112" t="str">
        <f t="shared" si="1394"/>
        <v>x</v>
      </c>
      <c r="ER257" s="111"/>
      <c r="ES257" s="111"/>
      <c r="ET257" s="111"/>
      <c r="EU257" s="112" t="str">
        <f t="shared" si="1395"/>
        <v>x</v>
      </c>
      <c r="EV257" s="112" t="str">
        <f t="shared" si="1396"/>
        <v>x</v>
      </c>
      <c r="EW257" s="112" t="str">
        <f t="shared" si="1397"/>
        <v>x</v>
      </c>
      <c r="EX257" s="112" t="str">
        <f t="shared" si="1501"/>
        <v>x</v>
      </c>
      <c r="EY257" s="112" t="str">
        <f t="shared" si="1399"/>
        <v>x</v>
      </c>
      <c r="EZ257" s="112"/>
      <c r="FA257" s="116"/>
      <c r="FB257" s="111"/>
      <c r="FC257" s="112" t="str">
        <f t="shared" si="1502"/>
        <v>x</v>
      </c>
      <c r="FD257" s="112" t="str">
        <f t="shared" si="1503"/>
        <v>x</v>
      </c>
      <c r="FE257" s="112" t="str">
        <f t="shared" si="1504"/>
        <v>x</v>
      </c>
      <c r="FF257" s="111"/>
      <c r="FG257" s="111"/>
      <c r="FH257" s="111"/>
      <c r="FI257" s="112"/>
      <c r="FJ257" s="112" t="str">
        <f t="shared" si="1505"/>
        <v>x</v>
      </c>
      <c r="FK257" s="112" t="str">
        <f t="shared" si="1506"/>
        <v>x</v>
      </c>
      <c r="FL257" s="112"/>
      <c r="FM257" s="112" t="str">
        <f t="shared" si="1405"/>
        <v>x</v>
      </c>
      <c r="FN257" s="112"/>
      <c r="FO257" s="112" t="str">
        <f t="shared" si="1406"/>
        <v>x</v>
      </c>
      <c r="FP257" s="112"/>
      <c r="FQ257" s="112" t="str">
        <f t="shared" si="1407"/>
        <v>x</v>
      </c>
      <c r="FR257" s="112" t="str">
        <f t="shared" si="1408"/>
        <v>x</v>
      </c>
      <c r="FS257" s="112" t="str">
        <f t="shared" si="1409"/>
        <v>x</v>
      </c>
      <c r="FT257" s="112" t="str">
        <f t="shared" si="1410"/>
        <v>x</v>
      </c>
      <c r="FU257" s="112" t="str">
        <f t="shared" si="1411"/>
        <v>x</v>
      </c>
      <c r="FV257" s="112" t="str">
        <f t="shared" si="1412"/>
        <v>x</v>
      </c>
      <c r="FW257" s="112" t="str">
        <f t="shared" si="1413"/>
        <v>x</v>
      </c>
      <c r="FX257" s="112"/>
      <c r="FY257" s="112" t="str">
        <f t="shared" si="1414"/>
        <v>x</v>
      </c>
      <c r="FZ257" s="112"/>
      <c r="GA257" s="112"/>
      <c r="GB257" s="112" t="str">
        <f t="shared" si="1415"/>
        <v>x</v>
      </c>
      <c r="GC257" s="115" t="str">
        <f t="shared" si="1507"/>
        <v>x</v>
      </c>
      <c r="GD257" s="112" t="str">
        <f t="shared" si="1417"/>
        <v>x</v>
      </c>
      <c r="GE257" s="112"/>
      <c r="GF257" s="112" t="str">
        <f t="shared" si="1418"/>
        <v>x</v>
      </c>
      <c r="GG257" s="112"/>
      <c r="GH257" s="112" t="str">
        <f t="shared" si="1508"/>
        <v>x</v>
      </c>
      <c r="GI257" s="112" t="str">
        <f t="shared" si="1509"/>
        <v>x</v>
      </c>
      <c r="GJ257" s="111"/>
      <c r="GK257" s="111"/>
      <c r="GL257" s="112" t="str">
        <f t="shared" si="1421"/>
        <v>x</v>
      </c>
      <c r="GM257" s="112" t="str">
        <f t="shared" si="1422"/>
        <v>x</v>
      </c>
      <c r="GN257" s="112"/>
      <c r="GO257" s="112" t="str">
        <f t="shared" si="1423"/>
        <v>x</v>
      </c>
      <c r="GP257" s="112"/>
      <c r="GQ257" s="111"/>
      <c r="GR257" s="111"/>
      <c r="GS257" s="115" t="str">
        <f t="shared" si="1424"/>
        <v>x</v>
      </c>
      <c r="GT257" s="112" t="str">
        <f t="shared" si="1425"/>
        <v>x</v>
      </c>
      <c r="GU257" s="112"/>
      <c r="GV257" s="112" t="str">
        <f t="shared" si="1426"/>
        <v>x</v>
      </c>
      <c r="GW257" s="112" t="str">
        <f t="shared" si="1427"/>
        <v>x</v>
      </c>
      <c r="GX257" s="112" t="str">
        <f t="shared" si="1428"/>
        <v>x</v>
      </c>
      <c r="GY257" s="112" t="str">
        <f t="shared" si="1429"/>
        <v>x</v>
      </c>
      <c r="GZ257" s="112" t="str">
        <f t="shared" si="1430"/>
        <v>x</v>
      </c>
      <c r="HA257" s="112"/>
      <c r="HB257" s="112" t="str">
        <f t="shared" si="1510"/>
        <v>x</v>
      </c>
      <c r="HC257" s="112" t="str">
        <f t="shared" si="1431"/>
        <v>x</v>
      </c>
      <c r="HD257" s="112" t="str">
        <f t="shared" si="1432"/>
        <v>x</v>
      </c>
      <c r="HE257" s="112" t="str">
        <f t="shared" si="1433"/>
        <v>x</v>
      </c>
      <c r="HF257" s="112" t="str">
        <f t="shared" si="1434"/>
        <v>x</v>
      </c>
      <c r="HG257" s="112"/>
      <c r="HH257" s="112" t="str">
        <f t="shared" si="1511"/>
        <v>x</v>
      </c>
      <c r="HI257" s="112" t="str">
        <f t="shared" si="1512"/>
        <v>x</v>
      </c>
      <c r="HJ257" s="112" t="str">
        <f t="shared" si="1435"/>
        <v>x</v>
      </c>
      <c r="HK257" s="115" t="str">
        <f t="shared" si="1513"/>
        <v>x</v>
      </c>
      <c r="HL257" s="115" t="str">
        <f t="shared" si="1437"/>
        <v>x</v>
      </c>
      <c r="HM257" s="115" t="str">
        <f t="shared" si="1438"/>
        <v>x</v>
      </c>
      <c r="HN257" s="115" t="str">
        <f t="shared" si="1439"/>
        <v>x</v>
      </c>
      <c r="HO257" s="115" t="str">
        <f t="shared" si="1440"/>
        <v>x</v>
      </c>
      <c r="HP257" s="115" t="str">
        <f t="shared" si="1441"/>
        <v>x</v>
      </c>
      <c r="HQ257" s="115" t="str">
        <f t="shared" si="1442"/>
        <v>x</v>
      </c>
      <c r="HR257" s="115" t="str">
        <f t="shared" si="1443"/>
        <v>x</v>
      </c>
      <c r="HS257" s="115"/>
      <c r="HT257" s="115" t="str">
        <f t="shared" si="1444"/>
        <v>x</v>
      </c>
      <c r="HU257" s="115" t="str">
        <f t="shared" si="1445"/>
        <v>x</v>
      </c>
      <c r="HV257" s="115" t="str">
        <f t="shared" si="1446"/>
        <v>x</v>
      </c>
      <c r="HW257" s="115" t="str">
        <f t="shared" si="1514"/>
        <v>x</v>
      </c>
      <c r="HX257" s="112" t="str">
        <f t="shared" si="1515"/>
        <v>x</v>
      </c>
      <c r="HY257" s="112" t="str">
        <f t="shared" si="1516"/>
        <v>x</v>
      </c>
      <c r="HZ257" s="115"/>
      <c r="IA257" s="115"/>
      <c r="IB257" s="115"/>
      <c r="IC257" s="115"/>
      <c r="ID257" s="115" t="str">
        <f t="shared" si="1449"/>
        <v>x</v>
      </c>
      <c r="IE257" s="115"/>
      <c r="IF257" s="115"/>
      <c r="IG257" s="112" t="str">
        <f t="shared" si="1517"/>
        <v>x</v>
      </c>
      <c r="IH257" s="115" t="str">
        <f t="shared" si="1451"/>
        <v>x</v>
      </c>
      <c r="II257" s="115" t="str">
        <f t="shared" si="1452"/>
        <v>x</v>
      </c>
      <c r="IJ257" s="112" t="str">
        <f t="shared" si="1453"/>
        <v>x</v>
      </c>
      <c r="IK257" s="111"/>
      <c r="IL257" s="111"/>
      <c r="IM257" s="112" t="str">
        <f t="shared" si="1454"/>
        <v>x</v>
      </c>
      <c r="IN257" s="112"/>
      <c r="IO257" s="111"/>
      <c r="IP257" s="112" t="str">
        <f t="shared" si="1455"/>
        <v>x</v>
      </c>
      <c r="IQ257" s="112"/>
      <c r="IR257" s="111"/>
      <c r="IS257" s="111"/>
      <c r="IT257" s="111"/>
      <c r="IU257" s="112" t="str">
        <f t="shared" si="1456"/>
        <v>x</v>
      </c>
      <c r="IV257" s="112"/>
      <c r="IW257" s="112" t="str">
        <f t="shared" si="1457"/>
        <v>x</v>
      </c>
      <c r="IX257" s="112" t="str">
        <f t="shared" si="1458"/>
        <v>x</v>
      </c>
      <c r="IY257" s="111"/>
      <c r="IZ257" s="111"/>
      <c r="JA257" s="111"/>
      <c r="JB257" s="112"/>
      <c r="JC257" s="111"/>
      <c r="JD257" s="112"/>
      <c r="JE257" s="112"/>
      <c r="JF257" s="112" t="str">
        <f t="shared" si="1459"/>
        <v>x</v>
      </c>
      <c r="JG257" s="112"/>
      <c r="JH257" s="111"/>
      <c r="JI257" s="112"/>
      <c r="JJ257" s="112"/>
      <c r="JK257" s="112"/>
      <c r="JL257" s="112" t="str">
        <f t="shared" si="1460"/>
        <v>x</v>
      </c>
      <c r="JM257" s="112"/>
      <c r="JN257" s="112"/>
      <c r="JO257" s="112"/>
      <c r="JP257" s="112"/>
      <c r="JQ257" s="112" t="str">
        <f t="shared" si="1461"/>
        <v>x</v>
      </c>
      <c r="JR257" s="112"/>
      <c r="JS257" s="111"/>
      <c r="JT257" s="111"/>
      <c r="JU257" s="111"/>
      <c r="JV257" s="112"/>
      <c r="JW257" s="112"/>
      <c r="JX257" s="112"/>
      <c r="JY257" s="112"/>
      <c r="JZ257" s="112"/>
      <c r="KA257" s="112" t="str">
        <f t="shared" si="1518"/>
        <v>x</v>
      </c>
      <c r="KB257" s="112" t="str">
        <f t="shared" si="1463"/>
        <v>x</v>
      </c>
      <c r="KC257" s="112" t="str">
        <f t="shared" si="1464"/>
        <v>x</v>
      </c>
      <c r="KD257" s="112"/>
      <c r="KE257" s="111"/>
      <c r="KF257" s="112"/>
      <c r="KG257" s="112"/>
      <c r="KH257" s="112"/>
      <c r="KI257" s="112"/>
      <c r="KJ257" s="112"/>
      <c r="KK257" s="112"/>
      <c r="KL257" s="112"/>
      <c r="KM257" s="112"/>
      <c r="KN257" s="112"/>
      <c r="KO257" s="112"/>
      <c r="KP257" s="112"/>
      <c r="KQ257" s="112"/>
      <c r="KR257" s="112"/>
      <c r="KS257" s="112"/>
      <c r="KT257" s="112"/>
      <c r="KU257" s="112"/>
      <c r="KV257" s="112"/>
      <c r="KW257" s="112"/>
      <c r="KX257" s="112"/>
      <c r="KY257" s="112"/>
      <c r="KZ257" s="112"/>
      <c r="LA257" s="112"/>
      <c r="LB257" s="111"/>
      <c r="LC257" s="111"/>
      <c r="LD257" s="111"/>
      <c r="LE257" s="111"/>
      <c r="LF257" s="111"/>
      <c r="LG257" s="111"/>
      <c r="LH257" s="111"/>
      <c r="LI257" s="111"/>
      <c r="LJ257" s="111"/>
      <c r="LK257" s="111"/>
      <c r="LL257" s="111"/>
      <c r="LM257" s="111"/>
      <c r="LN257" s="111"/>
      <c r="LO257" s="111"/>
      <c r="LP257" s="111"/>
      <c r="LQ257" s="111"/>
      <c r="LR257" s="111"/>
      <c r="LS257" s="111"/>
      <c r="LT257" s="111"/>
      <c r="LU257" s="111"/>
      <c r="LV257" s="111"/>
      <c r="LW257" s="111"/>
      <c r="LX257" s="111"/>
      <c r="LY257" s="111"/>
      <c r="LZ257" s="111"/>
      <c r="MA257" s="111"/>
      <c r="MB257" s="111"/>
      <c r="MC257" s="112" t="str">
        <f t="shared" si="1465"/>
        <v>x</v>
      </c>
      <c r="MD257" s="111"/>
      <c r="ME257" s="111"/>
      <c r="MF257" s="111"/>
      <c r="MG257" s="111"/>
      <c r="MH257" s="112" t="str">
        <f t="shared" si="1466"/>
        <v>x</v>
      </c>
    </row>
    <row r="258" spans="1:346" x14ac:dyDescent="0.25">
      <c r="A258" s="110" t="s">
        <v>11</v>
      </c>
      <c r="B258" s="101" t="s">
        <v>47</v>
      </c>
      <c r="C258" s="102"/>
      <c r="D258" s="102"/>
      <c r="E258" s="102"/>
      <c r="F258" s="102"/>
      <c r="G258" s="102"/>
      <c r="H258" s="102"/>
      <c r="I258" s="102"/>
      <c r="J258" s="103"/>
      <c r="K258" s="111"/>
      <c r="L258" s="111"/>
      <c r="M258" s="112" t="str">
        <f t="shared" si="1467"/>
        <v>x</v>
      </c>
      <c r="N258" s="112"/>
      <c r="O258" s="112" t="str">
        <f t="shared" si="1468"/>
        <v>x</v>
      </c>
      <c r="P258" s="112"/>
      <c r="Q258" s="112"/>
      <c r="R258" s="112"/>
      <c r="S258" s="112"/>
      <c r="T258" s="112"/>
      <c r="U258" s="112"/>
      <c r="V258" s="111"/>
      <c r="W258" s="112"/>
      <c r="X258" s="111"/>
      <c r="Y258" s="111"/>
      <c r="Z258" s="111"/>
      <c r="AA258" s="111"/>
      <c r="AB258" s="111"/>
      <c r="AC258" s="112" t="str">
        <f t="shared" si="1357"/>
        <v>x</v>
      </c>
      <c r="AD258" s="111"/>
      <c r="AE258" s="112" t="str">
        <f t="shared" si="1469"/>
        <v>x</v>
      </c>
      <c r="AF258" s="111"/>
      <c r="AG258" s="111"/>
      <c r="AH258" s="111"/>
      <c r="AI258" s="111"/>
      <c r="AJ258" s="111"/>
      <c r="AK258" s="111"/>
      <c r="AL258" s="111"/>
      <c r="AM258" s="111"/>
      <c r="AN258" s="112"/>
      <c r="AO258" s="112"/>
      <c r="AP258" s="112"/>
      <c r="AQ258" s="112"/>
      <c r="AR258" s="112"/>
      <c r="AS258" s="112"/>
      <c r="AT258" s="112"/>
      <c r="AU258" s="113"/>
      <c r="AV258" s="114" t="str">
        <f t="shared" si="1470"/>
        <v>x</v>
      </c>
      <c r="AW258" s="114" t="str">
        <f t="shared" si="1471"/>
        <v>x</v>
      </c>
      <c r="AX258" s="111"/>
      <c r="AY258" s="111"/>
      <c r="AZ258" s="112" t="str">
        <f t="shared" si="1472"/>
        <v>x</v>
      </c>
      <c r="BA258" s="112" t="str">
        <f t="shared" si="1473"/>
        <v>x</v>
      </c>
      <c r="BB258" s="111"/>
      <c r="BC258" s="111"/>
      <c r="BD258" s="111"/>
      <c r="BE258" s="111"/>
      <c r="BF258" s="111"/>
      <c r="BG258" s="112" t="str">
        <f t="shared" si="1474"/>
        <v>x</v>
      </c>
      <c r="BH258" s="112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2" t="str">
        <f t="shared" si="1475"/>
        <v>x</v>
      </c>
      <c r="BS258" s="112"/>
      <c r="BT258" s="111"/>
      <c r="BU258" s="112" t="str">
        <f t="shared" si="1476"/>
        <v>x</v>
      </c>
      <c r="BV258" s="112" t="str">
        <f t="shared" si="1365"/>
        <v>x</v>
      </c>
      <c r="BW258" s="112"/>
      <c r="BX258" s="112"/>
      <c r="BY258" s="112"/>
      <c r="BZ258" s="112" t="str">
        <f t="shared" si="1477"/>
        <v>x</v>
      </c>
      <c r="CA258" s="112" t="str">
        <f t="shared" si="1478"/>
        <v>x</v>
      </c>
      <c r="CB258" s="112" t="str">
        <f t="shared" si="1479"/>
        <v>x</v>
      </c>
      <c r="CC258" s="112"/>
      <c r="CD258" s="112"/>
      <c r="CE258" s="111"/>
      <c r="CF258" s="112" t="str">
        <f t="shared" si="1480"/>
        <v>x</v>
      </c>
      <c r="CG258" s="112" t="str">
        <f t="shared" si="1481"/>
        <v>x</v>
      </c>
      <c r="CH258" s="112" t="str">
        <f t="shared" si="1370"/>
        <v>x</v>
      </c>
      <c r="CI258" s="112" t="str">
        <f t="shared" si="1482"/>
        <v>x</v>
      </c>
      <c r="CJ258" s="112" t="str">
        <f t="shared" si="1483"/>
        <v>x</v>
      </c>
      <c r="CK258" s="112" t="str">
        <f t="shared" si="1484"/>
        <v>x</v>
      </c>
      <c r="CL258" s="112"/>
      <c r="CM258" s="112"/>
      <c r="CN258" s="112"/>
      <c r="CO258" s="112" t="str">
        <f t="shared" si="1485"/>
        <v>x</v>
      </c>
      <c r="CP258" s="112"/>
      <c r="CQ258" s="112" t="str">
        <f t="shared" si="1486"/>
        <v>x</v>
      </c>
      <c r="CR258" s="112"/>
      <c r="CS258" s="112"/>
      <c r="CT258" s="112" t="str">
        <f t="shared" si="1487"/>
        <v>x</v>
      </c>
      <c r="CU258" s="112" t="str">
        <f t="shared" si="1374"/>
        <v>x</v>
      </c>
      <c r="CV258" s="112" t="str">
        <f t="shared" si="1375"/>
        <v>x</v>
      </c>
      <c r="CW258" s="112" t="str">
        <f t="shared" si="1376"/>
        <v>x</v>
      </c>
      <c r="CX258" s="112" t="str">
        <f t="shared" si="1488"/>
        <v>x</v>
      </c>
      <c r="CY258" s="112" t="str">
        <f t="shared" si="1489"/>
        <v>x</v>
      </c>
      <c r="CZ258" s="112"/>
      <c r="DA258" s="112"/>
      <c r="DB258" s="115" t="str">
        <f t="shared" si="1490"/>
        <v>x</v>
      </c>
      <c r="DC258" s="112"/>
      <c r="DD258" s="112"/>
      <c r="DE258" s="112" t="str">
        <f t="shared" si="1491"/>
        <v>x</v>
      </c>
      <c r="DF258" s="115" t="str">
        <f t="shared" si="1492"/>
        <v>x</v>
      </c>
      <c r="DG258" s="112" t="str">
        <f t="shared" si="1493"/>
        <v>x</v>
      </c>
      <c r="DH258" s="112" t="str">
        <f t="shared" si="1494"/>
        <v>x</v>
      </c>
      <c r="DI258" s="112" t="str">
        <f t="shared" si="1382"/>
        <v>x</v>
      </c>
      <c r="DJ258" s="112"/>
      <c r="DK258" s="112"/>
      <c r="DL258" s="112"/>
      <c r="DM258" s="112"/>
      <c r="DN258" s="112"/>
      <c r="DO258" s="111"/>
      <c r="DP258" s="112" t="str">
        <f t="shared" si="1495"/>
        <v>x</v>
      </c>
      <c r="DQ258" s="112" t="str">
        <f t="shared" si="1384"/>
        <v>x</v>
      </c>
      <c r="DR258" s="112" t="str">
        <f t="shared" si="1496"/>
        <v>x</v>
      </c>
      <c r="DS258" s="112" t="str">
        <f t="shared" si="1497"/>
        <v>x</v>
      </c>
      <c r="DT258" s="112"/>
      <c r="DU258" s="112" t="str">
        <f t="shared" si="1385"/>
        <v>x</v>
      </c>
      <c r="DV258" s="111"/>
      <c r="DW258" s="111"/>
      <c r="DX258" s="111"/>
      <c r="DY258" s="112" t="str">
        <f t="shared" si="1386"/>
        <v>x</v>
      </c>
      <c r="DZ258" s="112" t="str">
        <f t="shared" si="1387"/>
        <v>x</v>
      </c>
      <c r="EA258" s="112" t="str">
        <f t="shared" si="1388"/>
        <v>x</v>
      </c>
      <c r="EB258" s="112" t="str">
        <f t="shared" si="1389"/>
        <v>x</v>
      </c>
      <c r="EC258" s="111"/>
      <c r="ED258" s="111"/>
      <c r="EE258" s="111"/>
      <c r="EF258" s="111"/>
      <c r="EG258" s="111"/>
      <c r="EH258" s="111"/>
      <c r="EI258" s="112"/>
      <c r="EJ258" s="112"/>
      <c r="EK258" s="115"/>
      <c r="EL258" s="112" t="str">
        <f t="shared" si="1390"/>
        <v>x</v>
      </c>
      <c r="EM258" s="112" t="str">
        <f t="shared" si="1498"/>
        <v>x</v>
      </c>
      <c r="EN258" s="111"/>
      <c r="EO258" s="117" t="str">
        <f t="shared" si="1499"/>
        <v>x</v>
      </c>
      <c r="EP258" s="117" t="str">
        <f t="shared" si="1500"/>
        <v>x</v>
      </c>
      <c r="EQ258" s="112" t="str">
        <f t="shared" si="1394"/>
        <v>x</v>
      </c>
      <c r="ER258" s="111"/>
      <c r="ES258" s="111"/>
      <c r="ET258" s="111"/>
      <c r="EU258" s="112" t="str">
        <f t="shared" si="1395"/>
        <v>x</v>
      </c>
      <c r="EV258" s="112" t="str">
        <f t="shared" si="1396"/>
        <v>x</v>
      </c>
      <c r="EW258" s="112" t="str">
        <f t="shared" si="1397"/>
        <v>x</v>
      </c>
      <c r="EX258" s="112" t="str">
        <f t="shared" si="1501"/>
        <v>x</v>
      </c>
      <c r="EY258" s="112" t="str">
        <f t="shared" si="1399"/>
        <v>x</v>
      </c>
      <c r="EZ258" s="112"/>
      <c r="FA258" s="116"/>
      <c r="FB258" s="111"/>
      <c r="FC258" s="112" t="str">
        <f t="shared" si="1502"/>
        <v>x</v>
      </c>
      <c r="FD258" s="112" t="str">
        <f t="shared" si="1503"/>
        <v>x</v>
      </c>
      <c r="FE258" s="112" t="str">
        <f t="shared" si="1504"/>
        <v>x</v>
      </c>
      <c r="FF258" s="111"/>
      <c r="FG258" s="111"/>
      <c r="FH258" s="111"/>
      <c r="FI258" s="112"/>
      <c r="FJ258" s="112" t="str">
        <f t="shared" si="1505"/>
        <v>x</v>
      </c>
      <c r="FK258" s="112" t="str">
        <f t="shared" si="1506"/>
        <v>x</v>
      </c>
      <c r="FL258" s="112"/>
      <c r="FM258" s="112" t="str">
        <f t="shared" si="1405"/>
        <v>x</v>
      </c>
      <c r="FN258" s="112"/>
      <c r="FO258" s="112" t="str">
        <f t="shared" si="1406"/>
        <v>x</v>
      </c>
      <c r="FP258" s="112"/>
      <c r="FQ258" s="112" t="str">
        <f t="shared" si="1407"/>
        <v>x</v>
      </c>
      <c r="FR258" s="112" t="str">
        <f t="shared" si="1408"/>
        <v>x</v>
      </c>
      <c r="FS258" s="112" t="str">
        <f t="shared" si="1409"/>
        <v>x</v>
      </c>
      <c r="FT258" s="112" t="str">
        <f t="shared" si="1410"/>
        <v>x</v>
      </c>
      <c r="FU258" s="112" t="str">
        <f t="shared" si="1411"/>
        <v>x</v>
      </c>
      <c r="FV258" s="112" t="str">
        <f t="shared" si="1412"/>
        <v>x</v>
      </c>
      <c r="FW258" s="112" t="str">
        <f t="shared" si="1413"/>
        <v>x</v>
      </c>
      <c r="FX258" s="112"/>
      <c r="FY258" s="112" t="str">
        <f t="shared" si="1414"/>
        <v>x</v>
      </c>
      <c r="FZ258" s="112"/>
      <c r="GA258" s="112"/>
      <c r="GB258" s="112" t="str">
        <f t="shared" si="1415"/>
        <v>x</v>
      </c>
      <c r="GC258" s="115" t="str">
        <f t="shared" si="1507"/>
        <v>x</v>
      </c>
      <c r="GD258" s="112" t="str">
        <f t="shared" si="1417"/>
        <v>x</v>
      </c>
      <c r="GE258" s="112"/>
      <c r="GF258" s="112" t="str">
        <f t="shared" si="1418"/>
        <v>x</v>
      </c>
      <c r="GG258" s="112"/>
      <c r="GH258" s="112" t="str">
        <f t="shared" si="1508"/>
        <v>x</v>
      </c>
      <c r="GI258" s="112" t="str">
        <f t="shared" si="1509"/>
        <v>x</v>
      </c>
      <c r="GJ258" s="111"/>
      <c r="GK258" s="111"/>
      <c r="GL258" s="112" t="str">
        <f t="shared" si="1421"/>
        <v>x</v>
      </c>
      <c r="GM258" s="112" t="str">
        <f t="shared" si="1422"/>
        <v>x</v>
      </c>
      <c r="GN258" s="112"/>
      <c r="GO258" s="112" t="str">
        <f t="shared" si="1423"/>
        <v>x</v>
      </c>
      <c r="GP258" s="112"/>
      <c r="GQ258" s="111"/>
      <c r="GR258" s="111"/>
      <c r="GS258" s="115" t="str">
        <f t="shared" si="1424"/>
        <v>x</v>
      </c>
      <c r="GT258" s="112" t="str">
        <f t="shared" si="1425"/>
        <v>x</v>
      </c>
      <c r="GU258" s="112"/>
      <c r="GV258" s="112" t="str">
        <f t="shared" si="1426"/>
        <v>x</v>
      </c>
      <c r="GW258" s="112" t="str">
        <f t="shared" si="1427"/>
        <v>x</v>
      </c>
      <c r="GX258" s="112" t="str">
        <f t="shared" si="1428"/>
        <v>x</v>
      </c>
      <c r="GY258" s="112" t="str">
        <f t="shared" si="1429"/>
        <v>x</v>
      </c>
      <c r="GZ258" s="112" t="str">
        <f t="shared" si="1430"/>
        <v>x</v>
      </c>
      <c r="HA258" s="112"/>
      <c r="HB258" s="112" t="str">
        <f t="shared" si="1510"/>
        <v>x</v>
      </c>
      <c r="HC258" s="112" t="str">
        <f t="shared" si="1431"/>
        <v>x</v>
      </c>
      <c r="HD258" s="112" t="str">
        <f t="shared" si="1432"/>
        <v>x</v>
      </c>
      <c r="HE258" s="112" t="str">
        <f t="shared" si="1433"/>
        <v>x</v>
      </c>
      <c r="HF258" s="112" t="str">
        <f t="shared" si="1434"/>
        <v>x</v>
      </c>
      <c r="HG258" s="112"/>
      <c r="HH258" s="112" t="str">
        <f t="shared" si="1511"/>
        <v>x</v>
      </c>
      <c r="HI258" s="112" t="str">
        <f t="shared" si="1512"/>
        <v>x</v>
      </c>
      <c r="HJ258" s="112" t="str">
        <f t="shared" si="1435"/>
        <v>x</v>
      </c>
      <c r="HK258" s="115" t="str">
        <f t="shared" si="1513"/>
        <v>x</v>
      </c>
      <c r="HL258" s="115" t="str">
        <f t="shared" si="1437"/>
        <v>x</v>
      </c>
      <c r="HM258" s="115" t="str">
        <f t="shared" si="1438"/>
        <v>x</v>
      </c>
      <c r="HN258" s="115" t="str">
        <f t="shared" si="1439"/>
        <v>x</v>
      </c>
      <c r="HO258" s="115" t="str">
        <f t="shared" si="1440"/>
        <v>x</v>
      </c>
      <c r="HP258" s="115" t="str">
        <f t="shared" si="1441"/>
        <v>x</v>
      </c>
      <c r="HQ258" s="115" t="str">
        <f t="shared" si="1442"/>
        <v>x</v>
      </c>
      <c r="HR258" s="115" t="str">
        <f t="shared" si="1443"/>
        <v>x</v>
      </c>
      <c r="HS258" s="115"/>
      <c r="HT258" s="115" t="str">
        <f t="shared" si="1444"/>
        <v>x</v>
      </c>
      <c r="HU258" s="115" t="str">
        <f t="shared" si="1445"/>
        <v>x</v>
      </c>
      <c r="HV258" s="115" t="str">
        <f t="shared" si="1446"/>
        <v>x</v>
      </c>
      <c r="HW258" s="115" t="str">
        <f t="shared" si="1514"/>
        <v>x</v>
      </c>
      <c r="HX258" s="112" t="str">
        <f t="shared" si="1515"/>
        <v>x</v>
      </c>
      <c r="HY258" s="112" t="str">
        <f t="shared" si="1516"/>
        <v>x</v>
      </c>
      <c r="HZ258" s="115"/>
      <c r="IA258" s="115"/>
      <c r="IB258" s="115"/>
      <c r="IC258" s="115"/>
      <c r="ID258" s="115" t="str">
        <f t="shared" si="1449"/>
        <v>x</v>
      </c>
      <c r="IE258" s="115"/>
      <c r="IF258" s="115"/>
      <c r="IG258" s="112" t="str">
        <f t="shared" si="1517"/>
        <v>x</v>
      </c>
      <c r="IH258" s="115" t="str">
        <f t="shared" si="1451"/>
        <v>x</v>
      </c>
      <c r="II258" s="115" t="str">
        <f t="shared" si="1452"/>
        <v>x</v>
      </c>
      <c r="IJ258" s="112" t="str">
        <f t="shared" si="1453"/>
        <v>x</v>
      </c>
      <c r="IK258" s="111"/>
      <c r="IL258" s="111"/>
      <c r="IM258" s="112" t="str">
        <f t="shared" si="1454"/>
        <v>x</v>
      </c>
      <c r="IN258" s="112"/>
      <c r="IO258" s="111"/>
      <c r="IP258" s="112" t="str">
        <f t="shared" si="1455"/>
        <v>x</v>
      </c>
      <c r="IQ258" s="112"/>
      <c r="IR258" s="111"/>
      <c r="IS258" s="111"/>
      <c r="IT258" s="111"/>
      <c r="IU258" s="112" t="str">
        <f t="shared" si="1456"/>
        <v>x</v>
      </c>
      <c r="IV258" s="112"/>
      <c r="IW258" s="112" t="str">
        <f t="shared" si="1457"/>
        <v>x</v>
      </c>
      <c r="IX258" s="112" t="str">
        <f t="shared" si="1458"/>
        <v>x</v>
      </c>
      <c r="IY258" s="111"/>
      <c r="IZ258" s="111"/>
      <c r="JA258" s="111"/>
      <c r="JB258" s="112"/>
      <c r="JC258" s="111"/>
      <c r="JD258" s="112"/>
      <c r="JE258" s="112"/>
      <c r="JF258" s="112" t="str">
        <f t="shared" si="1459"/>
        <v>x</v>
      </c>
      <c r="JG258" s="112"/>
      <c r="JH258" s="111"/>
      <c r="JI258" s="112"/>
      <c r="JJ258" s="112"/>
      <c r="JK258" s="112"/>
      <c r="JL258" s="112" t="str">
        <f t="shared" si="1460"/>
        <v>x</v>
      </c>
      <c r="JM258" s="112"/>
      <c r="JN258" s="112"/>
      <c r="JO258" s="112"/>
      <c r="JP258" s="112"/>
      <c r="JQ258" s="112" t="str">
        <f t="shared" si="1461"/>
        <v>x</v>
      </c>
      <c r="JR258" s="112"/>
      <c r="JS258" s="111"/>
      <c r="JT258" s="111"/>
      <c r="JU258" s="111"/>
      <c r="JV258" s="112"/>
      <c r="JW258" s="112"/>
      <c r="JX258" s="112"/>
      <c r="JY258" s="112"/>
      <c r="JZ258" s="112"/>
      <c r="KA258" s="112" t="str">
        <f t="shared" si="1518"/>
        <v>x</v>
      </c>
      <c r="KB258" s="112" t="str">
        <f t="shared" si="1463"/>
        <v>x</v>
      </c>
      <c r="KC258" s="112" t="str">
        <f t="shared" si="1464"/>
        <v>x</v>
      </c>
      <c r="KD258" s="112"/>
      <c r="KE258" s="111"/>
      <c r="KF258" s="112"/>
      <c r="KG258" s="112"/>
      <c r="KH258" s="112"/>
      <c r="KI258" s="112"/>
      <c r="KJ258" s="112"/>
      <c r="KK258" s="112"/>
      <c r="KL258" s="112"/>
      <c r="KM258" s="112"/>
      <c r="KN258" s="112"/>
      <c r="KO258" s="112"/>
      <c r="KP258" s="112"/>
      <c r="KQ258" s="112"/>
      <c r="KR258" s="112"/>
      <c r="KS258" s="112"/>
      <c r="KT258" s="112"/>
      <c r="KU258" s="112"/>
      <c r="KV258" s="112"/>
      <c r="KW258" s="112"/>
      <c r="KX258" s="112"/>
      <c r="KY258" s="112"/>
      <c r="KZ258" s="112"/>
      <c r="LA258" s="112"/>
      <c r="LB258" s="111"/>
      <c r="LC258" s="111"/>
      <c r="LD258" s="111"/>
      <c r="LE258" s="111"/>
      <c r="LF258" s="111"/>
      <c r="LG258" s="111"/>
      <c r="LH258" s="111"/>
      <c r="LI258" s="111"/>
      <c r="LJ258" s="111"/>
      <c r="LK258" s="111"/>
      <c r="LL258" s="111"/>
      <c r="LM258" s="111"/>
      <c r="LN258" s="111"/>
      <c r="LO258" s="111"/>
      <c r="LP258" s="111"/>
      <c r="LQ258" s="111"/>
      <c r="LR258" s="111"/>
      <c r="LS258" s="111"/>
      <c r="LT258" s="111"/>
      <c r="LU258" s="111"/>
      <c r="LV258" s="111"/>
      <c r="LW258" s="111"/>
      <c r="LX258" s="111"/>
      <c r="LY258" s="111"/>
      <c r="LZ258" s="111"/>
      <c r="MA258" s="111"/>
      <c r="MB258" s="111"/>
      <c r="MC258" s="112" t="str">
        <f t="shared" si="1465"/>
        <v>x</v>
      </c>
      <c r="MD258" s="111"/>
      <c r="ME258" s="111"/>
      <c r="MF258" s="111"/>
      <c r="MG258" s="111"/>
      <c r="MH258" s="112" t="str">
        <f t="shared" si="1466"/>
        <v>x</v>
      </c>
    </row>
    <row r="259" spans="1:346" x14ac:dyDescent="0.25">
      <c r="A259" s="110" t="s">
        <v>11</v>
      </c>
      <c r="B259" s="101" t="s">
        <v>78</v>
      </c>
      <c r="C259" s="102"/>
      <c r="D259" s="102"/>
      <c r="E259" s="102"/>
      <c r="F259" s="102"/>
      <c r="G259" s="102"/>
      <c r="H259" s="102"/>
      <c r="I259" s="102"/>
      <c r="J259" s="103"/>
      <c r="K259" s="111"/>
      <c r="L259" s="111"/>
      <c r="M259" s="112" t="str">
        <f t="shared" si="1467"/>
        <v>x</v>
      </c>
      <c r="N259" s="112"/>
      <c r="O259" s="112" t="str">
        <f t="shared" si="1468"/>
        <v>x</v>
      </c>
      <c r="P259" s="112"/>
      <c r="Q259" s="112"/>
      <c r="R259" s="112"/>
      <c r="S259" s="112"/>
      <c r="T259" s="112"/>
      <c r="U259" s="112"/>
      <c r="V259" s="111"/>
      <c r="W259" s="112"/>
      <c r="X259" s="111"/>
      <c r="Y259" s="111"/>
      <c r="Z259" s="111"/>
      <c r="AA259" s="111"/>
      <c r="AB259" s="111"/>
      <c r="AC259" s="112" t="str">
        <f t="shared" si="1357"/>
        <v>x</v>
      </c>
      <c r="AD259" s="111"/>
      <c r="AE259" s="112" t="str">
        <f t="shared" si="1469"/>
        <v>x</v>
      </c>
      <c r="AF259" s="111"/>
      <c r="AG259" s="111"/>
      <c r="AH259" s="111"/>
      <c r="AI259" s="111"/>
      <c r="AJ259" s="111"/>
      <c r="AK259" s="111"/>
      <c r="AL259" s="111"/>
      <c r="AM259" s="111"/>
      <c r="AN259" s="112"/>
      <c r="AO259" s="112"/>
      <c r="AP259" s="112"/>
      <c r="AQ259" s="112"/>
      <c r="AR259" s="112"/>
      <c r="AS259" s="112"/>
      <c r="AT259" s="112"/>
      <c r="AU259" s="113"/>
      <c r="AV259" s="114" t="str">
        <f t="shared" si="1470"/>
        <v>x</v>
      </c>
      <c r="AW259" s="114" t="str">
        <f t="shared" si="1471"/>
        <v>x</v>
      </c>
      <c r="AX259" s="111"/>
      <c r="AY259" s="111"/>
      <c r="AZ259" s="112" t="str">
        <f t="shared" si="1472"/>
        <v>x</v>
      </c>
      <c r="BA259" s="112" t="str">
        <f t="shared" si="1473"/>
        <v>x</v>
      </c>
      <c r="BB259" s="111"/>
      <c r="BC259" s="111"/>
      <c r="BD259" s="111"/>
      <c r="BE259" s="111"/>
      <c r="BF259" s="111"/>
      <c r="BG259" s="112" t="str">
        <f t="shared" si="1474"/>
        <v>x</v>
      </c>
      <c r="BH259" s="112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2" t="str">
        <f t="shared" si="1475"/>
        <v>x</v>
      </c>
      <c r="BS259" s="112"/>
      <c r="BT259" s="111"/>
      <c r="BU259" s="112" t="str">
        <f t="shared" si="1476"/>
        <v>x</v>
      </c>
      <c r="BV259" s="112" t="str">
        <f t="shared" si="1365"/>
        <v>x</v>
      </c>
      <c r="BW259" s="112"/>
      <c r="BX259" s="112"/>
      <c r="BY259" s="112"/>
      <c r="BZ259" s="112" t="str">
        <f t="shared" si="1477"/>
        <v>x</v>
      </c>
      <c r="CA259" s="112" t="str">
        <f t="shared" si="1478"/>
        <v>x</v>
      </c>
      <c r="CB259" s="112" t="str">
        <f t="shared" si="1479"/>
        <v>x</v>
      </c>
      <c r="CC259" s="112"/>
      <c r="CD259" s="112"/>
      <c r="CE259" s="111"/>
      <c r="CF259" s="112" t="str">
        <f t="shared" si="1480"/>
        <v>x</v>
      </c>
      <c r="CG259" s="112" t="str">
        <f t="shared" si="1481"/>
        <v>x</v>
      </c>
      <c r="CH259" s="112" t="str">
        <f t="shared" si="1370"/>
        <v>x</v>
      </c>
      <c r="CI259" s="112" t="str">
        <f t="shared" si="1482"/>
        <v>x</v>
      </c>
      <c r="CJ259" s="112" t="str">
        <f t="shared" si="1483"/>
        <v>x</v>
      </c>
      <c r="CK259" s="112" t="str">
        <f t="shared" si="1484"/>
        <v>x</v>
      </c>
      <c r="CL259" s="112"/>
      <c r="CM259" s="112"/>
      <c r="CN259" s="112"/>
      <c r="CO259" s="112" t="str">
        <f t="shared" si="1485"/>
        <v>x</v>
      </c>
      <c r="CP259" s="112"/>
      <c r="CQ259" s="112" t="str">
        <f t="shared" si="1486"/>
        <v>x</v>
      </c>
      <c r="CR259" s="112"/>
      <c r="CS259" s="112"/>
      <c r="CT259" s="112" t="str">
        <f t="shared" si="1487"/>
        <v>x</v>
      </c>
      <c r="CU259" s="112" t="str">
        <f t="shared" si="1374"/>
        <v>x</v>
      </c>
      <c r="CV259" s="112" t="str">
        <f t="shared" si="1375"/>
        <v>x</v>
      </c>
      <c r="CW259" s="112" t="str">
        <f t="shared" si="1376"/>
        <v>x</v>
      </c>
      <c r="CX259" s="112" t="str">
        <f t="shared" si="1488"/>
        <v>x</v>
      </c>
      <c r="CY259" s="112" t="str">
        <f t="shared" si="1489"/>
        <v>x</v>
      </c>
      <c r="CZ259" s="112"/>
      <c r="DA259" s="112"/>
      <c r="DB259" s="115" t="str">
        <f t="shared" si="1490"/>
        <v>x</v>
      </c>
      <c r="DC259" s="112"/>
      <c r="DD259" s="112"/>
      <c r="DE259" s="112" t="str">
        <f t="shared" si="1491"/>
        <v>x</v>
      </c>
      <c r="DF259" s="115" t="str">
        <f t="shared" si="1492"/>
        <v>x</v>
      </c>
      <c r="DG259" s="112" t="str">
        <f t="shared" si="1493"/>
        <v>x</v>
      </c>
      <c r="DH259" s="112" t="str">
        <f t="shared" si="1494"/>
        <v>x</v>
      </c>
      <c r="DI259" s="112" t="str">
        <f t="shared" si="1382"/>
        <v>x</v>
      </c>
      <c r="DJ259" s="112"/>
      <c r="DK259" s="112"/>
      <c r="DL259" s="112"/>
      <c r="DM259" s="112"/>
      <c r="DN259" s="112"/>
      <c r="DO259" s="111"/>
      <c r="DP259" s="112" t="str">
        <f t="shared" si="1495"/>
        <v>x</v>
      </c>
      <c r="DQ259" s="112" t="str">
        <f t="shared" si="1384"/>
        <v>x</v>
      </c>
      <c r="DR259" s="112" t="str">
        <f t="shared" si="1496"/>
        <v>x</v>
      </c>
      <c r="DS259" s="112" t="str">
        <f t="shared" si="1497"/>
        <v>x</v>
      </c>
      <c r="DT259" s="112"/>
      <c r="DU259" s="112" t="str">
        <f t="shared" si="1385"/>
        <v>x</v>
      </c>
      <c r="DV259" s="111"/>
      <c r="DW259" s="111"/>
      <c r="DX259" s="111"/>
      <c r="DY259" s="112" t="str">
        <f t="shared" si="1386"/>
        <v>x</v>
      </c>
      <c r="DZ259" s="112" t="str">
        <f t="shared" si="1387"/>
        <v>x</v>
      </c>
      <c r="EA259" s="112" t="str">
        <f t="shared" si="1388"/>
        <v>x</v>
      </c>
      <c r="EB259" s="112" t="str">
        <f t="shared" si="1389"/>
        <v>x</v>
      </c>
      <c r="EC259" s="111"/>
      <c r="ED259" s="111"/>
      <c r="EE259" s="111"/>
      <c r="EF259" s="111"/>
      <c r="EG259" s="111"/>
      <c r="EH259" s="111"/>
      <c r="EI259" s="112"/>
      <c r="EJ259" s="112"/>
      <c r="EK259" s="115"/>
      <c r="EL259" s="112" t="str">
        <f t="shared" si="1390"/>
        <v>x</v>
      </c>
      <c r="EM259" s="112" t="str">
        <f t="shared" si="1498"/>
        <v>x</v>
      </c>
      <c r="EN259" s="111"/>
      <c r="EO259" s="117" t="str">
        <f t="shared" si="1499"/>
        <v>x</v>
      </c>
      <c r="EP259" s="117" t="str">
        <f t="shared" si="1500"/>
        <v>x</v>
      </c>
      <c r="EQ259" s="112" t="str">
        <f t="shared" si="1394"/>
        <v>x</v>
      </c>
      <c r="ER259" s="111"/>
      <c r="ES259" s="111"/>
      <c r="ET259" s="111"/>
      <c r="EU259" s="112" t="str">
        <f t="shared" si="1395"/>
        <v>x</v>
      </c>
      <c r="EV259" s="112" t="str">
        <f t="shared" si="1396"/>
        <v>x</v>
      </c>
      <c r="EW259" s="112" t="str">
        <f t="shared" si="1397"/>
        <v>x</v>
      </c>
      <c r="EX259" s="112" t="str">
        <f t="shared" si="1501"/>
        <v>x</v>
      </c>
      <c r="EY259" s="112" t="str">
        <f t="shared" si="1399"/>
        <v>x</v>
      </c>
      <c r="EZ259" s="112"/>
      <c r="FA259" s="116"/>
      <c r="FB259" s="111"/>
      <c r="FC259" s="112" t="str">
        <f t="shared" si="1502"/>
        <v>x</v>
      </c>
      <c r="FD259" s="112" t="str">
        <f t="shared" si="1503"/>
        <v>x</v>
      </c>
      <c r="FE259" s="112" t="str">
        <f t="shared" si="1504"/>
        <v>x</v>
      </c>
      <c r="FF259" s="111"/>
      <c r="FG259" s="111"/>
      <c r="FH259" s="111"/>
      <c r="FI259" s="112"/>
      <c r="FJ259" s="112" t="str">
        <f t="shared" si="1505"/>
        <v>x</v>
      </c>
      <c r="FK259" s="112" t="str">
        <f t="shared" si="1506"/>
        <v>x</v>
      </c>
      <c r="FL259" s="112"/>
      <c r="FM259" s="112" t="str">
        <f t="shared" si="1405"/>
        <v>x</v>
      </c>
      <c r="FN259" s="112"/>
      <c r="FO259" s="112" t="str">
        <f t="shared" si="1406"/>
        <v>x</v>
      </c>
      <c r="FP259" s="112"/>
      <c r="FQ259" s="112" t="str">
        <f t="shared" si="1407"/>
        <v>x</v>
      </c>
      <c r="FR259" s="112" t="str">
        <f t="shared" si="1408"/>
        <v>x</v>
      </c>
      <c r="FS259" s="112" t="str">
        <f t="shared" si="1409"/>
        <v>x</v>
      </c>
      <c r="FT259" s="112" t="str">
        <f t="shared" si="1410"/>
        <v>x</v>
      </c>
      <c r="FU259" s="112" t="str">
        <f t="shared" si="1411"/>
        <v>x</v>
      </c>
      <c r="FV259" s="112" t="str">
        <f t="shared" si="1412"/>
        <v>x</v>
      </c>
      <c r="FW259" s="112" t="str">
        <f t="shared" si="1413"/>
        <v>x</v>
      </c>
      <c r="FX259" s="112"/>
      <c r="FY259" s="112" t="str">
        <f t="shared" si="1414"/>
        <v>x</v>
      </c>
      <c r="FZ259" s="112"/>
      <c r="GA259" s="112"/>
      <c r="GB259" s="112" t="str">
        <f t="shared" si="1415"/>
        <v>x</v>
      </c>
      <c r="GC259" s="115" t="str">
        <f t="shared" si="1507"/>
        <v>x</v>
      </c>
      <c r="GD259" s="112" t="str">
        <f t="shared" si="1417"/>
        <v>x</v>
      </c>
      <c r="GE259" s="112"/>
      <c r="GF259" s="112" t="str">
        <f t="shared" si="1418"/>
        <v>x</v>
      </c>
      <c r="GG259" s="112"/>
      <c r="GH259" s="112" t="str">
        <f t="shared" si="1508"/>
        <v>x</v>
      </c>
      <c r="GI259" s="112" t="str">
        <f t="shared" si="1509"/>
        <v>x</v>
      </c>
      <c r="GJ259" s="111"/>
      <c r="GK259" s="111"/>
      <c r="GL259" s="112" t="str">
        <f t="shared" si="1421"/>
        <v>x</v>
      </c>
      <c r="GM259" s="112" t="str">
        <f t="shared" si="1422"/>
        <v>x</v>
      </c>
      <c r="GN259" s="112"/>
      <c r="GO259" s="112" t="str">
        <f t="shared" si="1423"/>
        <v>x</v>
      </c>
      <c r="GP259" s="112"/>
      <c r="GQ259" s="111"/>
      <c r="GR259" s="111"/>
      <c r="GS259" s="115" t="str">
        <f t="shared" si="1424"/>
        <v>x</v>
      </c>
      <c r="GT259" s="112" t="str">
        <f t="shared" si="1425"/>
        <v>x</v>
      </c>
      <c r="GU259" s="112"/>
      <c r="GV259" s="112" t="str">
        <f t="shared" si="1426"/>
        <v>x</v>
      </c>
      <c r="GW259" s="112" t="str">
        <f t="shared" si="1427"/>
        <v>x</v>
      </c>
      <c r="GX259" s="112" t="str">
        <f t="shared" si="1428"/>
        <v>x</v>
      </c>
      <c r="GY259" s="112" t="str">
        <f t="shared" si="1429"/>
        <v>x</v>
      </c>
      <c r="GZ259" s="112" t="str">
        <f t="shared" si="1430"/>
        <v>x</v>
      </c>
      <c r="HA259" s="112"/>
      <c r="HB259" s="112" t="str">
        <f t="shared" si="1510"/>
        <v>x</v>
      </c>
      <c r="HC259" s="112" t="str">
        <f t="shared" si="1431"/>
        <v>x</v>
      </c>
      <c r="HD259" s="112" t="str">
        <f t="shared" si="1432"/>
        <v>x</v>
      </c>
      <c r="HE259" s="112" t="str">
        <f t="shared" si="1433"/>
        <v>x</v>
      </c>
      <c r="HF259" s="112" t="str">
        <f t="shared" si="1434"/>
        <v>x</v>
      </c>
      <c r="HG259" s="112"/>
      <c r="HH259" s="112" t="str">
        <f t="shared" si="1511"/>
        <v>x</v>
      </c>
      <c r="HI259" s="112" t="str">
        <f t="shared" si="1512"/>
        <v>x</v>
      </c>
      <c r="HJ259" s="112" t="str">
        <f t="shared" si="1435"/>
        <v>x</v>
      </c>
      <c r="HK259" s="115" t="str">
        <f t="shared" si="1513"/>
        <v>x</v>
      </c>
      <c r="HL259" s="115" t="str">
        <f t="shared" si="1437"/>
        <v>x</v>
      </c>
      <c r="HM259" s="115" t="str">
        <f t="shared" si="1438"/>
        <v>x</v>
      </c>
      <c r="HN259" s="115" t="str">
        <f t="shared" si="1439"/>
        <v>x</v>
      </c>
      <c r="HO259" s="115" t="str">
        <f t="shared" si="1440"/>
        <v>x</v>
      </c>
      <c r="HP259" s="115" t="str">
        <f t="shared" si="1441"/>
        <v>x</v>
      </c>
      <c r="HQ259" s="115" t="str">
        <f t="shared" si="1442"/>
        <v>x</v>
      </c>
      <c r="HR259" s="115" t="str">
        <f t="shared" si="1443"/>
        <v>x</v>
      </c>
      <c r="HS259" s="115"/>
      <c r="HT259" s="115" t="str">
        <f t="shared" si="1444"/>
        <v>x</v>
      </c>
      <c r="HU259" s="115" t="str">
        <f t="shared" si="1445"/>
        <v>x</v>
      </c>
      <c r="HV259" s="115" t="str">
        <f t="shared" si="1446"/>
        <v>x</v>
      </c>
      <c r="HW259" s="115" t="str">
        <f t="shared" si="1514"/>
        <v>x</v>
      </c>
      <c r="HX259" s="112" t="str">
        <f t="shared" si="1515"/>
        <v>x</v>
      </c>
      <c r="HY259" s="112" t="str">
        <f t="shared" si="1516"/>
        <v>x</v>
      </c>
      <c r="HZ259" s="115"/>
      <c r="IA259" s="115"/>
      <c r="IB259" s="115"/>
      <c r="IC259" s="115"/>
      <c r="ID259" s="115" t="str">
        <f t="shared" si="1449"/>
        <v>x</v>
      </c>
      <c r="IE259" s="115"/>
      <c r="IF259" s="115"/>
      <c r="IG259" s="112" t="str">
        <f t="shared" si="1517"/>
        <v>x</v>
      </c>
      <c r="IH259" s="115" t="str">
        <f t="shared" si="1451"/>
        <v>x</v>
      </c>
      <c r="II259" s="115" t="str">
        <f t="shared" si="1452"/>
        <v>x</v>
      </c>
      <c r="IJ259" s="112" t="str">
        <f t="shared" si="1453"/>
        <v>x</v>
      </c>
      <c r="IK259" s="111"/>
      <c r="IL259" s="111"/>
      <c r="IM259" s="112" t="str">
        <f t="shared" si="1454"/>
        <v>x</v>
      </c>
      <c r="IN259" s="112"/>
      <c r="IO259" s="111"/>
      <c r="IP259" s="112" t="str">
        <f t="shared" si="1455"/>
        <v>x</v>
      </c>
      <c r="IQ259" s="112"/>
      <c r="IR259" s="111"/>
      <c r="IS259" s="111"/>
      <c r="IT259" s="111"/>
      <c r="IU259" s="112" t="str">
        <f t="shared" si="1456"/>
        <v>x</v>
      </c>
      <c r="IV259" s="112"/>
      <c r="IW259" s="112" t="str">
        <f t="shared" si="1457"/>
        <v>x</v>
      </c>
      <c r="IX259" s="112" t="str">
        <f t="shared" si="1458"/>
        <v>x</v>
      </c>
      <c r="IY259" s="111"/>
      <c r="IZ259" s="111"/>
      <c r="JA259" s="111"/>
      <c r="JB259" s="112"/>
      <c r="JC259" s="111"/>
      <c r="JD259" s="112"/>
      <c r="JE259" s="112"/>
      <c r="JF259" s="112" t="str">
        <f t="shared" si="1459"/>
        <v>x</v>
      </c>
      <c r="JG259" s="112"/>
      <c r="JH259" s="111"/>
      <c r="JI259" s="112"/>
      <c r="JJ259" s="112"/>
      <c r="JK259" s="112"/>
      <c r="JL259" s="112" t="str">
        <f t="shared" si="1460"/>
        <v>x</v>
      </c>
      <c r="JM259" s="112"/>
      <c r="JN259" s="112"/>
      <c r="JO259" s="112"/>
      <c r="JP259" s="112"/>
      <c r="JQ259" s="112" t="str">
        <f t="shared" si="1461"/>
        <v>x</v>
      </c>
      <c r="JR259" s="112"/>
      <c r="JS259" s="111"/>
      <c r="JT259" s="111"/>
      <c r="JU259" s="111"/>
      <c r="JV259" s="112"/>
      <c r="JW259" s="112"/>
      <c r="JX259" s="112"/>
      <c r="JY259" s="112"/>
      <c r="JZ259" s="112"/>
      <c r="KA259" s="112" t="str">
        <f t="shared" si="1518"/>
        <v>x</v>
      </c>
      <c r="KB259" s="112" t="str">
        <f t="shared" si="1463"/>
        <v>x</v>
      </c>
      <c r="KC259" s="112" t="str">
        <f t="shared" si="1464"/>
        <v>x</v>
      </c>
      <c r="KD259" s="112"/>
      <c r="KE259" s="111"/>
      <c r="KF259" s="112"/>
      <c r="KG259" s="112"/>
      <c r="KH259" s="112"/>
      <c r="KI259" s="112"/>
      <c r="KJ259" s="112"/>
      <c r="KK259" s="112"/>
      <c r="KL259" s="112"/>
      <c r="KM259" s="112"/>
      <c r="KN259" s="112"/>
      <c r="KO259" s="112"/>
      <c r="KP259" s="112"/>
      <c r="KQ259" s="112"/>
      <c r="KR259" s="112"/>
      <c r="KS259" s="112"/>
      <c r="KT259" s="112"/>
      <c r="KU259" s="112"/>
      <c r="KV259" s="112"/>
      <c r="KW259" s="112"/>
      <c r="KX259" s="112"/>
      <c r="KY259" s="112"/>
      <c r="KZ259" s="112"/>
      <c r="LA259" s="112"/>
      <c r="LB259" s="111"/>
      <c r="LC259" s="111"/>
      <c r="LD259" s="111"/>
      <c r="LE259" s="111"/>
      <c r="LF259" s="111"/>
      <c r="LG259" s="111"/>
      <c r="LH259" s="111"/>
      <c r="LI259" s="111"/>
      <c r="LJ259" s="111"/>
      <c r="LK259" s="111"/>
      <c r="LL259" s="111"/>
      <c r="LM259" s="111"/>
      <c r="LN259" s="111"/>
      <c r="LO259" s="111"/>
      <c r="LP259" s="111"/>
      <c r="LQ259" s="111"/>
      <c r="LR259" s="111"/>
      <c r="LS259" s="111"/>
      <c r="LT259" s="111"/>
      <c r="LU259" s="111"/>
      <c r="LV259" s="111"/>
      <c r="LW259" s="111"/>
      <c r="LX259" s="111"/>
      <c r="LY259" s="111"/>
      <c r="LZ259" s="111"/>
      <c r="MA259" s="111"/>
      <c r="MB259" s="111"/>
      <c r="MC259" s="112" t="str">
        <f t="shared" si="1465"/>
        <v>x</v>
      </c>
      <c r="MD259" s="111"/>
      <c r="ME259" s="111"/>
      <c r="MF259" s="111"/>
      <c r="MG259" s="111"/>
      <c r="MH259" s="112" t="str">
        <f t="shared" si="1466"/>
        <v>x</v>
      </c>
    </row>
    <row r="260" spans="1:346" x14ac:dyDescent="0.25">
      <c r="A260" s="110" t="s">
        <v>11</v>
      </c>
      <c r="B260" s="101" t="s">
        <v>58</v>
      </c>
      <c r="C260" s="102"/>
      <c r="D260" s="102"/>
      <c r="E260" s="102"/>
      <c r="F260" s="102"/>
      <c r="G260" s="102"/>
      <c r="H260" s="102"/>
      <c r="I260" s="102"/>
      <c r="J260" s="103"/>
      <c r="K260" s="111"/>
      <c r="L260" s="111"/>
      <c r="M260" s="112" t="str">
        <f t="shared" si="1467"/>
        <v>x</v>
      </c>
      <c r="N260" s="112"/>
      <c r="O260" s="112" t="str">
        <f t="shared" si="1468"/>
        <v>x</v>
      </c>
      <c r="P260" s="112"/>
      <c r="Q260" s="112"/>
      <c r="R260" s="112"/>
      <c r="S260" s="112"/>
      <c r="T260" s="112"/>
      <c r="U260" s="112"/>
      <c r="V260" s="111"/>
      <c r="W260" s="112"/>
      <c r="X260" s="111"/>
      <c r="Y260" s="111"/>
      <c r="Z260" s="111"/>
      <c r="AA260" s="111"/>
      <c r="AB260" s="111"/>
      <c r="AC260" s="112" t="str">
        <f t="shared" si="1357"/>
        <v>x</v>
      </c>
      <c r="AD260" s="111"/>
      <c r="AE260" s="112" t="str">
        <f t="shared" si="1469"/>
        <v>x</v>
      </c>
      <c r="AF260" s="111"/>
      <c r="AG260" s="111"/>
      <c r="AH260" s="111"/>
      <c r="AI260" s="111"/>
      <c r="AJ260" s="111"/>
      <c r="AK260" s="111"/>
      <c r="AL260" s="111"/>
      <c r="AM260" s="111"/>
      <c r="AN260" s="112"/>
      <c r="AO260" s="112"/>
      <c r="AP260" s="112"/>
      <c r="AQ260" s="112"/>
      <c r="AR260" s="112"/>
      <c r="AS260" s="112"/>
      <c r="AT260" s="112"/>
      <c r="AU260" s="113"/>
      <c r="AV260" s="114" t="str">
        <f t="shared" si="1470"/>
        <v>x</v>
      </c>
      <c r="AW260" s="114" t="str">
        <f t="shared" si="1471"/>
        <v>x</v>
      </c>
      <c r="AX260" s="111"/>
      <c r="AY260" s="111"/>
      <c r="AZ260" s="112" t="str">
        <f t="shared" si="1472"/>
        <v>x</v>
      </c>
      <c r="BA260" s="112" t="str">
        <f t="shared" si="1473"/>
        <v>x</v>
      </c>
      <c r="BB260" s="111"/>
      <c r="BC260" s="111"/>
      <c r="BD260" s="111"/>
      <c r="BE260" s="111"/>
      <c r="BF260" s="111"/>
      <c r="BG260" s="112" t="str">
        <f t="shared" si="1474"/>
        <v>x</v>
      </c>
      <c r="BH260" s="112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2" t="str">
        <f t="shared" si="1475"/>
        <v>x</v>
      </c>
      <c r="BS260" s="112"/>
      <c r="BT260" s="111"/>
      <c r="BU260" s="112" t="str">
        <f t="shared" si="1476"/>
        <v>x</v>
      </c>
      <c r="BV260" s="112" t="str">
        <f t="shared" si="1365"/>
        <v>x</v>
      </c>
      <c r="BW260" s="112"/>
      <c r="BX260" s="112"/>
      <c r="BY260" s="112"/>
      <c r="BZ260" s="112" t="str">
        <f t="shared" si="1477"/>
        <v>x</v>
      </c>
      <c r="CA260" s="112" t="str">
        <f t="shared" si="1478"/>
        <v>x</v>
      </c>
      <c r="CB260" s="112" t="str">
        <f t="shared" si="1479"/>
        <v>x</v>
      </c>
      <c r="CC260" s="112"/>
      <c r="CD260" s="112"/>
      <c r="CE260" s="111"/>
      <c r="CF260" s="112" t="str">
        <f t="shared" si="1480"/>
        <v>x</v>
      </c>
      <c r="CG260" s="112" t="str">
        <f t="shared" si="1481"/>
        <v>x</v>
      </c>
      <c r="CH260" s="112" t="str">
        <f t="shared" si="1370"/>
        <v>x</v>
      </c>
      <c r="CI260" s="112" t="str">
        <f t="shared" si="1482"/>
        <v>x</v>
      </c>
      <c r="CJ260" s="112" t="str">
        <f t="shared" si="1483"/>
        <v>x</v>
      </c>
      <c r="CK260" s="112" t="str">
        <f t="shared" si="1484"/>
        <v>x</v>
      </c>
      <c r="CL260" s="112"/>
      <c r="CM260" s="112"/>
      <c r="CN260" s="112"/>
      <c r="CO260" s="112" t="str">
        <f t="shared" si="1485"/>
        <v>x</v>
      </c>
      <c r="CP260" s="112"/>
      <c r="CQ260" s="112" t="str">
        <f t="shared" si="1486"/>
        <v>x</v>
      </c>
      <c r="CR260" s="112"/>
      <c r="CS260" s="112"/>
      <c r="CT260" s="112" t="str">
        <f t="shared" si="1487"/>
        <v>x</v>
      </c>
      <c r="CU260" s="112" t="str">
        <f t="shared" si="1374"/>
        <v>x</v>
      </c>
      <c r="CV260" s="112" t="str">
        <f t="shared" si="1375"/>
        <v>x</v>
      </c>
      <c r="CW260" s="112" t="str">
        <f t="shared" si="1376"/>
        <v>x</v>
      </c>
      <c r="CX260" s="112" t="str">
        <f t="shared" si="1488"/>
        <v>x</v>
      </c>
      <c r="CY260" s="112" t="str">
        <f t="shared" si="1489"/>
        <v>x</v>
      </c>
      <c r="CZ260" s="112"/>
      <c r="DA260" s="112"/>
      <c r="DB260" s="115" t="str">
        <f t="shared" si="1490"/>
        <v>x</v>
      </c>
      <c r="DC260" s="112"/>
      <c r="DD260" s="112"/>
      <c r="DE260" s="112" t="str">
        <f t="shared" si="1491"/>
        <v>x</v>
      </c>
      <c r="DF260" s="115" t="str">
        <f t="shared" si="1492"/>
        <v>x</v>
      </c>
      <c r="DG260" s="112" t="str">
        <f t="shared" si="1493"/>
        <v>x</v>
      </c>
      <c r="DH260" s="112" t="str">
        <f t="shared" si="1494"/>
        <v>x</v>
      </c>
      <c r="DI260" s="112" t="str">
        <f t="shared" si="1382"/>
        <v>x</v>
      </c>
      <c r="DJ260" s="112"/>
      <c r="DK260" s="112"/>
      <c r="DL260" s="112"/>
      <c r="DM260" s="112"/>
      <c r="DN260" s="112"/>
      <c r="DO260" s="111"/>
      <c r="DP260" s="112" t="str">
        <f t="shared" si="1495"/>
        <v>x</v>
      </c>
      <c r="DQ260" s="112" t="str">
        <f t="shared" si="1384"/>
        <v>x</v>
      </c>
      <c r="DR260" s="112" t="str">
        <f t="shared" si="1496"/>
        <v>x</v>
      </c>
      <c r="DS260" s="112" t="str">
        <f t="shared" si="1497"/>
        <v>x</v>
      </c>
      <c r="DT260" s="112"/>
      <c r="DU260" s="112" t="str">
        <f t="shared" si="1385"/>
        <v>x</v>
      </c>
      <c r="DV260" s="111"/>
      <c r="DW260" s="111"/>
      <c r="DX260" s="111"/>
      <c r="DY260" s="112" t="str">
        <f t="shared" si="1386"/>
        <v>x</v>
      </c>
      <c r="DZ260" s="112" t="str">
        <f t="shared" si="1387"/>
        <v>x</v>
      </c>
      <c r="EA260" s="112" t="str">
        <f t="shared" si="1388"/>
        <v>x</v>
      </c>
      <c r="EB260" s="112" t="str">
        <f t="shared" si="1389"/>
        <v>x</v>
      </c>
      <c r="EC260" s="111"/>
      <c r="ED260" s="111"/>
      <c r="EE260" s="111"/>
      <c r="EF260" s="111"/>
      <c r="EG260" s="111"/>
      <c r="EH260" s="111"/>
      <c r="EI260" s="112"/>
      <c r="EJ260" s="112"/>
      <c r="EK260" s="115"/>
      <c r="EL260" s="112" t="str">
        <f t="shared" si="1390"/>
        <v>x</v>
      </c>
      <c r="EM260" s="112" t="str">
        <f t="shared" si="1498"/>
        <v>x</v>
      </c>
      <c r="EN260" s="111"/>
      <c r="EO260" s="117" t="str">
        <f t="shared" si="1499"/>
        <v>x</v>
      </c>
      <c r="EP260" s="117" t="str">
        <f t="shared" si="1500"/>
        <v>x</v>
      </c>
      <c r="EQ260" s="112" t="str">
        <f t="shared" si="1394"/>
        <v>x</v>
      </c>
      <c r="ER260" s="111"/>
      <c r="ES260" s="111"/>
      <c r="ET260" s="111"/>
      <c r="EU260" s="112" t="str">
        <f t="shared" si="1395"/>
        <v>x</v>
      </c>
      <c r="EV260" s="112" t="str">
        <f t="shared" si="1396"/>
        <v>x</v>
      </c>
      <c r="EW260" s="112" t="str">
        <f t="shared" si="1397"/>
        <v>x</v>
      </c>
      <c r="EX260" s="112" t="str">
        <f t="shared" si="1501"/>
        <v>x</v>
      </c>
      <c r="EY260" s="112" t="str">
        <f t="shared" si="1399"/>
        <v>x</v>
      </c>
      <c r="EZ260" s="112"/>
      <c r="FA260" s="116"/>
      <c r="FB260" s="111"/>
      <c r="FC260" s="112" t="str">
        <f t="shared" si="1502"/>
        <v>x</v>
      </c>
      <c r="FD260" s="112" t="str">
        <f t="shared" si="1503"/>
        <v>x</v>
      </c>
      <c r="FE260" s="112" t="str">
        <f t="shared" si="1504"/>
        <v>x</v>
      </c>
      <c r="FF260" s="111"/>
      <c r="FG260" s="111"/>
      <c r="FH260" s="111"/>
      <c r="FI260" s="112"/>
      <c r="FJ260" s="112" t="str">
        <f t="shared" si="1505"/>
        <v>x</v>
      </c>
      <c r="FK260" s="112" t="str">
        <f t="shared" si="1506"/>
        <v>x</v>
      </c>
      <c r="FL260" s="112"/>
      <c r="FM260" s="112" t="str">
        <f t="shared" si="1405"/>
        <v>x</v>
      </c>
      <c r="FN260" s="112"/>
      <c r="FO260" s="112" t="str">
        <f t="shared" si="1406"/>
        <v>x</v>
      </c>
      <c r="FP260" s="112"/>
      <c r="FQ260" s="112" t="str">
        <f t="shared" si="1407"/>
        <v>x</v>
      </c>
      <c r="FR260" s="112" t="str">
        <f t="shared" si="1408"/>
        <v>x</v>
      </c>
      <c r="FS260" s="112" t="str">
        <f t="shared" si="1409"/>
        <v>x</v>
      </c>
      <c r="FT260" s="112" t="str">
        <f t="shared" si="1410"/>
        <v>x</v>
      </c>
      <c r="FU260" s="112" t="str">
        <f t="shared" si="1411"/>
        <v>x</v>
      </c>
      <c r="FV260" s="112" t="str">
        <f t="shared" si="1412"/>
        <v>x</v>
      </c>
      <c r="FW260" s="112" t="str">
        <f t="shared" si="1413"/>
        <v>x</v>
      </c>
      <c r="FX260" s="112"/>
      <c r="FY260" s="112" t="str">
        <f t="shared" si="1414"/>
        <v>x</v>
      </c>
      <c r="FZ260" s="112"/>
      <c r="GA260" s="112"/>
      <c r="GB260" s="112" t="str">
        <f t="shared" si="1415"/>
        <v>x</v>
      </c>
      <c r="GC260" s="115" t="str">
        <f t="shared" si="1507"/>
        <v>x</v>
      </c>
      <c r="GD260" s="112" t="str">
        <f t="shared" si="1417"/>
        <v>x</v>
      </c>
      <c r="GE260" s="112"/>
      <c r="GF260" s="112" t="str">
        <f t="shared" si="1418"/>
        <v>x</v>
      </c>
      <c r="GG260" s="112"/>
      <c r="GH260" s="112" t="str">
        <f t="shared" si="1508"/>
        <v>x</v>
      </c>
      <c r="GI260" s="112" t="str">
        <f t="shared" si="1509"/>
        <v>x</v>
      </c>
      <c r="GJ260" s="111"/>
      <c r="GK260" s="111"/>
      <c r="GL260" s="112" t="str">
        <f t="shared" si="1421"/>
        <v>x</v>
      </c>
      <c r="GM260" s="112" t="str">
        <f t="shared" si="1422"/>
        <v>x</v>
      </c>
      <c r="GN260" s="112"/>
      <c r="GO260" s="112" t="str">
        <f t="shared" si="1423"/>
        <v>x</v>
      </c>
      <c r="GP260" s="112"/>
      <c r="GQ260" s="111"/>
      <c r="GR260" s="111"/>
      <c r="GS260" s="115" t="str">
        <f t="shared" si="1424"/>
        <v>x</v>
      </c>
      <c r="GT260" s="112" t="str">
        <f t="shared" si="1425"/>
        <v>x</v>
      </c>
      <c r="GU260" s="112"/>
      <c r="GV260" s="112" t="str">
        <f t="shared" si="1426"/>
        <v>x</v>
      </c>
      <c r="GW260" s="112" t="str">
        <f t="shared" si="1427"/>
        <v>x</v>
      </c>
      <c r="GX260" s="112" t="str">
        <f t="shared" si="1428"/>
        <v>x</v>
      </c>
      <c r="GY260" s="112" t="str">
        <f t="shared" si="1429"/>
        <v>x</v>
      </c>
      <c r="GZ260" s="112" t="str">
        <f t="shared" si="1430"/>
        <v>x</v>
      </c>
      <c r="HA260" s="112"/>
      <c r="HB260" s="112" t="str">
        <f t="shared" si="1510"/>
        <v>x</v>
      </c>
      <c r="HC260" s="112" t="str">
        <f t="shared" si="1431"/>
        <v>x</v>
      </c>
      <c r="HD260" s="112" t="str">
        <f t="shared" si="1432"/>
        <v>x</v>
      </c>
      <c r="HE260" s="112" t="str">
        <f t="shared" si="1433"/>
        <v>x</v>
      </c>
      <c r="HF260" s="112" t="str">
        <f t="shared" si="1434"/>
        <v>x</v>
      </c>
      <c r="HG260" s="112"/>
      <c r="HH260" s="112" t="str">
        <f t="shared" si="1511"/>
        <v>x</v>
      </c>
      <c r="HI260" s="112" t="str">
        <f t="shared" si="1512"/>
        <v>x</v>
      </c>
      <c r="HJ260" s="112" t="str">
        <f t="shared" si="1435"/>
        <v>x</v>
      </c>
      <c r="HK260" s="115" t="str">
        <f t="shared" si="1513"/>
        <v>x</v>
      </c>
      <c r="HL260" s="115" t="str">
        <f t="shared" si="1437"/>
        <v>x</v>
      </c>
      <c r="HM260" s="115" t="str">
        <f t="shared" si="1438"/>
        <v>x</v>
      </c>
      <c r="HN260" s="115" t="str">
        <f t="shared" si="1439"/>
        <v>x</v>
      </c>
      <c r="HO260" s="115" t="str">
        <f t="shared" si="1440"/>
        <v>x</v>
      </c>
      <c r="HP260" s="115" t="str">
        <f t="shared" si="1441"/>
        <v>x</v>
      </c>
      <c r="HQ260" s="115" t="str">
        <f t="shared" si="1442"/>
        <v>x</v>
      </c>
      <c r="HR260" s="115" t="str">
        <f t="shared" si="1443"/>
        <v>x</v>
      </c>
      <c r="HS260" s="115"/>
      <c r="HT260" s="115" t="str">
        <f t="shared" si="1444"/>
        <v>x</v>
      </c>
      <c r="HU260" s="115" t="str">
        <f t="shared" si="1445"/>
        <v>x</v>
      </c>
      <c r="HV260" s="115" t="str">
        <f t="shared" si="1446"/>
        <v>x</v>
      </c>
      <c r="HW260" s="115" t="str">
        <f t="shared" si="1514"/>
        <v>x</v>
      </c>
      <c r="HX260" s="112" t="str">
        <f t="shared" si="1515"/>
        <v>x</v>
      </c>
      <c r="HY260" s="112" t="str">
        <f t="shared" si="1516"/>
        <v>x</v>
      </c>
      <c r="HZ260" s="115"/>
      <c r="IA260" s="115"/>
      <c r="IB260" s="115"/>
      <c r="IC260" s="115"/>
      <c r="ID260" s="115" t="str">
        <f t="shared" si="1449"/>
        <v>x</v>
      </c>
      <c r="IE260" s="115"/>
      <c r="IF260" s="115"/>
      <c r="IG260" s="112" t="str">
        <f t="shared" si="1517"/>
        <v>x</v>
      </c>
      <c r="IH260" s="115" t="str">
        <f t="shared" si="1451"/>
        <v>x</v>
      </c>
      <c r="II260" s="115" t="str">
        <f t="shared" si="1452"/>
        <v>x</v>
      </c>
      <c r="IJ260" s="112" t="str">
        <f t="shared" si="1453"/>
        <v>x</v>
      </c>
      <c r="IK260" s="111"/>
      <c r="IL260" s="111"/>
      <c r="IM260" s="112" t="str">
        <f t="shared" si="1454"/>
        <v>x</v>
      </c>
      <c r="IN260" s="112"/>
      <c r="IO260" s="111"/>
      <c r="IP260" s="112" t="str">
        <f t="shared" si="1455"/>
        <v>x</v>
      </c>
      <c r="IQ260" s="112"/>
      <c r="IR260" s="111"/>
      <c r="IS260" s="111"/>
      <c r="IT260" s="111"/>
      <c r="IU260" s="112" t="str">
        <f t="shared" si="1456"/>
        <v>x</v>
      </c>
      <c r="IV260" s="112"/>
      <c r="IW260" s="112" t="str">
        <f t="shared" si="1457"/>
        <v>x</v>
      </c>
      <c r="IX260" s="112" t="str">
        <f t="shared" si="1458"/>
        <v>x</v>
      </c>
      <c r="IY260" s="111"/>
      <c r="IZ260" s="111"/>
      <c r="JA260" s="111"/>
      <c r="JB260" s="112"/>
      <c r="JC260" s="111"/>
      <c r="JD260" s="112"/>
      <c r="JE260" s="112"/>
      <c r="JF260" s="112" t="str">
        <f t="shared" si="1459"/>
        <v>x</v>
      </c>
      <c r="JG260" s="112"/>
      <c r="JH260" s="111"/>
      <c r="JI260" s="112"/>
      <c r="JJ260" s="112"/>
      <c r="JK260" s="112"/>
      <c r="JL260" s="112" t="str">
        <f t="shared" si="1460"/>
        <v>x</v>
      </c>
      <c r="JM260" s="112"/>
      <c r="JN260" s="112"/>
      <c r="JO260" s="112"/>
      <c r="JP260" s="112"/>
      <c r="JQ260" s="112" t="str">
        <f t="shared" si="1461"/>
        <v>x</v>
      </c>
      <c r="JR260" s="112"/>
      <c r="JS260" s="111"/>
      <c r="JT260" s="111"/>
      <c r="JU260" s="111"/>
      <c r="JV260" s="112"/>
      <c r="JW260" s="112"/>
      <c r="JX260" s="112"/>
      <c r="JY260" s="112"/>
      <c r="JZ260" s="112"/>
      <c r="KA260" s="112" t="str">
        <f t="shared" si="1518"/>
        <v>x</v>
      </c>
      <c r="KB260" s="112" t="str">
        <f t="shared" si="1463"/>
        <v>x</v>
      </c>
      <c r="KC260" s="112" t="str">
        <f t="shared" si="1464"/>
        <v>x</v>
      </c>
      <c r="KD260" s="112"/>
      <c r="KE260" s="111"/>
      <c r="KF260" s="112"/>
      <c r="KG260" s="112"/>
      <c r="KH260" s="112"/>
      <c r="KI260" s="112"/>
      <c r="KJ260" s="112"/>
      <c r="KK260" s="112"/>
      <c r="KL260" s="112"/>
      <c r="KM260" s="112"/>
      <c r="KN260" s="112"/>
      <c r="KO260" s="112"/>
      <c r="KP260" s="112"/>
      <c r="KQ260" s="112"/>
      <c r="KR260" s="112"/>
      <c r="KS260" s="112"/>
      <c r="KT260" s="112"/>
      <c r="KU260" s="112"/>
      <c r="KV260" s="112"/>
      <c r="KW260" s="112"/>
      <c r="KX260" s="112"/>
      <c r="KY260" s="112"/>
      <c r="KZ260" s="112"/>
      <c r="LA260" s="112"/>
      <c r="LB260" s="111"/>
      <c r="LC260" s="111"/>
      <c r="LD260" s="111"/>
      <c r="LE260" s="111"/>
      <c r="LF260" s="111"/>
      <c r="LG260" s="111"/>
      <c r="LH260" s="111"/>
      <c r="LI260" s="111"/>
      <c r="LJ260" s="111"/>
      <c r="LK260" s="111"/>
      <c r="LL260" s="111"/>
      <c r="LM260" s="111"/>
      <c r="LN260" s="111"/>
      <c r="LO260" s="111"/>
      <c r="LP260" s="111"/>
      <c r="LQ260" s="111"/>
      <c r="LR260" s="111"/>
      <c r="LS260" s="111"/>
      <c r="LT260" s="111"/>
      <c r="LU260" s="111"/>
      <c r="LV260" s="111"/>
      <c r="LW260" s="111"/>
      <c r="LX260" s="111"/>
      <c r="LY260" s="111"/>
      <c r="LZ260" s="111"/>
      <c r="MA260" s="111"/>
      <c r="MB260" s="111"/>
      <c r="MC260" s="112" t="str">
        <f t="shared" si="1465"/>
        <v>x</v>
      </c>
      <c r="MD260" s="111"/>
      <c r="ME260" s="111"/>
      <c r="MF260" s="111"/>
      <c r="MG260" s="111"/>
      <c r="MH260" s="112" t="str">
        <f t="shared" si="1466"/>
        <v>x</v>
      </c>
    </row>
    <row r="261" spans="1:346" x14ac:dyDescent="0.25">
      <c r="A261" s="110" t="s">
        <v>11</v>
      </c>
      <c r="B261" s="101" t="s">
        <v>397</v>
      </c>
      <c r="C261" s="102"/>
      <c r="D261" s="102"/>
      <c r="E261" s="102"/>
      <c r="F261" s="102"/>
      <c r="G261" s="102"/>
      <c r="H261" s="102"/>
      <c r="I261" s="102"/>
      <c r="J261" s="103"/>
      <c r="K261" s="111"/>
      <c r="L261" s="111"/>
      <c r="M261" s="112" t="str">
        <f t="shared" si="1467"/>
        <v>x</v>
      </c>
      <c r="N261" s="112"/>
      <c r="O261" s="112" t="str">
        <f t="shared" si="1468"/>
        <v>x</v>
      </c>
      <c r="P261" s="112"/>
      <c r="Q261" s="112"/>
      <c r="R261" s="112"/>
      <c r="S261" s="112"/>
      <c r="T261" s="112"/>
      <c r="U261" s="112"/>
      <c r="V261" s="111"/>
      <c r="W261" s="112"/>
      <c r="X261" s="111"/>
      <c r="Y261" s="111"/>
      <c r="Z261" s="111"/>
      <c r="AA261" s="111"/>
      <c r="AB261" s="111"/>
      <c r="AC261" s="112" t="str">
        <f t="shared" si="1357"/>
        <v>x</v>
      </c>
      <c r="AD261" s="111"/>
      <c r="AE261" s="112" t="str">
        <f t="shared" si="1469"/>
        <v>x</v>
      </c>
      <c r="AF261" s="111"/>
      <c r="AG261" s="111"/>
      <c r="AH261" s="111"/>
      <c r="AI261" s="111"/>
      <c r="AJ261" s="111"/>
      <c r="AK261" s="111"/>
      <c r="AL261" s="111"/>
      <c r="AM261" s="111"/>
      <c r="AN261" s="112"/>
      <c r="AO261" s="112"/>
      <c r="AP261" s="112"/>
      <c r="AQ261" s="112"/>
      <c r="AR261" s="112"/>
      <c r="AS261" s="112"/>
      <c r="AT261" s="112"/>
      <c r="AU261" s="113"/>
      <c r="AV261" s="114" t="str">
        <f t="shared" si="1470"/>
        <v>x</v>
      </c>
      <c r="AW261" s="114" t="str">
        <f t="shared" si="1471"/>
        <v>x</v>
      </c>
      <c r="AX261" s="111"/>
      <c r="AY261" s="111"/>
      <c r="AZ261" s="112" t="str">
        <f t="shared" si="1472"/>
        <v>x</v>
      </c>
      <c r="BA261" s="112" t="str">
        <f t="shared" si="1473"/>
        <v>x</v>
      </c>
      <c r="BB261" s="111"/>
      <c r="BC261" s="111"/>
      <c r="BD261" s="111"/>
      <c r="BE261" s="111"/>
      <c r="BF261" s="111"/>
      <c r="BG261" s="112" t="str">
        <f t="shared" si="1474"/>
        <v>x</v>
      </c>
      <c r="BH261" s="112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2" t="str">
        <f t="shared" si="1475"/>
        <v>x</v>
      </c>
      <c r="BS261" s="112"/>
      <c r="BT261" s="111"/>
      <c r="BU261" s="112" t="str">
        <f t="shared" si="1476"/>
        <v>x</v>
      </c>
      <c r="BV261" s="112" t="str">
        <f t="shared" si="1365"/>
        <v>x</v>
      </c>
      <c r="BW261" s="112"/>
      <c r="BX261" s="112"/>
      <c r="BY261" s="112"/>
      <c r="BZ261" s="112" t="str">
        <f t="shared" si="1477"/>
        <v>x</v>
      </c>
      <c r="CA261" s="112" t="str">
        <f t="shared" si="1478"/>
        <v>x</v>
      </c>
      <c r="CB261" s="112" t="str">
        <f t="shared" si="1479"/>
        <v>x</v>
      </c>
      <c r="CC261" s="112"/>
      <c r="CD261" s="112"/>
      <c r="CE261" s="111"/>
      <c r="CF261" s="112" t="str">
        <f t="shared" si="1480"/>
        <v>x</v>
      </c>
      <c r="CG261" s="112" t="str">
        <f t="shared" si="1481"/>
        <v>x</v>
      </c>
      <c r="CH261" s="112" t="str">
        <f t="shared" si="1370"/>
        <v>x</v>
      </c>
      <c r="CI261" s="112" t="str">
        <f t="shared" si="1482"/>
        <v>x</v>
      </c>
      <c r="CJ261" s="112" t="str">
        <f t="shared" si="1483"/>
        <v>x</v>
      </c>
      <c r="CK261" s="112" t="str">
        <f t="shared" si="1484"/>
        <v>x</v>
      </c>
      <c r="CL261" s="112"/>
      <c r="CM261" s="112"/>
      <c r="CN261" s="112"/>
      <c r="CO261" s="112" t="str">
        <f t="shared" si="1485"/>
        <v>x</v>
      </c>
      <c r="CP261" s="112"/>
      <c r="CQ261" s="112" t="str">
        <f t="shared" si="1486"/>
        <v>x</v>
      </c>
      <c r="CR261" s="112"/>
      <c r="CS261" s="112"/>
      <c r="CT261" s="112" t="str">
        <f t="shared" si="1487"/>
        <v>x</v>
      </c>
      <c r="CU261" s="112" t="str">
        <f t="shared" si="1374"/>
        <v>x</v>
      </c>
      <c r="CV261" s="112" t="str">
        <f t="shared" si="1375"/>
        <v>x</v>
      </c>
      <c r="CW261" s="112" t="str">
        <f t="shared" si="1376"/>
        <v>x</v>
      </c>
      <c r="CX261" s="112" t="str">
        <f t="shared" si="1488"/>
        <v>x</v>
      </c>
      <c r="CY261" s="112" t="str">
        <f t="shared" si="1489"/>
        <v>x</v>
      </c>
      <c r="CZ261" s="112"/>
      <c r="DA261" s="112"/>
      <c r="DB261" s="115" t="str">
        <f t="shared" si="1490"/>
        <v>x</v>
      </c>
      <c r="DC261" s="112"/>
      <c r="DD261" s="112"/>
      <c r="DE261" s="112" t="str">
        <f t="shared" si="1491"/>
        <v>x</v>
      </c>
      <c r="DF261" s="115" t="str">
        <f t="shared" si="1492"/>
        <v>x</v>
      </c>
      <c r="DG261" s="112" t="str">
        <f t="shared" si="1493"/>
        <v>x</v>
      </c>
      <c r="DH261" s="112" t="str">
        <f t="shared" si="1494"/>
        <v>x</v>
      </c>
      <c r="DI261" s="112" t="str">
        <f t="shared" si="1382"/>
        <v>x</v>
      </c>
      <c r="DJ261" s="112"/>
      <c r="DK261" s="112"/>
      <c r="DL261" s="112"/>
      <c r="DM261" s="112"/>
      <c r="DN261" s="112"/>
      <c r="DO261" s="111"/>
      <c r="DP261" s="112" t="str">
        <f t="shared" si="1495"/>
        <v>x</v>
      </c>
      <c r="DQ261" s="112" t="str">
        <f t="shared" si="1384"/>
        <v>x</v>
      </c>
      <c r="DR261" s="112" t="str">
        <f t="shared" si="1496"/>
        <v>x</v>
      </c>
      <c r="DS261" s="112" t="str">
        <f t="shared" si="1497"/>
        <v>x</v>
      </c>
      <c r="DT261" s="112"/>
      <c r="DU261" s="112" t="str">
        <f t="shared" si="1385"/>
        <v>x</v>
      </c>
      <c r="DV261" s="111"/>
      <c r="DW261" s="111"/>
      <c r="DX261" s="111"/>
      <c r="DY261" s="112" t="str">
        <f t="shared" si="1386"/>
        <v>x</v>
      </c>
      <c r="DZ261" s="112" t="str">
        <f t="shared" si="1387"/>
        <v>x</v>
      </c>
      <c r="EA261" s="112" t="str">
        <f t="shared" si="1388"/>
        <v>x</v>
      </c>
      <c r="EB261" s="112" t="str">
        <f t="shared" si="1389"/>
        <v>x</v>
      </c>
      <c r="EC261" s="111"/>
      <c r="ED261" s="111"/>
      <c r="EE261" s="111"/>
      <c r="EF261" s="111"/>
      <c r="EG261" s="111"/>
      <c r="EH261" s="111"/>
      <c r="EI261" s="112"/>
      <c r="EJ261" s="112"/>
      <c r="EK261" s="115"/>
      <c r="EL261" s="112" t="str">
        <f t="shared" si="1390"/>
        <v>x</v>
      </c>
      <c r="EM261" s="112" t="str">
        <f t="shared" si="1498"/>
        <v>x</v>
      </c>
      <c r="EN261" s="111"/>
      <c r="EO261" s="117" t="str">
        <f t="shared" si="1499"/>
        <v>x</v>
      </c>
      <c r="EP261" s="117" t="str">
        <f t="shared" si="1500"/>
        <v>x</v>
      </c>
      <c r="EQ261" s="112" t="str">
        <f t="shared" si="1394"/>
        <v>x</v>
      </c>
      <c r="ER261" s="111"/>
      <c r="ES261" s="111"/>
      <c r="ET261" s="111"/>
      <c r="EU261" s="112" t="str">
        <f t="shared" si="1395"/>
        <v>x</v>
      </c>
      <c r="EV261" s="112" t="str">
        <f t="shared" si="1396"/>
        <v>x</v>
      </c>
      <c r="EW261" s="112" t="str">
        <f t="shared" si="1397"/>
        <v>x</v>
      </c>
      <c r="EX261" s="112" t="str">
        <f t="shared" si="1501"/>
        <v>x</v>
      </c>
      <c r="EY261" s="112" t="str">
        <f t="shared" si="1399"/>
        <v>x</v>
      </c>
      <c r="EZ261" s="112"/>
      <c r="FA261" s="116"/>
      <c r="FB261" s="111"/>
      <c r="FC261" s="112" t="str">
        <f t="shared" si="1502"/>
        <v>x</v>
      </c>
      <c r="FD261" s="112" t="str">
        <f t="shared" si="1503"/>
        <v>x</v>
      </c>
      <c r="FE261" s="112" t="str">
        <f t="shared" si="1504"/>
        <v>x</v>
      </c>
      <c r="FF261" s="111"/>
      <c r="FG261" s="111"/>
      <c r="FH261" s="111"/>
      <c r="FI261" s="112"/>
      <c r="FJ261" s="112" t="str">
        <f t="shared" si="1505"/>
        <v>x</v>
      </c>
      <c r="FK261" s="112" t="str">
        <f t="shared" si="1506"/>
        <v>x</v>
      </c>
      <c r="FL261" s="112"/>
      <c r="FM261" s="112" t="str">
        <f t="shared" si="1405"/>
        <v>x</v>
      </c>
      <c r="FN261" s="112"/>
      <c r="FO261" s="112" t="str">
        <f t="shared" si="1406"/>
        <v>x</v>
      </c>
      <c r="FP261" s="112"/>
      <c r="FQ261" s="112" t="str">
        <f t="shared" si="1407"/>
        <v>x</v>
      </c>
      <c r="FR261" s="112" t="str">
        <f t="shared" si="1408"/>
        <v>x</v>
      </c>
      <c r="FS261" s="112" t="str">
        <f t="shared" si="1409"/>
        <v>x</v>
      </c>
      <c r="FT261" s="112" t="str">
        <f t="shared" si="1410"/>
        <v>x</v>
      </c>
      <c r="FU261" s="112" t="str">
        <f t="shared" si="1411"/>
        <v>x</v>
      </c>
      <c r="FV261" s="112" t="str">
        <f t="shared" si="1412"/>
        <v>x</v>
      </c>
      <c r="FW261" s="112" t="str">
        <f t="shared" si="1413"/>
        <v>x</v>
      </c>
      <c r="FX261" s="112"/>
      <c r="FY261" s="112" t="str">
        <f t="shared" si="1414"/>
        <v>x</v>
      </c>
      <c r="FZ261" s="112"/>
      <c r="GA261" s="112"/>
      <c r="GB261" s="112" t="str">
        <f t="shared" si="1415"/>
        <v>x</v>
      </c>
      <c r="GC261" s="115" t="str">
        <f t="shared" si="1507"/>
        <v>x</v>
      </c>
      <c r="GD261" s="112" t="str">
        <f t="shared" si="1417"/>
        <v>x</v>
      </c>
      <c r="GE261" s="112"/>
      <c r="GF261" s="112" t="str">
        <f t="shared" si="1418"/>
        <v>x</v>
      </c>
      <c r="GG261" s="112"/>
      <c r="GH261" s="112" t="str">
        <f t="shared" si="1508"/>
        <v>x</v>
      </c>
      <c r="GI261" s="112" t="str">
        <f t="shared" si="1509"/>
        <v>x</v>
      </c>
      <c r="GJ261" s="111"/>
      <c r="GK261" s="111"/>
      <c r="GL261" s="112" t="str">
        <f t="shared" si="1421"/>
        <v>x</v>
      </c>
      <c r="GM261" s="112" t="str">
        <f t="shared" si="1422"/>
        <v>x</v>
      </c>
      <c r="GN261" s="112"/>
      <c r="GO261" s="112" t="str">
        <f t="shared" si="1423"/>
        <v>x</v>
      </c>
      <c r="GP261" s="112"/>
      <c r="GQ261" s="111"/>
      <c r="GR261" s="111"/>
      <c r="GS261" s="115" t="str">
        <f t="shared" si="1424"/>
        <v>x</v>
      </c>
      <c r="GT261" s="112" t="str">
        <f t="shared" si="1425"/>
        <v>x</v>
      </c>
      <c r="GU261" s="112"/>
      <c r="GV261" s="112" t="str">
        <f t="shared" si="1426"/>
        <v>x</v>
      </c>
      <c r="GW261" s="112" t="str">
        <f t="shared" si="1427"/>
        <v>x</v>
      </c>
      <c r="GX261" s="112" t="str">
        <f t="shared" si="1428"/>
        <v>x</v>
      </c>
      <c r="GY261" s="112" t="str">
        <f t="shared" si="1429"/>
        <v>x</v>
      </c>
      <c r="GZ261" s="112" t="str">
        <f t="shared" si="1430"/>
        <v>x</v>
      </c>
      <c r="HA261" s="112"/>
      <c r="HB261" s="112" t="str">
        <f t="shared" si="1510"/>
        <v>x</v>
      </c>
      <c r="HC261" s="112" t="str">
        <f t="shared" si="1431"/>
        <v>x</v>
      </c>
      <c r="HD261" s="112" t="str">
        <f t="shared" si="1432"/>
        <v>x</v>
      </c>
      <c r="HE261" s="112" t="str">
        <f t="shared" si="1433"/>
        <v>x</v>
      </c>
      <c r="HF261" s="112" t="str">
        <f t="shared" si="1434"/>
        <v>x</v>
      </c>
      <c r="HG261" s="112"/>
      <c r="HH261" s="112" t="str">
        <f t="shared" si="1511"/>
        <v>x</v>
      </c>
      <c r="HI261" s="112" t="str">
        <f t="shared" si="1512"/>
        <v>x</v>
      </c>
      <c r="HJ261" s="112" t="str">
        <f t="shared" si="1435"/>
        <v>x</v>
      </c>
      <c r="HK261" s="115" t="str">
        <f t="shared" si="1513"/>
        <v>x</v>
      </c>
      <c r="HL261" s="115" t="str">
        <f t="shared" si="1437"/>
        <v>x</v>
      </c>
      <c r="HM261" s="115" t="str">
        <f t="shared" si="1438"/>
        <v>x</v>
      </c>
      <c r="HN261" s="115" t="str">
        <f t="shared" si="1439"/>
        <v>x</v>
      </c>
      <c r="HO261" s="115" t="str">
        <f t="shared" si="1440"/>
        <v>x</v>
      </c>
      <c r="HP261" s="115" t="str">
        <f t="shared" si="1441"/>
        <v>x</v>
      </c>
      <c r="HQ261" s="115" t="str">
        <f t="shared" si="1442"/>
        <v>x</v>
      </c>
      <c r="HR261" s="115" t="str">
        <f t="shared" si="1443"/>
        <v>x</v>
      </c>
      <c r="HS261" s="115"/>
      <c r="HT261" s="115" t="str">
        <f t="shared" si="1444"/>
        <v>x</v>
      </c>
      <c r="HU261" s="115" t="str">
        <f t="shared" si="1445"/>
        <v>x</v>
      </c>
      <c r="HV261" s="115" t="str">
        <f t="shared" si="1446"/>
        <v>x</v>
      </c>
      <c r="HW261" s="115" t="str">
        <f t="shared" si="1514"/>
        <v>x</v>
      </c>
      <c r="HX261" s="112" t="str">
        <f t="shared" si="1515"/>
        <v>x</v>
      </c>
      <c r="HY261" s="112" t="str">
        <f t="shared" si="1516"/>
        <v>x</v>
      </c>
      <c r="HZ261" s="115"/>
      <c r="IA261" s="115"/>
      <c r="IB261" s="115"/>
      <c r="IC261" s="115"/>
      <c r="ID261" s="115" t="str">
        <f t="shared" si="1449"/>
        <v>x</v>
      </c>
      <c r="IE261" s="115"/>
      <c r="IF261" s="115"/>
      <c r="IG261" s="112" t="str">
        <f t="shared" si="1517"/>
        <v>x</v>
      </c>
      <c r="IH261" s="115" t="str">
        <f t="shared" si="1451"/>
        <v>x</v>
      </c>
      <c r="II261" s="115" t="str">
        <f t="shared" si="1452"/>
        <v>x</v>
      </c>
      <c r="IJ261" s="112" t="str">
        <f t="shared" si="1453"/>
        <v>x</v>
      </c>
      <c r="IK261" s="111"/>
      <c r="IL261" s="111"/>
      <c r="IM261" s="112" t="str">
        <f t="shared" si="1454"/>
        <v>x</v>
      </c>
      <c r="IN261" s="112"/>
      <c r="IO261" s="111"/>
      <c r="IP261" s="112" t="str">
        <f t="shared" si="1455"/>
        <v>x</v>
      </c>
      <c r="IQ261" s="112"/>
      <c r="IR261" s="111"/>
      <c r="IS261" s="111"/>
      <c r="IT261" s="111"/>
      <c r="IU261" s="112" t="str">
        <f t="shared" si="1456"/>
        <v>x</v>
      </c>
      <c r="IV261" s="112"/>
      <c r="IW261" s="112" t="str">
        <f t="shared" si="1457"/>
        <v>x</v>
      </c>
      <c r="IX261" s="112" t="str">
        <f t="shared" si="1458"/>
        <v>x</v>
      </c>
      <c r="IY261" s="111"/>
      <c r="IZ261" s="111"/>
      <c r="JA261" s="111"/>
      <c r="JB261" s="112"/>
      <c r="JC261" s="111"/>
      <c r="JD261" s="112"/>
      <c r="JE261" s="112"/>
      <c r="JF261" s="112" t="str">
        <f t="shared" si="1459"/>
        <v>x</v>
      </c>
      <c r="JG261" s="112"/>
      <c r="JH261" s="111"/>
      <c r="JI261" s="112"/>
      <c r="JJ261" s="112"/>
      <c r="JK261" s="112"/>
      <c r="JL261" s="112" t="str">
        <f t="shared" si="1460"/>
        <v>x</v>
      </c>
      <c r="JM261" s="112"/>
      <c r="JN261" s="112"/>
      <c r="JO261" s="112"/>
      <c r="JP261" s="112"/>
      <c r="JQ261" s="112" t="str">
        <f t="shared" si="1461"/>
        <v>x</v>
      </c>
      <c r="JR261" s="112"/>
      <c r="JS261" s="111"/>
      <c r="JT261" s="111"/>
      <c r="JU261" s="111"/>
      <c r="JV261" s="112"/>
      <c r="JW261" s="112"/>
      <c r="JX261" s="112"/>
      <c r="JY261" s="112"/>
      <c r="JZ261" s="112"/>
      <c r="KA261" s="112" t="str">
        <f t="shared" si="1518"/>
        <v>x</v>
      </c>
      <c r="KB261" s="112" t="str">
        <f t="shared" si="1463"/>
        <v>x</v>
      </c>
      <c r="KC261" s="112" t="str">
        <f t="shared" si="1464"/>
        <v>x</v>
      </c>
      <c r="KD261" s="112"/>
      <c r="KE261" s="111"/>
      <c r="KF261" s="112"/>
      <c r="KG261" s="112"/>
      <c r="KH261" s="112"/>
      <c r="KI261" s="112"/>
      <c r="KJ261" s="112"/>
      <c r="KK261" s="112"/>
      <c r="KL261" s="112"/>
      <c r="KM261" s="112"/>
      <c r="KN261" s="112"/>
      <c r="KO261" s="112"/>
      <c r="KP261" s="112"/>
      <c r="KQ261" s="112"/>
      <c r="KR261" s="112"/>
      <c r="KS261" s="112"/>
      <c r="KT261" s="112"/>
      <c r="KU261" s="112"/>
      <c r="KV261" s="112"/>
      <c r="KW261" s="112"/>
      <c r="KX261" s="112"/>
      <c r="KY261" s="112"/>
      <c r="KZ261" s="112"/>
      <c r="LA261" s="112"/>
      <c r="LB261" s="111"/>
      <c r="LC261" s="111"/>
      <c r="LD261" s="111"/>
      <c r="LE261" s="111"/>
      <c r="LF261" s="111"/>
      <c r="LG261" s="111"/>
      <c r="LH261" s="111"/>
      <c r="LI261" s="111"/>
      <c r="LJ261" s="111"/>
      <c r="LK261" s="111"/>
      <c r="LL261" s="111"/>
      <c r="LM261" s="111"/>
      <c r="LN261" s="111"/>
      <c r="LO261" s="111"/>
      <c r="LP261" s="111"/>
      <c r="LQ261" s="111"/>
      <c r="LR261" s="111"/>
      <c r="LS261" s="111"/>
      <c r="LT261" s="111"/>
      <c r="LU261" s="111"/>
      <c r="LV261" s="111"/>
      <c r="LW261" s="111"/>
      <c r="LX261" s="111"/>
      <c r="LY261" s="111"/>
      <c r="LZ261" s="111"/>
      <c r="MA261" s="111"/>
      <c r="MB261" s="111"/>
      <c r="MC261" s="112" t="str">
        <f t="shared" si="1465"/>
        <v>x</v>
      </c>
      <c r="MD261" s="111"/>
      <c r="ME261" s="111"/>
      <c r="MF261" s="111"/>
      <c r="MG261" s="111"/>
      <c r="MH261" s="112" t="str">
        <f t="shared" si="1466"/>
        <v>x</v>
      </c>
    </row>
    <row r="262" spans="1:346" x14ac:dyDescent="0.25">
      <c r="A262" s="101" t="s">
        <v>475</v>
      </c>
      <c r="B262" s="102"/>
      <c r="C262" s="102"/>
      <c r="D262" s="102"/>
      <c r="E262" s="102"/>
      <c r="F262" s="102"/>
      <c r="G262" s="102"/>
      <c r="H262" s="102"/>
      <c r="I262" s="102"/>
      <c r="J262" s="10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6"/>
      <c r="AV262" s="106"/>
      <c r="AW262" s="106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9"/>
      <c r="EP262" s="109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5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  <c r="IW262" s="104"/>
      <c r="IX262" s="104"/>
      <c r="IY262" s="104"/>
      <c r="IZ262" s="104"/>
      <c r="JA262" s="104"/>
      <c r="JB262" s="104"/>
      <c r="JC262" s="104"/>
      <c r="JD262" s="104"/>
      <c r="JE262" s="104"/>
      <c r="JF262" s="104"/>
      <c r="JG262" s="104"/>
      <c r="JH262" s="104"/>
      <c r="JI262" s="104"/>
      <c r="JJ262" s="104"/>
      <c r="JK262" s="104"/>
      <c r="JL262" s="104"/>
      <c r="JM262" s="104"/>
      <c r="JN262" s="104"/>
      <c r="JO262" s="104"/>
      <c r="JP262" s="104"/>
      <c r="JQ262" s="104"/>
      <c r="JR262" s="104"/>
      <c r="JS262" s="104"/>
      <c r="JT262" s="104"/>
      <c r="JU262" s="104"/>
      <c r="JV262" s="104"/>
      <c r="JW262" s="104"/>
      <c r="JX262" s="104"/>
      <c r="JY262" s="104"/>
      <c r="JZ262" s="104"/>
      <c r="KA262" s="104"/>
      <c r="KB262" s="104"/>
      <c r="KC262" s="104"/>
      <c r="KD262" s="104"/>
      <c r="KE262" s="104"/>
      <c r="KF262" s="104"/>
      <c r="KG262" s="104"/>
      <c r="KH262" s="104"/>
      <c r="KI262" s="104"/>
      <c r="KJ262" s="104"/>
      <c r="KK262" s="104"/>
      <c r="KL262" s="104"/>
      <c r="KM262" s="104"/>
      <c r="KN262" s="104"/>
      <c r="KO262" s="104"/>
      <c r="KP262" s="104"/>
      <c r="KQ262" s="104"/>
      <c r="KR262" s="104"/>
      <c r="KS262" s="104"/>
      <c r="KT262" s="104"/>
      <c r="KU262" s="104"/>
      <c r="KV262" s="104"/>
      <c r="KW262" s="104"/>
      <c r="KX262" s="104"/>
      <c r="KY262" s="104"/>
      <c r="KZ262" s="104"/>
      <c r="LA262" s="104"/>
      <c r="LB262" s="104"/>
      <c r="LC262" s="104"/>
      <c r="LD262" s="104"/>
      <c r="LE262" s="104"/>
      <c r="LF262" s="104"/>
      <c r="LG262" s="104"/>
      <c r="LH262" s="104"/>
      <c r="LI262" s="104"/>
      <c r="LJ262" s="104"/>
      <c r="LK262" s="104"/>
      <c r="LL262" s="104"/>
      <c r="LM262" s="104"/>
      <c r="LN262" s="104"/>
      <c r="LO262" s="104"/>
      <c r="LP262" s="104"/>
      <c r="LQ262" s="104"/>
      <c r="LR262" s="104"/>
      <c r="LS262" s="104"/>
      <c r="LT262" s="104"/>
      <c r="LU262" s="104"/>
      <c r="LV262" s="104"/>
      <c r="LW262" s="104"/>
      <c r="LX262" s="104"/>
      <c r="LY262" s="104"/>
      <c r="LZ262" s="104"/>
      <c r="MA262" s="104"/>
      <c r="MB262" s="104"/>
      <c r="MC262" s="104"/>
      <c r="MD262" s="104"/>
      <c r="ME262" s="104"/>
      <c r="MF262" s="104"/>
      <c r="MG262" s="104"/>
      <c r="MH262" s="104"/>
    </row>
    <row r="263" spans="1:346" x14ac:dyDescent="0.25">
      <c r="A263" s="110" t="s">
        <v>475</v>
      </c>
      <c r="B263" s="101" t="s">
        <v>383</v>
      </c>
      <c r="C263" s="102"/>
      <c r="D263" s="102"/>
      <c r="E263" s="102"/>
      <c r="F263" s="102"/>
      <c r="G263" s="102"/>
      <c r="H263" s="102"/>
      <c r="I263" s="102"/>
      <c r="J263" s="103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3"/>
      <c r="AV263" s="114" t="str">
        <f t="shared" ref="AV263" si="1519">HYPERLINK("http://sab.landtag.sachsen.de/dokumente/landtagskurier/SAB_DeutschLernen_DinA5_WEB141115.pdf","x")</f>
        <v>x</v>
      </c>
      <c r="AW263" s="114" t="str">
        <f t="shared" ref="AW263" si="1520">HYPERLINK("http://sab.landtag.sachsen.de/dokumente/landtagskurier/SAB_PL_Lernposter_WEB091115.pdf","x")</f>
        <v>x</v>
      </c>
      <c r="AX263" s="111"/>
      <c r="AY263" s="111"/>
      <c r="AZ263" s="112" t="str">
        <f t="shared" ref="AZ263" si="152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63" s="112" t="str">
        <f t="shared" ref="BA263" si="1522">HYPERLINK("http://wie-kann-ich-helfen.info/WoerterbuchAnalphabet_innen_%28c%29_Dagmar_Schmeelcke.pdf","x")</f>
        <v>x</v>
      </c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2" t="str">
        <f t="shared" ref="BR263" si="1523">HYPERLINK("http://www.goethe.de/lrn/prj/wnd/deu/lti/deindex.htm#13322010","x")</f>
        <v>x</v>
      </c>
      <c r="BS263" s="112"/>
      <c r="BT263" s="111"/>
      <c r="BU263" s="112" t="str">
        <f t="shared" ref="BU263" si="1524">HYPERLINK("https://s3-eu-west-1.amazonaws.com/lingolia/download/lingolia_daf.pdf","x")</f>
        <v>x</v>
      </c>
      <c r="BV263" s="112" t="str">
        <f>HYPERLINK("http://www.welcomegrooves.de/wp-content/uploads/2015/11/welcomegrooves_DE-TWI.pdf","x")</f>
        <v>x</v>
      </c>
      <c r="BW263" s="112"/>
      <c r="BX263" s="112"/>
      <c r="BY263" s="112"/>
      <c r="BZ263" s="112" t="str">
        <f t="shared" ref="BZ263" si="1525">HYPERLINK("http://www.hueber.de/shared/uebungen/schritte-plus","x")</f>
        <v>x</v>
      </c>
      <c r="CA263" s="112" t="str">
        <f t="shared" ref="CA263" si="1526">HYPERLINK("https://www.hueber.de/shared/uebungen/menschen-hier/ab/a1-1/menu.html","x")</f>
        <v>x</v>
      </c>
      <c r="CB263" s="112" t="str">
        <f t="shared" ref="CB263" si="1527">HYPERLINK("http://www.goethe-verlag.com/DE/","x")</f>
        <v>x</v>
      </c>
      <c r="CC263" s="112"/>
      <c r="CD263" s="112"/>
      <c r="CE263" s="111"/>
      <c r="CF263" s="111"/>
      <c r="CG263" s="111"/>
      <c r="CH263" s="111"/>
      <c r="CI263" s="111"/>
      <c r="CJ263" s="112" t="str">
        <f t="shared" ref="CJ263" si="1528">HYPERLINK("http://www.e-migrantinnen.de/index.php?de_wichtige-links","x")</f>
        <v>x</v>
      </c>
      <c r="CK263" s="112"/>
      <c r="CL263" s="112"/>
      <c r="CM263" s="112"/>
      <c r="CN263" s="112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2"/>
      <c r="CZ263" s="112"/>
      <c r="DA263" s="112"/>
      <c r="DB263" s="115"/>
      <c r="DC263" s="112"/>
      <c r="DD263" s="112"/>
      <c r="DE263" s="112" t="str">
        <f t="shared" ref="DE263" si="1529">HYPERLINK("http://fi-lohmar-siegburg.de/data/documents/130-37_Inklusion_im_Anfangsunterricht_-_Poster_mit_Situationsbildern.pdf","x")</f>
        <v>x</v>
      </c>
      <c r="DF263" s="115" t="str">
        <f t="shared" ref="DF263" si="1530">HYPERLINK("http://s3-eu-west-1.amazonaws.com/lingolia/calendar/2016/lingolia_2016_de.pdf","x")</f>
        <v>x</v>
      </c>
      <c r="DG263" s="112" t="str">
        <f t="shared" ref="DG263" si="1531">HYPERLINK("http://www.bibliomedia.ch/de/angebote/img/Wimmelbild.jpg","x")</f>
        <v>x</v>
      </c>
      <c r="DH263" s="112" t="str">
        <f t="shared" ref="DH263" si="1532">HYPERLINK("http://www.bibliomedia.ch/de/angebote/dokumente/Wimmelbild_Fehler.jpg","x")</f>
        <v>x</v>
      </c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7"/>
      <c r="EP263" s="117"/>
      <c r="EQ263" s="111"/>
      <c r="ER263" s="111"/>
      <c r="ES263" s="111"/>
      <c r="ET263" s="111"/>
      <c r="EU263" s="111"/>
      <c r="EV263" s="112" t="str">
        <f t="shared" ref="EV263" si="1533">HYPERLINK("http://www.lak-rlp.de/fileadmin/redakteure/pdf/download/Piktogramme_Dosieretiketten_AoG.pdf","x")</f>
        <v>x</v>
      </c>
      <c r="EW263" s="111"/>
      <c r="EX263" s="111"/>
      <c r="EY263" s="111"/>
      <c r="EZ263" s="111"/>
      <c r="FA263" s="111"/>
      <c r="FB263" s="111"/>
      <c r="FC263" s="112" t="str">
        <f t="shared" ref="FC263" si="1534">HYPERLINK("http://mige.ix-tech.de/index.php?id=241","x")</f>
        <v>x</v>
      </c>
      <c r="FD263" s="112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1"/>
      <c r="GA263" s="111"/>
      <c r="GB263" s="111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2" t="str">
        <f t="shared" si="1251"/>
        <v>x</v>
      </c>
      <c r="HC263" s="111"/>
      <c r="HD263" s="111"/>
      <c r="HE263" s="111"/>
      <c r="HF263" s="111"/>
      <c r="HG263" s="111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2" t="str">
        <f t="shared" ref="HX263" si="1535">HYPERLINK("http://www.selfhelpfortrauma.org/","x")</f>
        <v>x</v>
      </c>
      <c r="HY263" s="112" t="str">
        <f t="shared" ref="HY263" si="1536">HYPERLINK("http://peacefulheart.se/wp-content/uploads/2014/12/Resolving-Yesterday-20141201-Self-Tapping.pdf","x")</f>
        <v>x</v>
      </c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  <c r="IW263" s="111"/>
      <c r="IX263" s="111"/>
      <c r="IY263" s="111"/>
      <c r="IZ263" s="111"/>
      <c r="JA263" s="111"/>
      <c r="JB263" s="111"/>
      <c r="JC263" s="111"/>
      <c r="JD263" s="111"/>
      <c r="JE263" s="111"/>
      <c r="JF263" s="111"/>
      <c r="JG263" s="111"/>
      <c r="JH263" s="111"/>
      <c r="JI263" s="111"/>
      <c r="JJ263" s="111"/>
      <c r="JK263" s="111"/>
      <c r="JL263" s="111"/>
      <c r="JM263" s="111"/>
      <c r="JN263" s="111"/>
      <c r="JO263" s="111"/>
      <c r="JP263" s="111"/>
      <c r="JQ263" s="111"/>
      <c r="JR263" s="111"/>
      <c r="JS263" s="111"/>
      <c r="JT263" s="111"/>
      <c r="JU263" s="111"/>
      <c r="JV263" s="111"/>
      <c r="JW263" s="111"/>
      <c r="JX263" s="111"/>
      <c r="JY263" s="111"/>
      <c r="JZ263" s="111"/>
      <c r="KA263" s="111"/>
      <c r="KB263" s="111"/>
      <c r="KC263" s="111"/>
      <c r="KD263" s="111"/>
      <c r="KE263" s="111"/>
      <c r="KF263" s="111"/>
      <c r="KG263" s="111"/>
      <c r="KH263" s="111"/>
      <c r="KI263" s="111"/>
      <c r="KJ263" s="111"/>
      <c r="KK263" s="111"/>
      <c r="KL263" s="111"/>
      <c r="KM263" s="111"/>
      <c r="KN263" s="111"/>
      <c r="KO263" s="111"/>
      <c r="KP263" s="111"/>
      <c r="KQ263" s="111"/>
      <c r="KR263" s="111"/>
      <c r="KS263" s="111"/>
      <c r="KT263" s="111"/>
      <c r="KU263" s="111"/>
      <c r="KV263" s="111"/>
      <c r="KW263" s="111"/>
      <c r="KX263" s="111"/>
      <c r="KY263" s="111"/>
      <c r="KZ263" s="111"/>
      <c r="LA263" s="111"/>
      <c r="LB263" s="111"/>
      <c r="LC263" s="111"/>
      <c r="LD263" s="111"/>
      <c r="LE263" s="111"/>
      <c r="LF263" s="111"/>
      <c r="LG263" s="111"/>
      <c r="LH263" s="111"/>
      <c r="LI263" s="111"/>
      <c r="LJ263" s="111"/>
      <c r="LK263" s="111"/>
      <c r="LL263" s="111"/>
      <c r="LM263" s="111"/>
      <c r="LN263" s="111"/>
      <c r="LO263" s="111"/>
      <c r="LP263" s="111"/>
      <c r="LQ263" s="111"/>
      <c r="LR263" s="111"/>
      <c r="LS263" s="111"/>
      <c r="LT263" s="111"/>
      <c r="LU263" s="111"/>
      <c r="LV263" s="111"/>
      <c r="LW263" s="111"/>
      <c r="LX263" s="111"/>
      <c r="LY263" s="111"/>
      <c r="LZ263" s="111"/>
      <c r="MA263" s="111"/>
      <c r="MB263" s="111"/>
      <c r="MC263" s="111"/>
      <c r="MD263" s="111"/>
      <c r="ME263" s="111"/>
      <c r="MF263" s="111"/>
      <c r="MG263" s="111"/>
      <c r="MH263" s="111"/>
    </row>
    <row r="264" spans="1:346" x14ac:dyDescent="0.25">
      <c r="A264" s="101" t="s">
        <v>130</v>
      </c>
      <c r="B264" s="102"/>
      <c r="C264" s="102"/>
      <c r="D264" s="102"/>
      <c r="E264" s="102"/>
      <c r="F264" s="102"/>
      <c r="G264" s="102"/>
      <c r="H264" s="102"/>
      <c r="I264" s="102"/>
      <c r="J264" s="10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6"/>
      <c r="AV264" s="106"/>
      <c r="AW264" s="106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9"/>
      <c r="EP264" s="109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5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  <c r="IW264" s="104"/>
      <c r="IX264" s="104"/>
      <c r="IY264" s="104"/>
      <c r="IZ264" s="104"/>
      <c r="JA264" s="104"/>
      <c r="JB264" s="104"/>
      <c r="JC264" s="104"/>
      <c r="JD264" s="104"/>
      <c r="JE264" s="104"/>
      <c r="JF264" s="104"/>
      <c r="JG264" s="104"/>
      <c r="JH264" s="104"/>
      <c r="JI264" s="104"/>
      <c r="JJ264" s="104"/>
      <c r="JK264" s="104"/>
      <c r="JL264" s="104"/>
      <c r="JM264" s="104"/>
      <c r="JN264" s="104"/>
      <c r="JO264" s="104"/>
      <c r="JP264" s="104"/>
      <c r="JQ264" s="104"/>
      <c r="JR264" s="104"/>
      <c r="JS264" s="104"/>
      <c r="JT264" s="104"/>
      <c r="JU264" s="104"/>
      <c r="JV264" s="104"/>
      <c r="JW264" s="104"/>
      <c r="JX264" s="104"/>
      <c r="JY264" s="104"/>
      <c r="JZ264" s="104"/>
      <c r="KA264" s="104"/>
      <c r="KB264" s="104"/>
      <c r="KC264" s="104"/>
      <c r="KD264" s="104"/>
      <c r="KE264" s="104"/>
      <c r="KF264" s="104"/>
      <c r="KG264" s="104"/>
      <c r="KH264" s="104"/>
      <c r="KI264" s="104"/>
      <c r="KJ264" s="104"/>
      <c r="KK264" s="104"/>
      <c r="KL264" s="104"/>
      <c r="KM264" s="104"/>
      <c r="KN264" s="104"/>
      <c r="KO264" s="104"/>
      <c r="KP264" s="104"/>
      <c r="KQ264" s="104"/>
      <c r="KR264" s="104"/>
      <c r="KS264" s="104"/>
      <c r="KT264" s="104"/>
      <c r="KU264" s="104"/>
      <c r="KV264" s="104"/>
      <c r="KW264" s="104"/>
      <c r="KX264" s="104"/>
      <c r="KY264" s="104"/>
      <c r="KZ264" s="104"/>
      <c r="LA264" s="104"/>
      <c r="LB264" s="104"/>
      <c r="LC264" s="104"/>
      <c r="LD264" s="104"/>
      <c r="LE264" s="104"/>
      <c r="LF264" s="104"/>
      <c r="LG264" s="104"/>
      <c r="LH264" s="104"/>
      <c r="LI264" s="104"/>
      <c r="LJ264" s="104"/>
      <c r="LK264" s="104"/>
      <c r="LL264" s="104"/>
      <c r="LM264" s="104"/>
      <c r="LN264" s="104"/>
      <c r="LO264" s="104"/>
      <c r="LP264" s="104"/>
      <c r="LQ264" s="104"/>
      <c r="LR264" s="104"/>
      <c r="LS264" s="104"/>
      <c r="LT264" s="104"/>
      <c r="LU264" s="104"/>
      <c r="LV264" s="104"/>
      <c r="LW264" s="104"/>
      <c r="LX264" s="104"/>
      <c r="LY264" s="104"/>
      <c r="LZ264" s="104"/>
      <c r="MA264" s="104"/>
      <c r="MB264" s="104"/>
      <c r="MC264" s="104"/>
      <c r="MD264" s="104"/>
      <c r="ME264" s="104"/>
      <c r="MF264" s="104"/>
      <c r="MG264" s="104"/>
      <c r="MH264" s="104"/>
    </row>
    <row r="265" spans="1:346" x14ac:dyDescent="0.25">
      <c r="A265" s="110" t="s">
        <v>130</v>
      </c>
      <c r="B265" s="101" t="s">
        <v>131</v>
      </c>
      <c r="C265" s="102"/>
      <c r="D265" s="102"/>
      <c r="E265" s="102"/>
      <c r="F265" s="102"/>
      <c r="G265" s="102"/>
      <c r="H265" s="102"/>
      <c r="I265" s="102"/>
      <c r="J265" s="103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3"/>
      <c r="AV265" s="114" t="str">
        <f t="shared" ref="AV265:AV268" si="1537">HYPERLINK("http://sab.landtag.sachsen.de/dokumente/landtagskurier/SAB_DeutschLernen_DinA5_WEB141115.pdf","x")</f>
        <v>x</v>
      </c>
      <c r="AW265" s="114" t="str">
        <f t="shared" ref="AW265:AW268" si="1538">HYPERLINK("http://sab.landtag.sachsen.de/dokumente/landtagskurier/SAB_PL_Lernposter_WEB091115.pdf","x")</f>
        <v>x</v>
      </c>
      <c r="AX265" s="111"/>
      <c r="AY265" s="111"/>
      <c r="AZ265" s="112" t="str">
        <f t="shared" ref="AZ265:AZ268" si="153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65" s="112" t="str">
        <f t="shared" ref="BA265:BA268" si="1540">HYPERLINK("http://wie-kann-ich-helfen.info/WoerterbuchAnalphabet_innen_%28c%29_Dagmar_Schmeelcke.pdf","x")</f>
        <v>x</v>
      </c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2" t="str">
        <f t="shared" ref="BR265:BR268" si="1541">HYPERLINK("http://www.goethe.de/lrn/prj/wnd/deu/lti/deindex.htm#13322010","x")</f>
        <v>x</v>
      </c>
      <c r="BS265" s="112"/>
      <c r="BT265" s="111"/>
      <c r="BU265" s="112" t="str">
        <f t="shared" ref="BU265:BU268" si="1542">HYPERLINK("https://s3-eu-west-1.amazonaws.com/lingolia/download/lingolia_daf.pdf","x")</f>
        <v>x</v>
      </c>
      <c r="BV265" s="112"/>
      <c r="BW265" s="112"/>
      <c r="BX265" s="112"/>
      <c r="BY265" s="112"/>
      <c r="BZ265" s="112" t="str">
        <f t="shared" ref="BZ265:BZ268" si="1543">HYPERLINK("http://www.hueber.de/shared/uebungen/schritte-plus","x")</f>
        <v>x</v>
      </c>
      <c r="CA265" s="112" t="str">
        <f t="shared" ref="CA265:CA268" si="1544">HYPERLINK("https://www.hueber.de/shared/uebungen/menschen-hier/ab/a1-1/menu.html","x")</f>
        <v>x</v>
      </c>
      <c r="CB265" s="112" t="str">
        <f t="shared" ref="CB265:CB268" si="1545">HYPERLINK("http://www.goethe-verlag.com/DE/","x")</f>
        <v>x</v>
      </c>
      <c r="CC265" s="112"/>
      <c r="CD265" s="112"/>
      <c r="CE265" s="111"/>
      <c r="CF265" s="111"/>
      <c r="CG265" s="111"/>
      <c r="CH265" s="111"/>
      <c r="CI265" s="111"/>
      <c r="CJ265" s="112" t="str">
        <f t="shared" ref="CJ265:CJ268" si="1546">HYPERLINK("http://www.e-migrantinnen.de/index.php?de_wichtige-links","x")</f>
        <v>x</v>
      </c>
      <c r="CK265" s="112"/>
      <c r="CL265" s="112"/>
      <c r="CM265" s="112"/>
      <c r="CN265" s="112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2"/>
      <c r="CZ265" s="112"/>
      <c r="DA265" s="112"/>
      <c r="DB265" s="115"/>
      <c r="DC265" s="112"/>
      <c r="DD265" s="112"/>
      <c r="DE265" s="112" t="str">
        <f t="shared" ref="DE265:DE268" si="1547">HYPERLINK("http://fi-lohmar-siegburg.de/data/documents/130-37_Inklusion_im_Anfangsunterricht_-_Poster_mit_Situationsbildern.pdf","x")</f>
        <v>x</v>
      </c>
      <c r="DF265" s="115" t="str">
        <f t="shared" ref="DF265:DF268" si="1548">HYPERLINK("http://s3-eu-west-1.amazonaws.com/lingolia/calendar/2016/lingolia_2016_de.pdf","x")</f>
        <v>x</v>
      </c>
      <c r="DG265" s="112" t="str">
        <f t="shared" ref="DG265:DG268" si="1549">HYPERLINK("http://www.bibliomedia.ch/de/angebote/img/Wimmelbild.jpg","x")</f>
        <v>x</v>
      </c>
      <c r="DH265" s="112" t="str">
        <f t="shared" ref="DH265:DH268" si="1550">HYPERLINK("http://www.bibliomedia.ch/de/angebote/dokumente/Wimmelbild_Fehler.jpg","x")</f>
        <v>x</v>
      </c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7"/>
      <c r="EP265" s="117" t="str">
        <f>HYPERLINK("http://www.armut-gesundheit.de/fileadmin/redakteur/dokumente/Anamnesebogen%20-%20ungarischnew.pdf","x")</f>
        <v>x</v>
      </c>
      <c r="EQ265" s="111"/>
      <c r="ER265" s="111"/>
      <c r="ES265" s="111"/>
      <c r="ET265" s="111"/>
      <c r="EU265" s="111"/>
      <c r="EV265" s="112" t="str">
        <f t="shared" ref="EV265:EV268" si="1551">HYPERLINK("http://www.lak-rlp.de/fileadmin/redakteure/pdf/download/Piktogramme_Dosieretiketten_AoG.pdf","x")</f>
        <v>x</v>
      </c>
      <c r="EW265" s="111"/>
      <c r="EX265" s="111"/>
      <c r="EY265" s="111"/>
      <c r="EZ265" s="111"/>
      <c r="FA265" s="111"/>
      <c r="FB265" s="111"/>
      <c r="FC265" s="112" t="str">
        <f t="shared" ref="FC265:FC268" si="1552">HYPERLINK("http://mige.ix-tech.de/index.php?id=241","x")</f>
        <v>x</v>
      </c>
      <c r="FD265" s="112" t="str">
        <f t="shared" ref="FD265:FD268" si="1553">HYPERLINK("http://sghanstedt.elbnetz.com/ueber-uns/","x")</f>
        <v>x</v>
      </c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  <c r="FW265" s="111"/>
      <c r="FX265" s="111"/>
      <c r="FY265" s="111"/>
      <c r="FZ265" s="111"/>
      <c r="GA265" s="111"/>
      <c r="GB265" s="111"/>
      <c r="GC265" s="111"/>
      <c r="GD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2" t="str">
        <f t="shared" si="1251"/>
        <v>x</v>
      </c>
      <c r="HC265" s="111"/>
      <c r="HD265" s="111"/>
      <c r="HE265" s="111"/>
      <c r="HF265" s="111"/>
      <c r="HG265" s="111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2" t="str">
        <f t="shared" ref="HX265:HX268" si="1554">HYPERLINK("http://www.selfhelpfortrauma.org/","x")</f>
        <v>x</v>
      </c>
      <c r="HY265" s="112" t="str">
        <f t="shared" ref="HY265:HY268" si="1555">HYPERLINK("http://peacefulheart.se/wp-content/uploads/2014/12/Resolving-Yesterday-20141201-Self-Tapping.pdf","x")</f>
        <v>x</v>
      </c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  <c r="IW265" s="111"/>
      <c r="IX265" s="111"/>
      <c r="IY265" s="111"/>
      <c r="IZ265" s="111"/>
      <c r="JA265" s="111"/>
      <c r="JB265" s="111"/>
      <c r="JC265" s="111"/>
      <c r="JD265" s="111"/>
      <c r="JE265" s="111"/>
      <c r="JF265" s="111"/>
      <c r="JG265" s="111"/>
      <c r="JH265" s="111"/>
      <c r="JI265" s="111"/>
      <c r="JJ265" s="111"/>
      <c r="JK265" s="111"/>
      <c r="JL265" s="111"/>
      <c r="JM265" s="111"/>
      <c r="JN265" s="111"/>
      <c r="JO265" s="111"/>
      <c r="JP265" s="111"/>
      <c r="JQ265" s="112" t="str">
        <f t="shared" ref="JQ265:JQ268" si="1556">HYPERLINK("http://www.ibla-germany.de/merkblaetter.php","x")</f>
        <v>x</v>
      </c>
      <c r="JR265" s="111"/>
      <c r="JS265" s="111"/>
      <c r="JT265" s="111"/>
      <c r="JU265" s="111"/>
      <c r="JV265" s="111"/>
      <c r="JW265" s="111"/>
      <c r="JX265" s="111"/>
      <c r="JY265" s="111"/>
      <c r="JZ265" s="111"/>
      <c r="KA265" s="111"/>
      <c r="KB265" s="111"/>
      <c r="KC265" s="111"/>
      <c r="KD265" s="111"/>
      <c r="KE265" s="111"/>
      <c r="KF265" s="111"/>
      <c r="KG265" s="111"/>
      <c r="KH265" s="111"/>
      <c r="KI265" s="111"/>
      <c r="KJ265" s="111"/>
      <c r="KK265" s="111"/>
      <c r="KL265" s="111"/>
      <c r="KM265" s="111"/>
      <c r="KN265" s="111"/>
      <c r="KO265" s="111"/>
      <c r="KP265" s="111"/>
      <c r="KQ265" s="111"/>
      <c r="KR265" s="111"/>
      <c r="KS265" s="111"/>
      <c r="KT265" s="111"/>
      <c r="KU265" s="111"/>
      <c r="KV265" s="111"/>
      <c r="KW265" s="111"/>
      <c r="KX265" s="111"/>
      <c r="KY265" s="111"/>
      <c r="KZ265" s="111"/>
      <c r="LA265" s="111"/>
      <c r="LB265" s="111"/>
      <c r="LC265" s="111"/>
      <c r="LD265" s="111"/>
      <c r="LE265" s="111"/>
      <c r="LF265" s="111"/>
      <c r="LG265" s="111"/>
      <c r="LH265" s="111"/>
      <c r="LI265" s="111"/>
      <c r="LJ265" s="111"/>
      <c r="LK265" s="111"/>
      <c r="LL265" s="111"/>
      <c r="LM265" s="111"/>
      <c r="LN265" s="111"/>
      <c r="LO265" s="111"/>
      <c r="LP265" s="111"/>
      <c r="LQ265" s="111"/>
      <c r="LR265" s="111"/>
      <c r="LS265" s="111"/>
      <c r="LT265" s="111"/>
      <c r="LU265" s="111"/>
      <c r="LV265" s="111"/>
      <c r="LW265" s="111"/>
      <c r="LX265" s="111"/>
      <c r="LY265" s="111"/>
      <c r="LZ265" s="111"/>
      <c r="MA265" s="111"/>
      <c r="MB265" s="111"/>
      <c r="MC265" s="111"/>
      <c r="MD265" s="111"/>
      <c r="ME265" s="111"/>
      <c r="MF265" s="111"/>
      <c r="MG265" s="111"/>
      <c r="MH265" s="111"/>
    </row>
    <row r="266" spans="1:346" x14ac:dyDescent="0.25">
      <c r="A266" s="110" t="s">
        <v>130</v>
      </c>
      <c r="B266" s="101" t="s">
        <v>58</v>
      </c>
      <c r="C266" s="102"/>
      <c r="D266" s="102"/>
      <c r="E266" s="102"/>
      <c r="F266" s="102"/>
      <c r="G266" s="102"/>
      <c r="H266" s="102"/>
      <c r="I266" s="102"/>
      <c r="J266" s="103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3"/>
      <c r="AV266" s="114" t="str">
        <f t="shared" si="1537"/>
        <v>x</v>
      </c>
      <c r="AW266" s="114" t="str">
        <f t="shared" si="1538"/>
        <v>x</v>
      </c>
      <c r="AX266" s="111"/>
      <c r="AY266" s="111"/>
      <c r="AZ266" s="112" t="str">
        <f t="shared" si="1539"/>
        <v>x</v>
      </c>
      <c r="BA266" s="112" t="str">
        <f t="shared" si="1540"/>
        <v>x</v>
      </c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2" t="str">
        <f t="shared" si="1541"/>
        <v>x</v>
      </c>
      <c r="BS266" s="112"/>
      <c r="BT266" s="111"/>
      <c r="BU266" s="112" t="str">
        <f t="shared" si="1542"/>
        <v>x</v>
      </c>
      <c r="BV266" s="112"/>
      <c r="BW266" s="112"/>
      <c r="BX266" s="112"/>
      <c r="BY266" s="112"/>
      <c r="BZ266" s="112" t="str">
        <f t="shared" si="1543"/>
        <v>x</v>
      </c>
      <c r="CA266" s="112" t="str">
        <f t="shared" si="1544"/>
        <v>x</v>
      </c>
      <c r="CB266" s="112" t="str">
        <f t="shared" si="1545"/>
        <v>x</v>
      </c>
      <c r="CC266" s="112"/>
      <c r="CD266" s="112"/>
      <c r="CE266" s="111"/>
      <c r="CF266" s="111"/>
      <c r="CG266" s="111"/>
      <c r="CH266" s="111"/>
      <c r="CI266" s="111"/>
      <c r="CJ266" s="112" t="str">
        <f t="shared" si="1546"/>
        <v>x</v>
      </c>
      <c r="CK266" s="112"/>
      <c r="CL266" s="112"/>
      <c r="CM266" s="112"/>
      <c r="CN266" s="112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2"/>
      <c r="CZ266" s="112"/>
      <c r="DA266" s="112"/>
      <c r="DB266" s="115"/>
      <c r="DC266" s="112"/>
      <c r="DD266" s="112"/>
      <c r="DE266" s="112" t="str">
        <f t="shared" si="1547"/>
        <v>x</v>
      </c>
      <c r="DF266" s="115" t="str">
        <f t="shared" si="1548"/>
        <v>x</v>
      </c>
      <c r="DG266" s="112" t="str">
        <f t="shared" si="1549"/>
        <v>x</v>
      </c>
      <c r="DH266" s="112" t="str">
        <f t="shared" si="1550"/>
        <v>x</v>
      </c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7"/>
      <c r="EP266" s="117" t="str">
        <f>HYPERLINK("http://www.armut-gesundheit.de/fileadmin/redakteur/dokumente/Anamnesebogen%20-%20ungarischnew.pdf","x")</f>
        <v>x</v>
      </c>
      <c r="EQ266" s="111"/>
      <c r="ER266" s="111"/>
      <c r="ES266" s="111"/>
      <c r="ET266" s="111"/>
      <c r="EU266" s="111"/>
      <c r="EV266" s="112" t="str">
        <f t="shared" si="1551"/>
        <v>x</v>
      </c>
      <c r="EW266" s="111"/>
      <c r="EX266" s="111"/>
      <c r="EY266" s="111"/>
      <c r="EZ266" s="111"/>
      <c r="FA266" s="111"/>
      <c r="FB266" s="111"/>
      <c r="FC266" s="112" t="str">
        <f t="shared" si="1552"/>
        <v>x</v>
      </c>
      <c r="FD266" s="112" t="str">
        <f t="shared" si="1553"/>
        <v>x</v>
      </c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1"/>
      <c r="GA266" s="111"/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2" t="str">
        <f t="shared" si="1251"/>
        <v>x</v>
      </c>
      <c r="HC266" s="111"/>
      <c r="HD266" s="111"/>
      <c r="HE266" s="111"/>
      <c r="HF266" s="111"/>
      <c r="HG266" s="111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2" t="str">
        <f t="shared" si="1554"/>
        <v>x</v>
      </c>
      <c r="HY266" s="112" t="str">
        <f t="shared" si="1555"/>
        <v>x</v>
      </c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  <c r="IW266" s="111"/>
      <c r="IX266" s="111"/>
      <c r="IY266" s="111"/>
      <c r="IZ266" s="111"/>
      <c r="JA266" s="111"/>
      <c r="JB266" s="111"/>
      <c r="JC266" s="111"/>
      <c r="JD266" s="111"/>
      <c r="JE266" s="111"/>
      <c r="JF266" s="111"/>
      <c r="JG266" s="111"/>
      <c r="JH266" s="111"/>
      <c r="JI266" s="111"/>
      <c r="JJ266" s="111"/>
      <c r="JK266" s="111"/>
      <c r="JL266" s="111"/>
      <c r="JM266" s="111"/>
      <c r="JN266" s="111"/>
      <c r="JO266" s="111"/>
      <c r="JP266" s="111"/>
      <c r="JQ266" s="112" t="str">
        <f t="shared" si="1556"/>
        <v>x</v>
      </c>
      <c r="JR266" s="111"/>
      <c r="JS266" s="111"/>
      <c r="JT266" s="111"/>
      <c r="JU266" s="111"/>
      <c r="JV266" s="111"/>
      <c r="JW266" s="111"/>
      <c r="JX266" s="111"/>
      <c r="JY266" s="111"/>
      <c r="JZ266" s="111"/>
      <c r="KA266" s="111"/>
      <c r="KB266" s="111"/>
      <c r="KC266" s="111"/>
      <c r="KD266" s="111"/>
      <c r="KE266" s="111"/>
      <c r="KF266" s="111"/>
      <c r="KG266" s="111"/>
      <c r="KH266" s="111"/>
      <c r="KI266" s="111"/>
      <c r="KJ266" s="111"/>
      <c r="KK266" s="111"/>
      <c r="KL266" s="111"/>
      <c r="KM266" s="111"/>
      <c r="KN266" s="111"/>
      <c r="KO266" s="111"/>
      <c r="KP266" s="111"/>
      <c r="KQ266" s="111"/>
      <c r="KR266" s="111"/>
      <c r="KS266" s="111"/>
      <c r="KT266" s="111"/>
      <c r="KU266" s="111"/>
      <c r="KV266" s="111"/>
      <c r="KW266" s="111"/>
      <c r="KX266" s="111"/>
      <c r="KY266" s="111"/>
      <c r="KZ266" s="111"/>
      <c r="LA266" s="111"/>
      <c r="LB266" s="111"/>
      <c r="LC266" s="111"/>
      <c r="LD266" s="111"/>
      <c r="LE266" s="111"/>
      <c r="LF266" s="111"/>
      <c r="LG266" s="111"/>
      <c r="LH266" s="111"/>
      <c r="LI266" s="111"/>
      <c r="LJ266" s="111"/>
      <c r="LK266" s="111"/>
      <c r="LL266" s="111"/>
      <c r="LM266" s="111"/>
      <c r="LN266" s="111"/>
      <c r="LO266" s="111"/>
      <c r="LP266" s="111"/>
      <c r="LQ266" s="111"/>
      <c r="LR266" s="111"/>
      <c r="LS266" s="111"/>
      <c r="LT266" s="111"/>
      <c r="LU266" s="111"/>
      <c r="LV266" s="111"/>
      <c r="LW266" s="111"/>
      <c r="LX266" s="111"/>
      <c r="LY266" s="111"/>
      <c r="LZ266" s="111"/>
      <c r="MA266" s="111"/>
      <c r="MB266" s="111"/>
      <c r="MC266" s="111"/>
      <c r="MD266" s="111"/>
      <c r="ME266" s="111"/>
      <c r="MF266" s="111"/>
      <c r="MG266" s="111"/>
      <c r="MH266" s="111"/>
    </row>
    <row r="267" spans="1:346" x14ac:dyDescent="0.25">
      <c r="A267" s="110" t="s">
        <v>130</v>
      </c>
      <c r="B267" s="101" t="s">
        <v>76</v>
      </c>
      <c r="C267" s="102"/>
      <c r="D267" s="102"/>
      <c r="E267" s="102"/>
      <c r="F267" s="102"/>
      <c r="G267" s="102"/>
      <c r="H267" s="102"/>
      <c r="I267" s="102"/>
      <c r="J267" s="103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3"/>
      <c r="AV267" s="114" t="str">
        <f t="shared" si="1537"/>
        <v>x</v>
      </c>
      <c r="AW267" s="114" t="str">
        <f t="shared" si="1538"/>
        <v>x</v>
      </c>
      <c r="AX267" s="111"/>
      <c r="AY267" s="111"/>
      <c r="AZ267" s="112" t="str">
        <f t="shared" si="1539"/>
        <v>x</v>
      </c>
      <c r="BA267" s="112" t="str">
        <f t="shared" si="1540"/>
        <v>x</v>
      </c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2" t="str">
        <f t="shared" si="1541"/>
        <v>x</v>
      </c>
      <c r="BS267" s="112"/>
      <c r="BT267" s="111"/>
      <c r="BU267" s="112" t="str">
        <f t="shared" si="1542"/>
        <v>x</v>
      </c>
      <c r="BV267" s="112"/>
      <c r="BW267" s="112"/>
      <c r="BX267" s="112"/>
      <c r="BY267" s="112"/>
      <c r="BZ267" s="112" t="str">
        <f t="shared" si="1543"/>
        <v>x</v>
      </c>
      <c r="CA267" s="112" t="str">
        <f t="shared" si="1544"/>
        <v>x</v>
      </c>
      <c r="CB267" s="112" t="str">
        <f t="shared" si="1545"/>
        <v>x</v>
      </c>
      <c r="CC267" s="112"/>
      <c r="CD267" s="112"/>
      <c r="CE267" s="111"/>
      <c r="CF267" s="111"/>
      <c r="CG267" s="111"/>
      <c r="CH267" s="111"/>
      <c r="CI267" s="111"/>
      <c r="CJ267" s="112" t="str">
        <f t="shared" si="1546"/>
        <v>x</v>
      </c>
      <c r="CK267" s="112"/>
      <c r="CL267" s="112"/>
      <c r="CM267" s="112"/>
      <c r="CN267" s="112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2"/>
      <c r="CZ267" s="112"/>
      <c r="DA267" s="112"/>
      <c r="DB267" s="115"/>
      <c r="DC267" s="112"/>
      <c r="DD267" s="112"/>
      <c r="DE267" s="112" t="str">
        <f t="shared" si="1547"/>
        <v>x</v>
      </c>
      <c r="DF267" s="115" t="str">
        <f t="shared" si="1548"/>
        <v>x</v>
      </c>
      <c r="DG267" s="112" t="str">
        <f t="shared" si="1549"/>
        <v>x</v>
      </c>
      <c r="DH267" s="112" t="str">
        <f t="shared" si="1550"/>
        <v>x</v>
      </c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7"/>
      <c r="EP267" s="117" t="str">
        <f>HYPERLINK("http://www.armut-gesundheit.de/fileadmin/redakteur/dokumente/Anamnesebogen%20-%20ungarischnew.pdf","x")</f>
        <v>x</v>
      </c>
      <c r="EQ267" s="111"/>
      <c r="ER267" s="111"/>
      <c r="ES267" s="111"/>
      <c r="ET267" s="111"/>
      <c r="EU267" s="111"/>
      <c r="EV267" s="112" t="str">
        <f t="shared" si="1551"/>
        <v>x</v>
      </c>
      <c r="EW267" s="111"/>
      <c r="EX267" s="111"/>
      <c r="EY267" s="111"/>
      <c r="EZ267" s="111"/>
      <c r="FA267" s="111"/>
      <c r="FB267" s="111"/>
      <c r="FC267" s="112" t="str">
        <f t="shared" si="1552"/>
        <v>x</v>
      </c>
      <c r="FD267" s="112" t="str">
        <f t="shared" si="1553"/>
        <v>x</v>
      </c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1"/>
      <c r="GA267" s="111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2" t="str">
        <f t="shared" si="1251"/>
        <v>x</v>
      </c>
      <c r="HC267" s="111"/>
      <c r="HD267" s="111"/>
      <c r="HE267" s="111"/>
      <c r="HF267" s="111"/>
      <c r="HG267" s="111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2" t="str">
        <f t="shared" si="1554"/>
        <v>x</v>
      </c>
      <c r="HY267" s="112" t="str">
        <f t="shared" si="1555"/>
        <v>x</v>
      </c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  <c r="IW267" s="111"/>
      <c r="IX267" s="111"/>
      <c r="IY267" s="111"/>
      <c r="IZ267" s="111"/>
      <c r="JA267" s="111"/>
      <c r="JB267" s="111"/>
      <c r="JC267" s="111"/>
      <c r="JD267" s="111"/>
      <c r="JE267" s="111"/>
      <c r="JF267" s="111"/>
      <c r="JG267" s="111"/>
      <c r="JH267" s="111"/>
      <c r="JI267" s="111"/>
      <c r="JJ267" s="111"/>
      <c r="JK267" s="111"/>
      <c r="JL267" s="111"/>
      <c r="JM267" s="111"/>
      <c r="JN267" s="111"/>
      <c r="JO267" s="111"/>
      <c r="JP267" s="111"/>
      <c r="JQ267" s="112" t="str">
        <f t="shared" si="1556"/>
        <v>x</v>
      </c>
      <c r="JR267" s="111"/>
      <c r="JS267" s="111"/>
      <c r="JT267" s="111"/>
      <c r="JU267" s="111"/>
      <c r="JV267" s="111"/>
      <c r="JW267" s="111"/>
      <c r="JX267" s="111"/>
      <c r="JY267" s="111"/>
      <c r="JZ267" s="111"/>
      <c r="KA267" s="111"/>
      <c r="KB267" s="111"/>
      <c r="KC267" s="111"/>
      <c r="KD267" s="111"/>
      <c r="KE267" s="111"/>
      <c r="KF267" s="111"/>
      <c r="KG267" s="111"/>
      <c r="KH267" s="111"/>
      <c r="KI267" s="111"/>
      <c r="KJ267" s="111"/>
      <c r="KK267" s="111"/>
      <c r="KL267" s="111"/>
      <c r="KM267" s="111"/>
      <c r="KN267" s="111"/>
      <c r="KO267" s="111"/>
      <c r="KP267" s="111"/>
      <c r="KQ267" s="111"/>
      <c r="KR267" s="111"/>
      <c r="KS267" s="111"/>
      <c r="KT267" s="111"/>
      <c r="KU267" s="111"/>
      <c r="KV267" s="111"/>
      <c r="KW267" s="111"/>
      <c r="KX267" s="111"/>
      <c r="KY267" s="111"/>
      <c r="KZ267" s="111"/>
      <c r="LA267" s="111"/>
      <c r="LB267" s="111"/>
      <c r="LC267" s="111"/>
      <c r="LD267" s="111"/>
      <c r="LE267" s="111"/>
      <c r="LF267" s="111"/>
      <c r="LG267" s="111"/>
      <c r="LH267" s="111"/>
      <c r="LI267" s="111"/>
      <c r="LJ267" s="111"/>
      <c r="LK267" s="111"/>
      <c r="LL267" s="111"/>
      <c r="LM267" s="111"/>
      <c r="LN267" s="111"/>
      <c r="LO267" s="111"/>
      <c r="LP267" s="111"/>
      <c r="LQ267" s="111"/>
      <c r="LR267" s="111"/>
      <c r="LS267" s="111"/>
      <c r="LT267" s="111"/>
      <c r="LU267" s="111"/>
      <c r="LV267" s="111"/>
      <c r="LW267" s="111"/>
      <c r="LX267" s="111"/>
      <c r="LY267" s="111"/>
      <c r="LZ267" s="111"/>
      <c r="MA267" s="111"/>
      <c r="MB267" s="111"/>
      <c r="MC267" s="111"/>
      <c r="MD267" s="111"/>
      <c r="ME267" s="111"/>
      <c r="MF267" s="111"/>
      <c r="MG267" s="111"/>
      <c r="MH267" s="111"/>
    </row>
    <row r="268" spans="1:346" x14ac:dyDescent="0.25">
      <c r="A268" s="110" t="s">
        <v>130</v>
      </c>
      <c r="B268" s="101" t="s">
        <v>416</v>
      </c>
      <c r="C268" s="102"/>
      <c r="D268" s="102"/>
      <c r="E268" s="102"/>
      <c r="F268" s="102"/>
      <c r="G268" s="102"/>
      <c r="H268" s="102"/>
      <c r="I268" s="102"/>
      <c r="J268" s="103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3"/>
      <c r="AV268" s="114" t="str">
        <f t="shared" si="1537"/>
        <v>x</v>
      </c>
      <c r="AW268" s="114" t="str">
        <f t="shared" si="1538"/>
        <v>x</v>
      </c>
      <c r="AX268" s="111"/>
      <c r="AY268" s="111"/>
      <c r="AZ268" s="112" t="str">
        <f t="shared" si="1539"/>
        <v>x</v>
      </c>
      <c r="BA268" s="112" t="str">
        <f t="shared" si="1540"/>
        <v>x</v>
      </c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2" t="str">
        <f t="shared" si="1541"/>
        <v>x</v>
      </c>
      <c r="BS268" s="112"/>
      <c r="BT268" s="111"/>
      <c r="BU268" s="112" t="str">
        <f t="shared" si="1542"/>
        <v>x</v>
      </c>
      <c r="BV268" s="112"/>
      <c r="BW268" s="112"/>
      <c r="BX268" s="112"/>
      <c r="BY268" s="112"/>
      <c r="BZ268" s="112" t="str">
        <f t="shared" si="1543"/>
        <v>x</v>
      </c>
      <c r="CA268" s="112" t="str">
        <f t="shared" si="1544"/>
        <v>x</v>
      </c>
      <c r="CB268" s="112" t="str">
        <f t="shared" si="1545"/>
        <v>x</v>
      </c>
      <c r="CC268" s="112"/>
      <c r="CD268" s="112"/>
      <c r="CE268" s="111"/>
      <c r="CF268" s="111"/>
      <c r="CG268" s="111"/>
      <c r="CH268" s="111"/>
      <c r="CI268" s="111"/>
      <c r="CJ268" s="112" t="str">
        <f t="shared" si="1546"/>
        <v>x</v>
      </c>
      <c r="CK268" s="112"/>
      <c r="CL268" s="112"/>
      <c r="CM268" s="112"/>
      <c r="CN268" s="112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2"/>
      <c r="CZ268" s="112"/>
      <c r="DA268" s="112"/>
      <c r="DB268" s="115"/>
      <c r="DC268" s="112"/>
      <c r="DD268" s="112"/>
      <c r="DE268" s="112" t="str">
        <f t="shared" si="1547"/>
        <v>x</v>
      </c>
      <c r="DF268" s="115" t="str">
        <f t="shared" si="1548"/>
        <v>x</v>
      </c>
      <c r="DG268" s="112" t="str">
        <f t="shared" si="1549"/>
        <v>x</v>
      </c>
      <c r="DH268" s="112" t="str">
        <f t="shared" si="1550"/>
        <v>x</v>
      </c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7"/>
      <c r="EP268" s="117" t="str">
        <f>HYPERLINK("http://www.armut-gesundheit.de/fileadmin/redakteur/dokumente/Anamnesebogen%20-%20ungarischnew.pdf","x")</f>
        <v>x</v>
      </c>
      <c r="EQ268" s="111"/>
      <c r="ER268" s="111"/>
      <c r="ES268" s="111"/>
      <c r="ET268" s="111"/>
      <c r="EU268" s="111"/>
      <c r="EV268" s="112" t="str">
        <f t="shared" si="1551"/>
        <v>x</v>
      </c>
      <c r="EW268" s="111"/>
      <c r="EX268" s="111"/>
      <c r="EY268" s="111"/>
      <c r="EZ268" s="111"/>
      <c r="FA268" s="111"/>
      <c r="FB268" s="111"/>
      <c r="FC268" s="112" t="str">
        <f t="shared" si="1552"/>
        <v>x</v>
      </c>
      <c r="FD268" s="112" t="str">
        <f t="shared" si="1553"/>
        <v>x</v>
      </c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  <c r="FW268" s="111"/>
      <c r="FX268" s="111"/>
      <c r="FY268" s="111"/>
      <c r="FZ268" s="111"/>
      <c r="GA268" s="111"/>
      <c r="GB268" s="111"/>
      <c r="GC268" s="111"/>
      <c r="GD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2" t="str">
        <f t="shared" si="1251"/>
        <v>x</v>
      </c>
      <c r="HC268" s="111"/>
      <c r="HD268" s="111"/>
      <c r="HE268" s="111"/>
      <c r="HF268" s="111"/>
      <c r="HG268" s="111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2" t="str">
        <f t="shared" si="1554"/>
        <v>x</v>
      </c>
      <c r="HY268" s="112" t="str">
        <f t="shared" si="1555"/>
        <v>x</v>
      </c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  <c r="IW268" s="111"/>
      <c r="IX268" s="111"/>
      <c r="IY268" s="111"/>
      <c r="IZ268" s="111"/>
      <c r="JA268" s="111"/>
      <c r="JB268" s="111"/>
      <c r="JC268" s="111"/>
      <c r="JD268" s="111"/>
      <c r="JE268" s="111"/>
      <c r="JF268" s="111"/>
      <c r="JG268" s="111"/>
      <c r="JH268" s="111"/>
      <c r="JI268" s="111"/>
      <c r="JJ268" s="111"/>
      <c r="JK268" s="111"/>
      <c r="JL268" s="111"/>
      <c r="JM268" s="111"/>
      <c r="JN268" s="111"/>
      <c r="JO268" s="111"/>
      <c r="JP268" s="111"/>
      <c r="JQ268" s="112" t="str">
        <f t="shared" si="1556"/>
        <v>x</v>
      </c>
      <c r="JR268" s="111"/>
      <c r="JS268" s="111"/>
      <c r="JT268" s="111"/>
      <c r="JU268" s="111"/>
      <c r="JV268" s="111"/>
      <c r="JW268" s="111"/>
      <c r="JX268" s="111"/>
      <c r="JY268" s="111"/>
      <c r="JZ268" s="111"/>
      <c r="KA268" s="111"/>
      <c r="KB268" s="111"/>
      <c r="KC268" s="111"/>
      <c r="KD268" s="111"/>
      <c r="KE268" s="111"/>
      <c r="KF268" s="111"/>
      <c r="KG268" s="111"/>
      <c r="KH268" s="111"/>
      <c r="KI268" s="111"/>
      <c r="KJ268" s="111"/>
      <c r="KK268" s="111"/>
      <c r="KL268" s="111"/>
      <c r="KM268" s="111"/>
      <c r="KN268" s="111"/>
      <c r="KO268" s="111"/>
      <c r="KP268" s="111"/>
      <c r="KQ268" s="111"/>
      <c r="KR268" s="111"/>
      <c r="KS268" s="111"/>
      <c r="KT268" s="111"/>
      <c r="KU268" s="111"/>
      <c r="KV268" s="111"/>
      <c r="KW268" s="111"/>
      <c r="KX268" s="111"/>
      <c r="KY268" s="111"/>
      <c r="KZ268" s="111"/>
      <c r="LA268" s="111"/>
      <c r="LB268" s="111"/>
      <c r="LC268" s="111"/>
      <c r="LD268" s="111"/>
      <c r="LE268" s="111"/>
      <c r="LF268" s="111"/>
      <c r="LG268" s="111"/>
      <c r="LH268" s="111"/>
      <c r="LI268" s="111"/>
      <c r="LJ268" s="111"/>
      <c r="LK268" s="111"/>
      <c r="LL268" s="111"/>
      <c r="LM268" s="111"/>
      <c r="LN268" s="111"/>
      <c r="LO268" s="111"/>
      <c r="LP268" s="111"/>
      <c r="LQ268" s="111"/>
      <c r="LR268" s="111"/>
      <c r="LS268" s="111"/>
      <c r="LT268" s="111"/>
      <c r="LU268" s="111"/>
      <c r="LV268" s="111"/>
      <c r="LW268" s="111"/>
      <c r="LX268" s="111"/>
      <c r="LY268" s="111"/>
      <c r="LZ268" s="111"/>
      <c r="MA268" s="111"/>
      <c r="MB268" s="111"/>
      <c r="MC268" s="111"/>
      <c r="MD268" s="111"/>
      <c r="ME268" s="111"/>
      <c r="MF268" s="111"/>
      <c r="MG268" s="111"/>
      <c r="MH268" s="111"/>
    </row>
    <row r="269" spans="1:346" x14ac:dyDescent="0.25">
      <c r="A269" s="101" t="s">
        <v>12</v>
      </c>
      <c r="B269" s="102"/>
      <c r="C269" s="102"/>
      <c r="D269" s="102"/>
      <c r="E269" s="102"/>
      <c r="F269" s="102"/>
      <c r="G269" s="102"/>
      <c r="H269" s="102"/>
      <c r="I269" s="102"/>
      <c r="J269" s="103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6"/>
      <c r="AV269" s="106"/>
      <c r="AW269" s="106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5"/>
      <c r="EL269" s="104"/>
      <c r="EM269" s="104"/>
      <c r="EN269" s="104"/>
      <c r="EO269" s="109"/>
      <c r="EP269" s="109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5"/>
      <c r="GT269" s="104"/>
      <c r="GU269" s="104"/>
      <c r="GV269" s="104"/>
      <c r="GW269" s="104"/>
      <c r="GX269" s="104"/>
      <c r="GY269" s="104"/>
      <c r="GZ269" s="104"/>
      <c r="HA269" s="104"/>
      <c r="HB269" s="105"/>
      <c r="HC269" s="104"/>
      <c r="HD269" s="104"/>
      <c r="HE269" s="104"/>
      <c r="HF269" s="104"/>
      <c r="HG269" s="104"/>
      <c r="HH269" s="104"/>
      <c r="HI269" s="104"/>
      <c r="HJ269" s="104"/>
      <c r="HK269" s="105"/>
      <c r="HL269" s="105"/>
      <c r="HM269" s="105"/>
      <c r="HN269" s="105"/>
      <c r="HO269" s="105"/>
      <c r="HP269" s="105"/>
      <c r="HQ269" s="105"/>
      <c r="HR269" s="105"/>
      <c r="HS269" s="105"/>
      <c r="HT269" s="105"/>
      <c r="HU269" s="105"/>
      <c r="HV269" s="105"/>
      <c r="HW269" s="105"/>
      <c r="HX269" s="105"/>
      <c r="HY269" s="105"/>
      <c r="HZ269" s="105"/>
      <c r="IA269" s="105"/>
      <c r="IB269" s="105"/>
      <c r="IC269" s="105"/>
      <c r="ID269" s="105"/>
      <c r="IE269" s="105"/>
      <c r="IF269" s="105"/>
      <c r="IG269" s="104"/>
      <c r="IH269" s="105"/>
      <c r="II269" s="105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  <c r="IW269" s="104"/>
      <c r="IX269" s="104"/>
      <c r="IY269" s="104"/>
      <c r="IZ269" s="104"/>
      <c r="JA269" s="104"/>
      <c r="JB269" s="104"/>
      <c r="JC269" s="104"/>
      <c r="JD269" s="104"/>
      <c r="JE269" s="104"/>
      <c r="JF269" s="104"/>
      <c r="JG269" s="104"/>
      <c r="JH269" s="104"/>
      <c r="JI269" s="104"/>
      <c r="JJ269" s="104"/>
      <c r="JK269" s="104"/>
      <c r="JL269" s="104"/>
      <c r="JM269" s="104"/>
      <c r="JN269" s="104"/>
      <c r="JO269" s="104"/>
      <c r="JP269" s="104"/>
      <c r="JQ269" s="104"/>
      <c r="JR269" s="104"/>
      <c r="JS269" s="104"/>
      <c r="JT269" s="104"/>
      <c r="JU269" s="104"/>
      <c r="JV269" s="104"/>
      <c r="JW269" s="104"/>
      <c r="JX269" s="104"/>
      <c r="JY269" s="104"/>
      <c r="JZ269" s="104"/>
      <c r="KA269" s="104"/>
      <c r="KB269" s="104"/>
      <c r="KC269" s="104"/>
      <c r="KD269" s="104"/>
      <c r="KE269" s="104"/>
      <c r="KF269" s="104"/>
      <c r="KG269" s="104"/>
      <c r="KH269" s="104"/>
      <c r="KI269" s="104"/>
      <c r="KJ269" s="104"/>
      <c r="KK269" s="104"/>
      <c r="KL269" s="104"/>
      <c r="KM269" s="104"/>
      <c r="KN269" s="104"/>
      <c r="KO269" s="104"/>
      <c r="KP269" s="104"/>
      <c r="KQ269" s="104"/>
      <c r="KR269" s="104"/>
      <c r="KS269" s="104"/>
      <c r="KT269" s="104"/>
      <c r="KU269" s="104"/>
      <c r="KV269" s="104"/>
      <c r="KW269" s="104"/>
      <c r="KX269" s="104"/>
      <c r="KY269" s="104"/>
      <c r="KZ269" s="104"/>
      <c r="LA269" s="104"/>
      <c r="LB269" s="104"/>
      <c r="LC269" s="104"/>
      <c r="LD269" s="104"/>
      <c r="LE269" s="104"/>
      <c r="LF269" s="104"/>
      <c r="LG269" s="104"/>
      <c r="LH269" s="104"/>
      <c r="LI269" s="104"/>
      <c r="LJ269" s="104"/>
      <c r="LK269" s="104"/>
      <c r="LL269" s="104"/>
      <c r="LM269" s="104"/>
      <c r="LN269" s="104"/>
      <c r="LO269" s="104"/>
      <c r="LP269" s="104"/>
      <c r="LQ269" s="104"/>
      <c r="LR269" s="104"/>
      <c r="LS269" s="104"/>
      <c r="LT269" s="104"/>
      <c r="LU269" s="104"/>
      <c r="LV269" s="104"/>
      <c r="LW269" s="104"/>
      <c r="LX269" s="104"/>
      <c r="LY269" s="104"/>
      <c r="LZ269" s="104"/>
      <c r="MA269" s="104"/>
      <c r="MB269" s="104"/>
      <c r="MC269" s="104"/>
      <c r="MD269" s="104"/>
      <c r="ME269" s="104"/>
      <c r="MF269" s="104"/>
      <c r="MG269" s="104"/>
      <c r="MH269" s="104"/>
    </row>
    <row r="270" spans="1:346" x14ac:dyDescent="0.25">
      <c r="A270" s="110" t="s">
        <v>12</v>
      </c>
      <c r="B270" s="101" t="s">
        <v>90</v>
      </c>
      <c r="C270" s="102"/>
      <c r="D270" s="102"/>
      <c r="E270" s="102"/>
      <c r="F270" s="102"/>
      <c r="G270" s="102"/>
      <c r="H270" s="102"/>
      <c r="I270" s="102"/>
      <c r="J270" s="103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3"/>
      <c r="AV270" s="114" t="str">
        <f t="shared" ref="AV270:AV271" si="1557">HYPERLINK("http://sab.landtag.sachsen.de/dokumente/landtagskurier/SAB_DeutschLernen_DinA5_WEB141115.pdf","x")</f>
        <v>x</v>
      </c>
      <c r="AW270" s="114" t="str">
        <f t="shared" ref="AW270:AW271" si="1558">HYPERLINK("http://sab.landtag.sachsen.de/dokumente/landtagskurier/SAB_PL_Lernposter_WEB091115.pdf","x")</f>
        <v>x</v>
      </c>
      <c r="AX270" s="111"/>
      <c r="AY270" s="111"/>
      <c r="AZ270" s="112" t="str">
        <f t="shared" ref="AZ270:AZ276" si="155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0" s="112" t="str">
        <f t="shared" ref="BA270:BA276" si="1560">HYPERLINK("http://wie-kann-ich-helfen.info/WoerterbuchAnalphabet_innen_%28c%29_Dagmar_Schmeelcke.pdf","x")</f>
        <v>x</v>
      </c>
      <c r="BB270" s="111"/>
      <c r="BC270" s="111"/>
      <c r="BD270" s="111"/>
      <c r="BE270" s="111"/>
      <c r="BF270" s="111"/>
      <c r="BG270" s="112" t="str">
        <f t="shared" ref="BG270:BG271" si="1561">HYPERLINK("http://www.refugeephrasebook.de/pdf/germany150920.pdf","x")</f>
        <v>x</v>
      </c>
      <c r="BH270" s="112" t="str">
        <f>HYPERLINK("https://www.advanced-online.eu/downloads/RefugeePhrasebookCards_German-Urdu.pdf","x")</f>
        <v>x</v>
      </c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2" t="str">
        <f t="shared" ref="BR270:BR271" si="1562">HYPERLINK("http://www.goethe.de/lrn/prj/wnd/deu/lti/deindex.htm#13322010","x")</f>
        <v>x</v>
      </c>
      <c r="BS270" s="112"/>
      <c r="BT270" s="111"/>
      <c r="BU270" s="112" t="str">
        <f t="shared" ref="BU270:BU271" si="1563">HYPERLINK("https://s3-eu-west-1.amazonaws.com/lingolia/download/lingolia_daf.pdf","x")</f>
        <v>x</v>
      </c>
      <c r="BV270" s="112" t="str">
        <f>HYPERLINK("http://www.welcomegrooves.de/wp-content/uploads/2015/11/welcomegrooves_DE-URDU_V2.pdf","x")</f>
        <v>x</v>
      </c>
      <c r="BW270" s="112"/>
      <c r="BX270" s="112"/>
      <c r="BY270" s="112" t="str">
        <f>HYPERLINK("http://fluechtlingshilfe-nettetal.de/ausbildung/video-sprachkurse-deutsch-fuer-fluechtlinge/video-sprachkurs-urdu-deutsch/","x")</f>
        <v>x</v>
      </c>
      <c r="BZ270" s="112" t="str">
        <f t="shared" ref="BZ270:BZ271" si="1564">HYPERLINK("http://www.hueber.de/shared/uebungen/schritte-plus","x")</f>
        <v>x</v>
      </c>
      <c r="CA270" s="112" t="str">
        <f t="shared" ref="CA270:CA271" si="1565">HYPERLINK("https://www.hueber.de/shared/uebungen/menschen-hier/ab/a1-1/menu.html","x")</f>
        <v>x</v>
      </c>
      <c r="CB270" s="112" t="str">
        <f t="shared" ref="CB270:CB271" si="1566">HYPERLINK("http://www.goethe-verlag.com/DE/","x")</f>
        <v>x</v>
      </c>
      <c r="CC270" s="112"/>
      <c r="CD270" s="112"/>
      <c r="CE270" s="111"/>
      <c r="CF270" s="111"/>
      <c r="CG270" s="111"/>
      <c r="CH270" s="111"/>
      <c r="CI270" s="111"/>
      <c r="CJ270" s="112" t="str">
        <f t="shared" ref="CJ270:CJ271" si="1567">HYPERLINK("http://www.e-migrantinnen.de/index.php?de_wichtige-links","x")</f>
        <v>x</v>
      </c>
      <c r="CK270" s="112"/>
      <c r="CL270" s="112"/>
      <c r="CM270" s="112"/>
      <c r="CN270" s="112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2"/>
      <c r="CZ270" s="112"/>
      <c r="DA270" s="112"/>
      <c r="DB270" s="115"/>
      <c r="DC270" s="112"/>
      <c r="DD270" s="112"/>
      <c r="DE270" s="112" t="str">
        <f t="shared" ref="DE270:DE271" si="1568">HYPERLINK("http://fi-lohmar-siegburg.de/data/documents/130-37_Inklusion_im_Anfangsunterricht_-_Poster_mit_Situationsbildern.pdf","x")</f>
        <v>x</v>
      </c>
      <c r="DF270" s="115" t="str">
        <f t="shared" ref="DF270:DF271" si="1569">HYPERLINK("http://s3-eu-west-1.amazonaws.com/lingolia/calendar/2016/lingolia_2016_de.pdf","x")</f>
        <v>x</v>
      </c>
      <c r="DG270" s="112" t="str">
        <f t="shared" ref="DG270:DG271" si="1570">HYPERLINK("http://www.bibliomedia.ch/de/angebote/img/Wimmelbild.jpg","x")</f>
        <v>x</v>
      </c>
      <c r="DH270" s="112" t="str">
        <f t="shared" ref="DH270:DH271" si="1571">HYPERLINK("http://www.bibliomedia.ch/de/angebote/dokumente/Wimmelbild_Fehler.jpg","x")</f>
        <v>x</v>
      </c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2" t="str">
        <f>HYPERLINK("http://www.kvs-sachsen.de/fileadmin/img/Mitglieder/Asylbewerber/Allg-Informationen/Anlage_1_Urdu_LEK.pdf","x")</f>
        <v>x</v>
      </c>
      <c r="EM270" s="111"/>
      <c r="EN270" s="111"/>
      <c r="EO270" s="117" t="str">
        <f t="shared" ref="EO270:EO271" si="1572">HYPERLINK("http://www.medi-bild.de/pdf/anamnese/Welche_Sprache.pdf","x")</f>
        <v>x</v>
      </c>
      <c r="EP270" s="118"/>
      <c r="EQ270" s="112" t="str">
        <f>HYPERLINK("http://www.kvs-sachsen.de/fileadmin/img/Mitglieder/Asylbewerber/Allg-Informationen/Anlagen_2-1_2-2_Urdu_LEK.pdf","x")</f>
        <v>x</v>
      </c>
      <c r="ER270" s="111"/>
      <c r="ES270" s="111"/>
      <c r="ET270" s="111"/>
      <c r="EU270" s="111"/>
      <c r="EV270" s="112" t="str">
        <f t="shared" ref="EV270:EV271" si="1573">HYPERLINK("http://www.lak-rlp.de/fileadmin/redakteure/pdf/download/Piktogramme_Dosieretiketten_AoG.pdf","x")</f>
        <v>x</v>
      </c>
      <c r="EW270" s="111"/>
      <c r="EX270" s="111"/>
      <c r="EY270" s="111"/>
      <c r="EZ270" s="111"/>
      <c r="FA270" s="111"/>
      <c r="FB270" s="111"/>
      <c r="FC270" s="112" t="str">
        <f t="shared" ref="FC270:FC271" si="1574">HYPERLINK("http://mige.ix-tech.de/index.php?id=241","x")</f>
        <v>x</v>
      </c>
      <c r="FD270" s="112" t="str">
        <f t="shared" ref="FD270:FD271" si="1575">HYPERLINK("http://sghanstedt.elbnetz.com/ueber-uns/","x")</f>
        <v>x</v>
      </c>
      <c r="FE270" s="111"/>
      <c r="FF270" s="112" t="str">
        <f t="shared" ref="FF270:FF271" si="1576">HYPERLINK("http://www.tipdoc.de/grafik/asyl/Gesundheitsheft_Asyl.pdf","x")</f>
        <v>x</v>
      </c>
      <c r="FG270" s="111"/>
      <c r="FH270" s="111"/>
      <c r="FI270" s="112"/>
      <c r="FJ270" s="112" t="str">
        <f>HYPERLINK("http://www.rki.de/DE/Content/Infekt/Impfen/Materialien/Downloads-Impfkalender/Impfkalender_Urdu.pdf?__blob=publicationFile","x")</f>
        <v>x</v>
      </c>
      <c r="FK270" s="111"/>
      <c r="FL270" s="111"/>
      <c r="FM270" s="112" t="str">
        <f>HYPERLINK("http://www.rki.de/DE/Content/Infekt/Impfen/Materialien/Glossar-Downloads/glossar-de-urdu.pdf?__blob=publicationFile","x")</f>
        <v>x</v>
      </c>
      <c r="FN270" s="112"/>
      <c r="FO270" s="112" t="str">
        <f>HYPERLINK("http://www.rki.de/DE/Content/Infekt/Impfen/Materialien/Downloads-MMR/MMR-Impfinfo-urdu.pdf?__blob=publicationFile","x")</f>
        <v>x</v>
      </c>
      <c r="FP270" s="111"/>
      <c r="FQ270" s="112" t="str">
        <f>HYPERLINK("http://www.rki.de/DE/Content/Infekt/Impfen/Materialien/Downloads_HepA/Aufklaerung_HAV-Impfung_Urdu.pdf?__blob=publicationFile","x")</f>
        <v>x</v>
      </c>
      <c r="FR270" s="112" t="str">
        <f>HYPERLINK("http://www.rki.de/DE/Content/Infekt/Impfen/Materialien/Downloads_Pneumokokken/Aufklaerung_Pneumo-Impfung_Urdu.pdf?__blob=publicationFile","x")</f>
        <v>x</v>
      </c>
      <c r="FS270" s="112" t="str">
        <f>HYPERLINK("http://www.rki.de/DE/Content/Infekt/Impfen/Materialien/Downloads-DTaPIPVHibHepB/DTaPIPVHibHepB-urdu.pdf?__blob=publicationFile","x")</f>
        <v>x</v>
      </c>
      <c r="FT270" s="112" t="str">
        <f>HYPERLINK("http://www.rki.de/DE/Content/Infekt/Impfen/Materialien/Downloads-Varizellen/Varizellen-Impfinfo-urdu.pdf;jsessionid=65B697F4EE7EDA8A1ED9E2C4CD6C74EC.2_cid363?__blob=publicationFile","x")</f>
        <v>x</v>
      </c>
      <c r="FU270" s="112" t="str">
        <f>HYPERLINK("http://www.rki.de/DE/Content/Infekt/Impfen/Materialien/Downloads-Tdap-IPV/Tdap-IPV-urdu.pdf?__blob=publicationFile","x")</f>
        <v>x</v>
      </c>
      <c r="FV270" s="112" t="str">
        <f>HYPERLINK("http://www.rki.de/DE/Content/Infekt/Impfen/Materialien/Downloads-Influenza_nasal/Influenza_nasal-urdu.pdf?__blob=publicationFile","x")</f>
        <v>x</v>
      </c>
      <c r="FW270" s="111"/>
      <c r="FX270" s="111"/>
      <c r="FY270" s="111"/>
      <c r="FZ270" s="111"/>
      <c r="GA270" s="111"/>
      <c r="GB270" s="111"/>
      <c r="GC270" s="111"/>
      <c r="GD270" s="111"/>
      <c r="GE270" s="111"/>
      <c r="GF270" s="111"/>
      <c r="GG270" s="111"/>
      <c r="GH270" s="111"/>
      <c r="GI270" s="111"/>
      <c r="GJ270" s="111"/>
      <c r="GK270" s="111"/>
      <c r="GL270" s="112" t="str">
        <f>HYPERLINK("http://www.rki.de/DE/Content/Infekt/Impfen/Materialien/Downloads-Influenza/Influenza-urdu.pdf?__blob=publicationFile","x")</f>
        <v>x</v>
      </c>
      <c r="GM270" s="111"/>
      <c r="GN270" s="111"/>
      <c r="GO270" s="112" t="str">
        <f>HYPERLINK("http://www.tipdoc.de/grafik/pdf/kopflaeuse/Kopflaeuse_URDU.pdf","x")</f>
        <v>x</v>
      </c>
      <c r="GP270" s="112"/>
      <c r="GQ270" s="112" t="str">
        <f>HYPERLINK("http://www.tipdoc.com/bus/pdf/kraetze/tipdoc_Scabies_URDU.pdf","x")</f>
        <v>x</v>
      </c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2" t="str">
        <f t="shared" si="1251"/>
        <v>x</v>
      </c>
      <c r="HC270" s="111"/>
      <c r="HD270" s="111"/>
      <c r="HE270" s="111"/>
      <c r="HF270" s="111"/>
      <c r="HG270" s="111"/>
      <c r="HH270" s="111"/>
      <c r="HI270" s="111"/>
      <c r="HJ270" s="112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2" t="str">
        <f t="shared" ref="HX270:HX271" si="1577">HYPERLINK("http://www.selfhelpfortrauma.org/","x")</f>
        <v>x</v>
      </c>
      <c r="HY270" s="112" t="str">
        <f t="shared" ref="HY270:HY271" si="1578">HYPERLINK("http://peacefulheart.se/wp-content/uploads/2014/12/Resolving-Yesterday-20141201-Self-Tapping.pdf","x")</f>
        <v>x</v>
      </c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2" t="str">
        <f>HYPERLINK("http://www.bamf.de/SharedDocs/Anlagen/DE/Publikationen/Flyer/flyer-erstorientierung-asylsuchende_urdu.pdf?__blob=publicationFile","x")</f>
        <v>x</v>
      </c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  <c r="IW270" s="111"/>
      <c r="IX270" s="111"/>
      <c r="IY270" s="111"/>
      <c r="IZ270" s="111"/>
      <c r="JA270" s="111"/>
      <c r="JB270" s="111"/>
      <c r="JC270" s="111"/>
      <c r="JD270" s="111"/>
      <c r="JE270" s="111"/>
      <c r="JF270" s="111"/>
      <c r="JG270" s="111"/>
      <c r="JH270" s="111"/>
      <c r="JI270" s="111"/>
      <c r="JJ270" s="111"/>
      <c r="JK270" s="111"/>
      <c r="JL270" s="111"/>
      <c r="JM270" s="111"/>
      <c r="JN270" s="111"/>
      <c r="JO270" s="111"/>
      <c r="JP270" s="111"/>
      <c r="JQ270" s="111"/>
      <c r="JR270" s="111"/>
      <c r="JS270" s="111"/>
      <c r="JT270" s="111"/>
      <c r="JU270" s="111"/>
      <c r="JV270" s="111"/>
      <c r="JW270" s="111"/>
      <c r="JX270" s="112"/>
      <c r="JY270" s="112"/>
      <c r="JZ270" s="112"/>
      <c r="KA270" s="112" t="str">
        <f>HYPERLINK("http://www.refugeeguide.de/dl/RefugeeGuide_ur_104.pdf","x")</f>
        <v>x</v>
      </c>
      <c r="KB270" s="111"/>
      <c r="KC270" s="111"/>
      <c r="KD270" s="112" t="str">
        <f t="shared" ref="KD270:KD271" si="1579">HYPERLINK("http://www.frauenrechte.de/online/images/downloads/allgemein/TDF_Flyer_Women_Men.pdf","x")</f>
        <v>x</v>
      </c>
      <c r="KE270" s="111"/>
      <c r="KF270" s="112"/>
      <c r="KG270" s="112"/>
      <c r="KH270" s="112"/>
      <c r="KI270" s="112"/>
      <c r="KJ270" s="112"/>
      <c r="KK270" s="112"/>
      <c r="KL270" s="112"/>
      <c r="KM270" s="112"/>
      <c r="KN270" s="112"/>
      <c r="KO270" s="112"/>
      <c r="KP270" s="112"/>
      <c r="KQ270" s="112"/>
      <c r="KR270" s="112"/>
      <c r="KS270" s="112"/>
      <c r="KT270" s="112"/>
      <c r="KU270" s="112"/>
      <c r="KV270" s="112"/>
      <c r="KW270" s="112"/>
      <c r="KX270" s="112"/>
      <c r="KY270" s="112"/>
      <c r="KZ270" s="112"/>
      <c r="LA270" s="112"/>
      <c r="LB270" s="111"/>
      <c r="LC270" s="111"/>
      <c r="LD270" s="111"/>
      <c r="LE270" s="111"/>
      <c r="LF270" s="111"/>
      <c r="LG270" s="111"/>
      <c r="LH270" s="111"/>
      <c r="LI270" s="111"/>
      <c r="LJ270" s="111"/>
      <c r="LK270" s="111"/>
      <c r="LL270" s="111"/>
      <c r="LM270" s="111"/>
      <c r="LN270" s="111"/>
      <c r="LO270" s="111"/>
      <c r="LP270" s="111"/>
      <c r="LQ270" s="111"/>
      <c r="LR270" s="111"/>
      <c r="LS270" s="111"/>
      <c r="LT270" s="111"/>
      <c r="LU270" s="111"/>
      <c r="LV270" s="111"/>
      <c r="LW270" s="111"/>
      <c r="LX270" s="111"/>
      <c r="LY270" s="111"/>
      <c r="LZ270" s="111"/>
      <c r="MA270" s="111"/>
      <c r="MB270" s="111"/>
      <c r="MC270" s="111"/>
      <c r="MD270" s="111"/>
      <c r="ME270" s="111"/>
      <c r="MF270" s="111"/>
      <c r="MG270" s="111"/>
      <c r="MH270" s="111"/>
    </row>
    <row r="271" spans="1:346" x14ac:dyDescent="0.25">
      <c r="A271" s="110" t="s">
        <v>12</v>
      </c>
      <c r="B271" s="101" t="s">
        <v>73</v>
      </c>
      <c r="C271" s="102"/>
      <c r="D271" s="102"/>
      <c r="E271" s="102"/>
      <c r="F271" s="102"/>
      <c r="G271" s="102"/>
      <c r="H271" s="102"/>
      <c r="I271" s="102"/>
      <c r="J271" s="103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3"/>
      <c r="AV271" s="114" t="str">
        <f t="shared" si="1557"/>
        <v>x</v>
      </c>
      <c r="AW271" s="114" t="str">
        <f t="shared" si="1558"/>
        <v>x</v>
      </c>
      <c r="AX271" s="111"/>
      <c r="AY271" s="111"/>
      <c r="AZ271" s="112" t="str">
        <f t="shared" si="1559"/>
        <v>x</v>
      </c>
      <c r="BA271" s="112" t="str">
        <f t="shared" si="1560"/>
        <v>x</v>
      </c>
      <c r="BB271" s="111"/>
      <c r="BC271" s="111"/>
      <c r="BD271" s="111"/>
      <c r="BE271" s="111"/>
      <c r="BF271" s="111"/>
      <c r="BG271" s="112" t="str">
        <f t="shared" si="1561"/>
        <v>x</v>
      </c>
      <c r="BH271" s="112" t="str">
        <f>HYPERLINK("https://www.advanced-online.eu/downloads/RefugeePhrasebookCards_German-Urdu.pdf","x")</f>
        <v>x</v>
      </c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2" t="str">
        <f t="shared" si="1562"/>
        <v>x</v>
      </c>
      <c r="BS271" s="112"/>
      <c r="BT271" s="111"/>
      <c r="BU271" s="112" t="str">
        <f t="shared" si="1563"/>
        <v>x</v>
      </c>
      <c r="BV271" s="112" t="str">
        <f>HYPERLINK("http://www.welcomegrooves.de/wp-content/uploads/2015/11/welcomegrooves_DE-URDU_V2.pdf","x")</f>
        <v>x</v>
      </c>
      <c r="BW271" s="112"/>
      <c r="BX271" s="112"/>
      <c r="BY271" s="112" t="str">
        <f>HYPERLINK("http://fluechtlingshilfe-nettetal.de/ausbildung/video-sprachkurse-deutsch-fuer-fluechtlinge/video-sprachkurs-urdu-deutsch/","x")</f>
        <v>x</v>
      </c>
      <c r="BZ271" s="112" t="str">
        <f t="shared" si="1564"/>
        <v>x</v>
      </c>
      <c r="CA271" s="112" t="str">
        <f t="shared" si="1565"/>
        <v>x</v>
      </c>
      <c r="CB271" s="112" t="str">
        <f t="shared" si="1566"/>
        <v>x</v>
      </c>
      <c r="CC271" s="112"/>
      <c r="CD271" s="112"/>
      <c r="CE271" s="111"/>
      <c r="CF271" s="111"/>
      <c r="CG271" s="111"/>
      <c r="CH271" s="111"/>
      <c r="CI271" s="111"/>
      <c r="CJ271" s="112" t="str">
        <f t="shared" si="1567"/>
        <v>x</v>
      </c>
      <c r="CK271" s="112"/>
      <c r="CL271" s="112"/>
      <c r="CM271" s="112"/>
      <c r="CN271" s="112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2"/>
      <c r="CZ271" s="112"/>
      <c r="DA271" s="112"/>
      <c r="DB271" s="115"/>
      <c r="DC271" s="112"/>
      <c r="DD271" s="112"/>
      <c r="DE271" s="112" t="str">
        <f t="shared" si="1568"/>
        <v>x</v>
      </c>
      <c r="DF271" s="115" t="str">
        <f t="shared" si="1569"/>
        <v>x</v>
      </c>
      <c r="DG271" s="112" t="str">
        <f t="shared" si="1570"/>
        <v>x</v>
      </c>
      <c r="DH271" s="112" t="str">
        <f t="shared" si="1571"/>
        <v>x</v>
      </c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2" t="str">
        <f>HYPERLINK("http://www.kvs-sachsen.de/fileadmin/img/Mitglieder/Asylbewerber/Allg-Informationen/Anlage_1_Urdu_LEK.pdf","x")</f>
        <v>x</v>
      </c>
      <c r="EM271" s="111"/>
      <c r="EN271" s="111"/>
      <c r="EO271" s="117" t="str">
        <f t="shared" si="1572"/>
        <v>x</v>
      </c>
      <c r="EP271" s="118"/>
      <c r="EQ271" s="112" t="str">
        <f>HYPERLINK("http://www.kvs-sachsen.de/fileadmin/img/Mitglieder/Asylbewerber/Allg-Informationen/Anlagen_2-1_2-2_Urdu_LEK.pdf","x")</f>
        <v>x</v>
      </c>
      <c r="ER271" s="111"/>
      <c r="ES271" s="111"/>
      <c r="ET271" s="111"/>
      <c r="EU271" s="111"/>
      <c r="EV271" s="112" t="str">
        <f t="shared" si="1573"/>
        <v>x</v>
      </c>
      <c r="EW271" s="111"/>
      <c r="EX271" s="111"/>
      <c r="EY271" s="111"/>
      <c r="EZ271" s="111"/>
      <c r="FA271" s="111"/>
      <c r="FB271" s="111"/>
      <c r="FC271" s="112" t="str">
        <f t="shared" si="1574"/>
        <v>x</v>
      </c>
      <c r="FD271" s="112" t="str">
        <f t="shared" si="1575"/>
        <v>x</v>
      </c>
      <c r="FE271" s="111"/>
      <c r="FF271" s="112" t="str">
        <f t="shared" si="1576"/>
        <v>x</v>
      </c>
      <c r="FG271" s="111"/>
      <c r="FH271" s="111"/>
      <c r="FI271" s="112"/>
      <c r="FJ271" s="112" t="str">
        <f>HYPERLINK("http://www.rki.de/DE/Content/Infekt/Impfen/Materialien/Downloads-Impfkalender/Impfkalender_Urdu.pdf?__blob=publicationFile","x")</f>
        <v>x</v>
      </c>
      <c r="FK271" s="111"/>
      <c r="FL271" s="111"/>
      <c r="FM271" s="112" t="str">
        <f>HYPERLINK("http://www.rki.de/DE/Content/Infekt/Impfen/Materialien/Glossar-Downloads/glossar-de-urdu.pdf?__blob=publicationFile","x")</f>
        <v>x</v>
      </c>
      <c r="FN271" s="112"/>
      <c r="FO271" s="112" t="str">
        <f>HYPERLINK("http://www.rki.de/DE/Content/Infekt/Impfen/Materialien/Downloads-MMR/MMR-Impfinfo-urdu.pdf?__blob=publicationFile","x")</f>
        <v>x</v>
      </c>
      <c r="FP271" s="111"/>
      <c r="FQ271" s="112" t="str">
        <f>HYPERLINK("http://www.rki.de/DE/Content/Infekt/Impfen/Materialien/Downloads_HepA/Aufklaerung_HAV-Impfung_Urdu.pdf?__blob=publicationFile","x")</f>
        <v>x</v>
      </c>
      <c r="FR271" s="112" t="str">
        <f>HYPERLINK("http://www.rki.de/DE/Content/Infekt/Impfen/Materialien/Downloads_Pneumokokken/Aufklaerung_Pneumo-Impfung_Urdu.pdf?__blob=publicationFile","x")</f>
        <v>x</v>
      </c>
      <c r="FS271" s="112" t="str">
        <f>HYPERLINK("http://www.rki.de/DE/Content/Infekt/Impfen/Materialien/Downloads-DTaPIPVHibHepB/DTaPIPVHibHepB-urdu.pdf?__blob=publicationFile","x")</f>
        <v>x</v>
      </c>
      <c r="FT271" s="112" t="str">
        <f>HYPERLINK("http://www.rki.de/DE/Content/Infekt/Impfen/Materialien/Downloads-Varizellen/Varizellen-Impfinfo-urdu.pdf;jsessionid=65B697F4EE7EDA8A1ED9E2C4CD6C74EC.2_cid363?__blob=publicationFile","x")</f>
        <v>x</v>
      </c>
      <c r="FU271" s="112" t="str">
        <f>HYPERLINK("http://www.rki.de/DE/Content/Infekt/Impfen/Materialien/Downloads-Tdap-IPV/Tdap-IPV-urdu.pdf?__blob=publicationFile","x")</f>
        <v>x</v>
      </c>
      <c r="FV271" s="112" t="str">
        <f>HYPERLINK("http://www.rki.de/DE/Content/Infekt/Impfen/Materialien/Downloads-Influenza_nasal/Influenza_nasal-urdu.pdf?__blob=publicationFile","x")</f>
        <v>x</v>
      </c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 t="str">
        <f>HYPERLINK("http://www.rki.de/DE/Content/Infekt/Impfen/Materialien/Downloads-Influenza/Influenza-urdu.pdf?__blob=publicationFile","x")</f>
        <v>x</v>
      </c>
      <c r="GM271" s="111"/>
      <c r="GN271" s="111"/>
      <c r="GO271" s="112" t="str">
        <f>HYPERLINK("http://www.tipdoc.de/grafik/pdf/kopflaeuse/Kopflaeuse_URDU.pdf","x")</f>
        <v>x</v>
      </c>
      <c r="GP271" s="112"/>
      <c r="GQ271" s="112" t="str">
        <f>HYPERLINK("http://www.tipdoc.com/bus/pdf/kraetze/tipdoc_Scabies_URDU.pdf","x")</f>
        <v>x</v>
      </c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2" t="str">
        <f t="shared" si="1251"/>
        <v>x</v>
      </c>
      <c r="HC271" s="111"/>
      <c r="HD271" s="111"/>
      <c r="HE271" s="111"/>
      <c r="HF271" s="111"/>
      <c r="HG271" s="111"/>
      <c r="HH271" s="111"/>
      <c r="HI271" s="111"/>
      <c r="HJ271" s="112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2" t="str">
        <f t="shared" si="1577"/>
        <v>x</v>
      </c>
      <c r="HY271" s="112" t="str">
        <f t="shared" si="1578"/>
        <v>x</v>
      </c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2" t="str">
        <f>HYPERLINK("http://www.bamf.de/SharedDocs/Anlagen/DE/Publikationen/Flyer/flyer-erstorientierung-asylsuchende_urdu.pdf?__blob=publicationFile","x")</f>
        <v>x</v>
      </c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  <c r="IW271" s="111"/>
      <c r="IX271" s="111"/>
      <c r="IY271" s="111"/>
      <c r="IZ271" s="111"/>
      <c r="JA271" s="111"/>
      <c r="JB271" s="111"/>
      <c r="JC271" s="111"/>
      <c r="JD271" s="111"/>
      <c r="JE271" s="111"/>
      <c r="JF271" s="111"/>
      <c r="JG271" s="111"/>
      <c r="JH271" s="111"/>
      <c r="JI271" s="111"/>
      <c r="JJ271" s="111"/>
      <c r="JK271" s="111"/>
      <c r="JL271" s="111"/>
      <c r="JM271" s="111"/>
      <c r="JN271" s="111"/>
      <c r="JO271" s="111"/>
      <c r="JP271" s="111"/>
      <c r="JQ271" s="111"/>
      <c r="JR271" s="111"/>
      <c r="JS271" s="111"/>
      <c r="JT271" s="111"/>
      <c r="JU271" s="111"/>
      <c r="JV271" s="111"/>
      <c r="JW271" s="111"/>
      <c r="JX271" s="112"/>
      <c r="JY271" s="112"/>
      <c r="JZ271" s="112"/>
      <c r="KA271" s="112" t="str">
        <f>HYPERLINK("http://www.refugeeguide.de/dl/RefugeeGuide_ur_104.pdf","x")</f>
        <v>x</v>
      </c>
      <c r="KB271" s="111"/>
      <c r="KC271" s="111"/>
      <c r="KD271" s="112" t="str">
        <f t="shared" si="1579"/>
        <v>x</v>
      </c>
      <c r="KE271" s="111"/>
      <c r="KF271" s="112"/>
      <c r="KG271" s="112"/>
      <c r="KH271" s="112"/>
      <c r="KI271" s="112"/>
      <c r="KJ271" s="112"/>
      <c r="KK271" s="112"/>
      <c r="KL271" s="112"/>
      <c r="KM271" s="112"/>
      <c r="KN271" s="112"/>
      <c r="KO271" s="112"/>
      <c r="KP271" s="112"/>
      <c r="KQ271" s="112"/>
      <c r="KR271" s="112"/>
      <c r="KS271" s="112"/>
      <c r="KT271" s="112"/>
      <c r="KU271" s="112"/>
      <c r="KV271" s="112"/>
      <c r="KW271" s="112"/>
      <c r="KX271" s="112"/>
      <c r="KY271" s="112"/>
      <c r="KZ271" s="112"/>
      <c r="LA271" s="112"/>
      <c r="LB271" s="111"/>
      <c r="LC271" s="111"/>
      <c r="LD271" s="111"/>
      <c r="LE271" s="111"/>
      <c r="LF271" s="111"/>
      <c r="LG271" s="111"/>
      <c r="LH271" s="111"/>
      <c r="LI271" s="111"/>
      <c r="LJ271" s="111"/>
      <c r="LK271" s="111"/>
      <c r="LL271" s="111"/>
      <c r="LM271" s="111"/>
      <c r="LN271" s="111"/>
      <c r="LO271" s="111"/>
      <c r="LP271" s="111"/>
      <c r="LQ271" s="111"/>
      <c r="LR271" s="111"/>
      <c r="LS271" s="111"/>
      <c r="LT271" s="111"/>
      <c r="LU271" s="111"/>
      <c r="LV271" s="111"/>
      <c r="LW271" s="111"/>
      <c r="LX271" s="111"/>
      <c r="LY271" s="111"/>
      <c r="LZ271" s="111"/>
      <c r="MA271" s="111"/>
      <c r="MB271" s="111"/>
      <c r="MC271" s="111"/>
      <c r="MD271" s="111"/>
      <c r="ME271" s="111"/>
      <c r="MF271" s="111"/>
      <c r="MG271" s="111"/>
      <c r="MH271" s="111"/>
    </row>
    <row r="272" spans="1:346" x14ac:dyDescent="0.25">
      <c r="A272" s="101" t="s">
        <v>472</v>
      </c>
      <c r="B272" s="102"/>
      <c r="C272" s="102"/>
      <c r="D272" s="102"/>
      <c r="E272" s="102"/>
      <c r="F272" s="102"/>
      <c r="G272" s="102"/>
      <c r="H272" s="102"/>
      <c r="I272" s="102"/>
      <c r="J272" s="103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6"/>
      <c r="AV272" s="106"/>
      <c r="AW272" s="106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9"/>
      <c r="EP272" s="109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5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  <c r="IW272" s="104"/>
      <c r="IX272" s="104"/>
      <c r="IY272" s="104"/>
      <c r="IZ272" s="104"/>
      <c r="JA272" s="104"/>
      <c r="JB272" s="104"/>
      <c r="JC272" s="104"/>
      <c r="JD272" s="104"/>
      <c r="JE272" s="104"/>
      <c r="JF272" s="104"/>
      <c r="JG272" s="104"/>
      <c r="JH272" s="104"/>
      <c r="JI272" s="104"/>
      <c r="JJ272" s="104"/>
      <c r="JK272" s="104"/>
      <c r="JL272" s="104"/>
      <c r="JM272" s="104"/>
      <c r="JN272" s="104"/>
      <c r="JO272" s="104"/>
      <c r="JP272" s="104"/>
      <c r="JQ272" s="104"/>
      <c r="JR272" s="104"/>
      <c r="JS272" s="104"/>
      <c r="JT272" s="104"/>
      <c r="JU272" s="104"/>
      <c r="JV272" s="104"/>
      <c r="JW272" s="104"/>
      <c r="JX272" s="104"/>
      <c r="JY272" s="104"/>
      <c r="JZ272" s="104"/>
      <c r="KA272" s="104"/>
      <c r="KB272" s="104"/>
      <c r="KC272" s="104"/>
      <c r="KD272" s="104"/>
      <c r="KE272" s="104"/>
      <c r="KF272" s="104"/>
      <c r="KG272" s="104"/>
      <c r="KH272" s="104"/>
      <c r="KI272" s="104"/>
      <c r="KJ272" s="104"/>
      <c r="KK272" s="104"/>
      <c r="KL272" s="104"/>
      <c r="KM272" s="104"/>
      <c r="KN272" s="104"/>
      <c r="KO272" s="104"/>
      <c r="KP272" s="104"/>
      <c r="KQ272" s="104"/>
      <c r="KR272" s="104"/>
      <c r="KS272" s="104"/>
      <c r="KT272" s="104"/>
      <c r="KU272" s="104"/>
      <c r="KV272" s="104"/>
      <c r="KW272" s="104"/>
      <c r="KX272" s="104"/>
      <c r="KY272" s="104"/>
      <c r="KZ272" s="104"/>
      <c r="LA272" s="104"/>
      <c r="LB272" s="104"/>
      <c r="LC272" s="104"/>
      <c r="LD272" s="104"/>
      <c r="LE272" s="104"/>
      <c r="LF272" s="104"/>
      <c r="LG272" s="104"/>
      <c r="LH272" s="104"/>
      <c r="LI272" s="104"/>
      <c r="LJ272" s="104"/>
      <c r="LK272" s="104"/>
      <c r="LL272" s="104"/>
      <c r="LM272" s="104"/>
      <c r="LN272" s="104"/>
      <c r="LO272" s="104"/>
      <c r="LP272" s="104"/>
      <c r="LQ272" s="104"/>
      <c r="LR272" s="104"/>
      <c r="LS272" s="104"/>
      <c r="LT272" s="104"/>
      <c r="LU272" s="104"/>
      <c r="LV272" s="104"/>
      <c r="LW272" s="104"/>
      <c r="LX272" s="104"/>
      <c r="LY272" s="104"/>
      <c r="LZ272" s="104"/>
      <c r="MA272" s="104"/>
      <c r="MB272" s="104"/>
      <c r="MC272" s="104"/>
      <c r="MD272" s="104"/>
      <c r="ME272" s="104"/>
      <c r="MF272" s="104"/>
      <c r="MG272" s="104"/>
      <c r="MH272" s="104"/>
    </row>
    <row r="273" spans="1:346" x14ac:dyDescent="0.25">
      <c r="A273" s="110" t="s">
        <v>472</v>
      </c>
      <c r="B273" s="101" t="s">
        <v>87</v>
      </c>
      <c r="C273" s="102"/>
      <c r="D273" s="102"/>
      <c r="E273" s="102"/>
      <c r="F273" s="102"/>
      <c r="G273" s="102"/>
      <c r="H273" s="102"/>
      <c r="I273" s="102"/>
      <c r="J273" s="103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2" t="str">
        <f>HYPERLINK("https://www.vrsinfo.de/fileadmin/Dateien/downloadcenter/Folder_MobilPassTicket_Refugees01012016.pdf","x")</f>
        <v>x</v>
      </c>
      <c r="AK273" s="112" t="str">
        <f>HYPERLINK("https://www.vrsinfo.de/fileadmin/Dateien/downloadcenter/Willkommen_im_VRS2016_Druck.pdf","x")</f>
        <v>x</v>
      </c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3"/>
      <c r="AV273" s="114" t="str">
        <f t="shared" ref="AV273:AV276" si="1580">HYPERLINK("http://sab.landtag.sachsen.de/dokumente/landtagskurier/SAB_DeutschLernen_DinA5_WEB141115.pdf","x")</f>
        <v>x</v>
      </c>
      <c r="AW273" s="114" t="str">
        <f t="shared" ref="AW273:AW276" si="1581">HYPERLINK("http://sab.landtag.sachsen.de/dokumente/landtagskurier/SAB_PL_Lernposter_WEB091115.pdf","x")</f>
        <v>x</v>
      </c>
      <c r="AX273" s="111"/>
      <c r="AY273" s="111"/>
      <c r="AZ273" s="112" t="str">
        <f t="shared" si="1559"/>
        <v>x</v>
      </c>
      <c r="BA273" s="112" t="str">
        <f t="shared" si="1560"/>
        <v>x</v>
      </c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2" t="str">
        <f t="shared" ref="BR273:BR276" si="1582">HYPERLINK("http://www.goethe.de/lrn/prj/wnd/deu/lti/deindex.htm#13322010","x")</f>
        <v>x</v>
      </c>
      <c r="BS273" s="112"/>
      <c r="BT273" s="111"/>
      <c r="BU273" s="112" t="str">
        <f t="shared" ref="BU273:BU276" si="1583">HYPERLINK("https://s3-eu-west-1.amazonaws.com/lingolia/download/lingolia_daf.pdf","x")</f>
        <v>x</v>
      </c>
      <c r="BV273" s="112"/>
      <c r="BW273" s="112"/>
      <c r="BX273" s="112"/>
      <c r="BY273" s="112"/>
      <c r="BZ273" s="112" t="str">
        <f t="shared" ref="BZ273:BZ276" si="1584">HYPERLINK("http://www.hueber.de/shared/uebungen/schritte-plus","x")</f>
        <v>x</v>
      </c>
      <c r="CA273" s="112" t="str">
        <f t="shared" ref="CA273:CA276" si="1585">HYPERLINK("https://www.hueber.de/shared/uebungen/menschen-hier/ab/a1-1/menu.html","x")</f>
        <v>x</v>
      </c>
      <c r="CB273" s="112" t="str">
        <f t="shared" ref="CB273:CB276" si="1586">HYPERLINK("http://www.goethe-verlag.com/DE/","x")</f>
        <v>x</v>
      </c>
      <c r="CC273" s="112"/>
      <c r="CD273" s="112"/>
      <c r="CE273" s="111"/>
      <c r="CF273" s="111"/>
      <c r="CG273" s="111"/>
      <c r="CH273" s="111"/>
      <c r="CI273" s="111"/>
      <c r="CJ273" s="112" t="str">
        <f t="shared" ref="CJ273:CJ276" si="1587">HYPERLINK("http://www.e-migrantinnen.de/index.php?de_wichtige-links","x")</f>
        <v>x</v>
      </c>
      <c r="CK273" s="112"/>
      <c r="CL273" s="112"/>
      <c r="CM273" s="112"/>
      <c r="CN273" s="112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2"/>
      <c r="CZ273" s="112"/>
      <c r="DA273" s="112"/>
      <c r="DB273" s="115"/>
      <c r="DC273" s="112"/>
      <c r="DD273" s="112"/>
      <c r="DE273" s="112" t="str">
        <f t="shared" ref="DE273:DE276" si="1588">HYPERLINK("http://fi-lohmar-siegburg.de/data/documents/130-37_Inklusion_im_Anfangsunterricht_-_Poster_mit_Situationsbildern.pdf","x")</f>
        <v>x</v>
      </c>
      <c r="DF273" s="115" t="str">
        <f t="shared" ref="DF273:DF276" si="1589">HYPERLINK("http://s3-eu-west-1.amazonaws.com/lingolia/calendar/2016/lingolia_2016_de.pdf","x")</f>
        <v>x</v>
      </c>
      <c r="DG273" s="112" t="str">
        <f t="shared" ref="DG273:DG276" si="1590">HYPERLINK("http://www.bibliomedia.ch/de/angebote/img/Wimmelbild.jpg","x")</f>
        <v>x</v>
      </c>
      <c r="DH273" s="112" t="str">
        <f t="shared" ref="DH273:DH276" si="1591">HYPERLINK("http://www.bibliomedia.ch/de/angebote/dokumente/Wimmelbild_Fehler.jpg","x")</f>
        <v>x</v>
      </c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8"/>
      <c r="EP273" s="118"/>
      <c r="EQ273" s="111"/>
      <c r="ER273" s="111"/>
      <c r="ES273" s="111"/>
      <c r="ET273" s="111"/>
      <c r="EU273" s="111"/>
      <c r="EV273" s="112" t="str">
        <f t="shared" ref="EV273:EV276" si="1592">HYPERLINK("http://www.lak-rlp.de/fileadmin/redakteure/pdf/download/Piktogramme_Dosieretiketten_AoG.pdf","x")</f>
        <v>x</v>
      </c>
      <c r="EW273" s="111"/>
      <c r="EX273" s="111"/>
      <c r="EY273" s="111"/>
      <c r="EZ273" s="111"/>
      <c r="FA273" s="111"/>
      <c r="FB273" s="111"/>
      <c r="FC273" s="112" t="str">
        <f t="shared" ref="FC273:FC276" si="1593">HYPERLINK("http://mige.ix-tech.de/index.php?id=241","x")</f>
        <v>x</v>
      </c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2" t="str">
        <f t="shared" si="1251"/>
        <v>x</v>
      </c>
      <c r="HC273" s="112"/>
      <c r="HD273" s="112"/>
      <c r="HE273" s="112"/>
      <c r="HF273" s="112"/>
      <c r="HG273" s="112"/>
      <c r="HH273" s="112"/>
      <c r="HI273" s="112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2" t="str">
        <f t="shared" ref="HX273:HX276" si="1594">HYPERLINK("http://www.selfhelpfortrauma.org/","x")</f>
        <v>x</v>
      </c>
      <c r="HY273" s="112" t="str">
        <f t="shared" ref="HY273:HY276" si="1595">HYPERLINK("http://peacefulheart.se/wp-content/uploads/2014/12/Resolving-Yesterday-20141201-Self-Tapping.pdf","x")</f>
        <v>x</v>
      </c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  <c r="IW273" s="111"/>
      <c r="IX273" s="111"/>
      <c r="IY273" s="111"/>
      <c r="IZ273" s="111"/>
      <c r="JA273" s="111"/>
      <c r="JB273" s="111"/>
      <c r="JC273" s="111"/>
      <c r="JD273" s="111"/>
      <c r="JE273" s="111"/>
      <c r="JF273" s="111"/>
      <c r="JG273" s="111"/>
      <c r="JH273" s="111"/>
      <c r="JI273" s="111"/>
      <c r="JJ273" s="111"/>
      <c r="JK273" s="111"/>
      <c r="JL273" s="111"/>
      <c r="JM273" s="111"/>
      <c r="JN273" s="111"/>
      <c r="JO273" s="111"/>
      <c r="JP273" s="111"/>
      <c r="JQ273" s="111"/>
      <c r="JR273" s="111"/>
      <c r="JS273" s="111"/>
      <c r="JT273" s="111"/>
      <c r="JU273" s="111"/>
      <c r="JV273" s="111"/>
      <c r="JW273" s="111"/>
      <c r="JX273" s="111"/>
      <c r="JY273" s="111"/>
      <c r="JZ273" s="111"/>
      <c r="KA273" s="111"/>
      <c r="KB273" s="111"/>
      <c r="KC273" s="111"/>
      <c r="KD273" s="111"/>
      <c r="KE273" s="111"/>
      <c r="KF273" s="111"/>
      <c r="KG273" s="111"/>
      <c r="KH273" s="111"/>
      <c r="KI273" s="111"/>
      <c r="KJ273" s="111"/>
      <c r="KK273" s="111"/>
      <c r="KL273" s="111"/>
      <c r="KM273" s="111"/>
      <c r="KN273" s="111"/>
      <c r="KO273" s="111"/>
      <c r="KP273" s="111"/>
      <c r="KQ273" s="111"/>
      <c r="KR273" s="111"/>
      <c r="KS273" s="111"/>
      <c r="KT273" s="111"/>
      <c r="KU273" s="111"/>
      <c r="KV273" s="111"/>
      <c r="KW273" s="111"/>
      <c r="KX273" s="111"/>
      <c r="KY273" s="111"/>
      <c r="KZ273" s="111"/>
      <c r="LA273" s="111"/>
      <c r="LB273" s="111"/>
      <c r="LC273" s="111"/>
      <c r="LD273" s="111"/>
      <c r="LE273" s="111"/>
      <c r="LF273" s="111"/>
      <c r="LG273" s="111"/>
      <c r="LH273" s="111"/>
      <c r="LI273" s="111"/>
      <c r="LJ273" s="111"/>
      <c r="LK273" s="111"/>
      <c r="LL273" s="111"/>
      <c r="LM273" s="111"/>
      <c r="LN273" s="111"/>
      <c r="LO273" s="111"/>
      <c r="LP273" s="111"/>
      <c r="LQ273" s="111"/>
      <c r="LR273" s="111"/>
      <c r="LS273" s="111"/>
      <c r="LT273" s="111"/>
      <c r="LU273" s="111"/>
      <c r="LV273" s="111"/>
      <c r="LW273" s="111"/>
      <c r="LX273" s="111"/>
      <c r="LY273" s="111"/>
      <c r="LZ273" s="111"/>
      <c r="MA273" s="111"/>
      <c r="MB273" s="111"/>
      <c r="MC273" s="111"/>
      <c r="MD273" s="111"/>
      <c r="ME273" s="111"/>
      <c r="MF273" s="111"/>
      <c r="MG273" s="111"/>
      <c r="MH273" s="111"/>
    </row>
    <row r="274" spans="1:346" x14ac:dyDescent="0.25">
      <c r="A274" s="110" t="s">
        <v>472</v>
      </c>
      <c r="B274" s="101" t="s">
        <v>82</v>
      </c>
      <c r="C274" s="102"/>
      <c r="D274" s="102"/>
      <c r="E274" s="102"/>
      <c r="F274" s="102"/>
      <c r="G274" s="102"/>
      <c r="H274" s="102"/>
      <c r="I274" s="102"/>
      <c r="J274" s="103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2" t="str">
        <f t="shared" ref="AJ274:AJ276" si="1596">HYPERLINK("https://www.vrsinfo.de/fileadmin/Dateien/downloadcenter/Folder_MobilPassTicket_Refugees01012016.pdf","x")</f>
        <v>x</v>
      </c>
      <c r="AK274" s="112" t="str">
        <f t="shared" ref="AK274:AK276" si="1597">HYPERLINK("https://www.vrsinfo.de/fileadmin/Dateien/downloadcenter/Willkommen_im_VRS2016_Druck.pdf","x")</f>
        <v>x</v>
      </c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3"/>
      <c r="AV274" s="114" t="str">
        <f t="shared" si="1580"/>
        <v>x</v>
      </c>
      <c r="AW274" s="114" t="str">
        <f t="shared" si="1581"/>
        <v>x</v>
      </c>
      <c r="AX274" s="111"/>
      <c r="AY274" s="111"/>
      <c r="AZ274" s="112" t="str">
        <f t="shared" si="1559"/>
        <v>x</v>
      </c>
      <c r="BA274" s="112" t="str">
        <f t="shared" si="1560"/>
        <v>x</v>
      </c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2" t="str">
        <f t="shared" si="1582"/>
        <v>x</v>
      </c>
      <c r="BS274" s="112"/>
      <c r="BT274" s="111"/>
      <c r="BU274" s="112" t="str">
        <f t="shared" si="1583"/>
        <v>x</v>
      </c>
      <c r="BV274" s="112"/>
      <c r="BW274" s="112"/>
      <c r="BX274" s="112"/>
      <c r="BY274" s="112"/>
      <c r="BZ274" s="112" t="str">
        <f t="shared" si="1584"/>
        <v>x</v>
      </c>
      <c r="CA274" s="112" t="str">
        <f t="shared" si="1585"/>
        <v>x</v>
      </c>
      <c r="CB274" s="112" t="str">
        <f t="shared" si="1586"/>
        <v>x</v>
      </c>
      <c r="CC274" s="112"/>
      <c r="CD274" s="112"/>
      <c r="CE274" s="111"/>
      <c r="CF274" s="111"/>
      <c r="CG274" s="111"/>
      <c r="CH274" s="111"/>
      <c r="CI274" s="111"/>
      <c r="CJ274" s="112" t="str">
        <f t="shared" si="1587"/>
        <v>x</v>
      </c>
      <c r="CK274" s="112"/>
      <c r="CL274" s="112"/>
      <c r="CM274" s="112"/>
      <c r="CN274" s="112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2"/>
      <c r="CZ274" s="112"/>
      <c r="DA274" s="112"/>
      <c r="DB274" s="115"/>
      <c r="DC274" s="112"/>
      <c r="DD274" s="112"/>
      <c r="DE274" s="112" t="str">
        <f t="shared" si="1588"/>
        <v>x</v>
      </c>
      <c r="DF274" s="115" t="str">
        <f t="shared" si="1589"/>
        <v>x</v>
      </c>
      <c r="DG274" s="112" t="str">
        <f t="shared" si="1590"/>
        <v>x</v>
      </c>
      <c r="DH274" s="112" t="str">
        <f t="shared" si="1591"/>
        <v>x</v>
      </c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8"/>
      <c r="EP274" s="118"/>
      <c r="EQ274" s="111"/>
      <c r="ER274" s="111"/>
      <c r="ES274" s="111"/>
      <c r="ET274" s="111"/>
      <c r="EU274" s="111"/>
      <c r="EV274" s="112" t="str">
        <f t="shared" si="1592"/>
        <v>x</v>
      </c>
      <c r="EW274" s="111"/>
      <c r="EX274" s="111"/>
      <c r="EY274" s="111"/>
      <c r="EZ274" s="111"/>
      <c r="FA274" s="111"/>
      <c r="FB274" s="111"/>
      <c r="FC274" s="112" t="str">
        <f t="shared" si="1593"/>
        <v>x</v>
      </c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2" t="str">
        <f t="shared" si="1251"/>
        <v>x</v>
      </c>
      <c r="HC274" s="112"/>
      <c r="HD274" s="112"/>
      <c r="HE274" s="112"/>
      <c r="HF274" s="112"/>
      <c r="HG274" s="112"/>
      <c r="HH274" s="112"/>
      <c r="HI274" s="112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2" t="str">
        <f t="shared" si="1594"/>
        <v>x</v>
      </c>
      <c r="HY274" s="112" t="str">
        <f t="shared" si="1595"/>
        <v>x</v>
      </c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  <c r="IW274" s="111"/>
      <c r="IX274" s="111"/>
      <c r="IY274" s="111"/>
      <c r="IZ274" s="111"/>
      <c r="JA274" s="111"/>
      <c r="JB274" s="111"/>
      <c r="JC274" s="111"/>
      <c r="JD274" s="111"/>
      <c r="JE274" s="111"/>
      <c r="JF274" s="111"/>
      <c r="JG274" s="111"/>
      <c r="JH274" s="111"/>
      <c r="JI274" s="111"/>
      <c r="JJ274" s="111"/>
      <c r="JK274" s="111"/>
      <c r="JL274" s="111"/>
      <c r="JM274" s="111"/>
      <c r="JN274" s="111"/>
      <c r="JO274" s="111"/>
      <c r="JP274" s="111"/>
      <c r="JQ274" s="111"/>
      <c r="JR274" s="111"/>
      <c r="JS274" s="111"/>
      <c r="JT274" s="111"/>
      <c r="JU274" s="111"/>
      <c r="JV274" s="111"/>
      <c r="JW274" s="111"/>
      <c r="JX274" s="111"/>
      <c r="JY274" s="111"/>
      <c r="JZ274" s="111"/>
      <c r="KA274" s="111"/>
      <c r="KB274" s="111"/>
      <c r="KC274" s="111"/>
      <c r="KD274" s="111"/>
      <c r="KE274" s="111"/>
      <c r="KF274" s="111"/>
      <c r="KG274" s="111"/>
      <c r="KH274" s="111"/>
      <c r="KI274" s="111"/>
      <c r="KJ274" s="111"/>
      <c r="KK274" s="111"/>
      <c r="KL274" s="111"/>
      <c r="KM274" s="111"/>
      <c r="KN274" s="111"/>
      <c r="KO274" s="111"/>
      <c r="KP274" s="111"/>
      <c r="KQ274" s="111"/>
      <c r="KR274" s="111"/>
      <c r="KS274" s="111"/>
      <c r="KT274" s="111"/>
      <c r="KU274" s="111"/>
      <c r="KV274" s="111"/>
      <c r="KW274" s="111"/>
      <c r="KX274" s="111"/>
      <c r="KY274" s="111"/>
      <c r="KZ274" s="111"/>
      <c r="LA274" s="111"/>
      <c r="LB274" s="111"/>
      <c r="LC274" s="111"/>
      <c r="LD274" s="111"/>
      <c r="LE274" s="111"/>
      <c r="LF274" s="111"/>
      <c r="LG274" s="111"/>
      <c r="LH274" s="111"/>
      <c r="LI274" s="111"/>
      <c r="LJ274" s="111"/>
      <c r="LK274" s="111"/>
      <c r="LL274" s="111"/>
      <c r="LM274" s="111"/>
      <c r="LN274" s="111"/>
      <c r="LO274" s="111"/>
      <c r="LP274" s="111"/>
      <c r="LQ274" s="111"/>
      <c r="LR274" s="111"/>
      <c r="LS274" s="111"/>
      <c r="LT274" s="111"/>
      <c r="LU274" s="111"/>
      <c r="LV274" s="111"/>
      <c r="LW274" s="111"/>
      <c r="LX274" s="111"/>
      <c r="LY274" s="111"/>
      <c r="LZ274" s="111"/>
      <c r="MA274" s="111"/>
      <c r="MB274" s="111"/>
      <c r="MC274" s="111"/>
      <c r="MD274" s="111"/>
      <c r="ME274" s="111"/>
      <c r="MF274" s="111"/>
      <c r="MG274" s="111"/>
      <c r="MH274" s="111"/>
    </row>
    <row r="275" spans="1:346" x14ac:dyDescent="0.25">
      <c r="A275" s="110" t="s">
        <v>472</v>
      </c>
      <c r="B275" s="101" t="s">
        <v>76</v>
      </c>
      <c r="C275" s="102"/>
      <c r="D275" s="102"/>
      <c r="E275" s="102"/>
      <c r="F275" s="102"/>
      <c r="G275" s="102"/>
      <c r="H275" s="102"/>
      <c r="I275" s="102"/>
      <c r="J275" s="103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2" t="str">
        <f t="shared" si="1596"/>
        <v>x</v>
      </c>
      <c r="AK275" s="112" t="str">
        <f t="shared" si="1597"/>
        <v>x</v>
      </c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3"/>
      <c r="AV275" s="114" t="str">
        <f t="shared" si="1580"/>
        <v>x</v>
      </c>
      <c r="AW275" s="114" t="str">
        <f t="shared" si="1581"/>
        <v>x</v>
      </c>
      <c r="AX275" s="111"/>
      <c r="AY275" s="111"/>
      <c r="AZ275" s="112" t="str">
        <f t="shared" si="1559"/>
        <v>x</v>
      </c>
      <c r="BA275" s="112" t="str">
        <f t="shared" si="1560"/>
        <v>x</v>
      </c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2" t="str">
        <f t="shared" si="1582"/>
        <v>x</v>
      </c>
      <c r="BS275" s="112"/>
      <c r="BT275" s="111"/>
      <c r="BU275" s="112" t="str">
        <f t="shared" si="1583"/>
        <v>x</v>
      </c>
      <c r="BV275" s="112"/>
      <c r="BW275" s="112"/>
      <c r="BX275" s="112"/>
      <c r="BY275" s="112"/>
      <c r="BZ275" s="112" t="str">
        <f t="shared" si="1584"/>
        <v>x</v>
      </c>
      <c r="CA275" s="112" t="str">
        <f t="shared" si="1585"/>
        <v>x</v>
      </c>
      <c r="CB275" s="112" t="str">
        <f t="shared" si="1586"/>
        <v>x</v>
      </c>
      <c r="CC275" s="112"/>
      <c r="CD275" s="112"/>
      <c r="CE275" s="111"/>
      <c r="CF275" s="111"/>
      <c r="CG275" s="111"/>
      <c r="CH275" s="111"/>
      <c r="CI275" s="111"/>
      <c r="CJ275" s="112" t="str">
        <f t="shared" si="1587"/>
        <v>x</v>
      </c>
      <c r="CK275" s="112"/>
      <c r="CL275" s="112"/>
      <c r="CM275" s="112"/>
      <c r="CN275" s="112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2"/>
      <c r="CZ275" s="112"/>
      <c r="DA275" s="112"/>
      <c r="DB275" s="115"/>
      <c r="DC275" s="112"/>
      <c r="DD275" s="112"/>
      <c r="DE275" s="112" t="str">
        <f t="shared" si="1588"/>
        <v>x</v>
      </c>
      <c r="DF275" s="115" t="str">
        <f t="shared" si="1589"/>
        <v>x</v>
      </c>
      <c r="DG275" s="112" t="str">
        <f t="shared" si="1590"/>
        <v>x</v>
      </c>
      <c r="DH275" s="112" t="str">
        <f t="shared" si="1591"/>
        <v>x</v>
      </c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8"/>
      <c r="EP275" s="118"/>
      <c r="EQ275" s="111"/>
      <c r="ER275" s="111"/>
      <c r="ES275" s="111"/>
      <c r="ET275" s="111"/>
      <c r="EU275" s="111"/>
      <c r="EV275" s="112" t="str">
        <f t="shared" si="1592"/>
        <v>x</v>
      </c>
      <c r="EW275" s="111"/>
      <c r="EX275" s="111"/>
      <c r="EY275" s="111"/>
      <c r="EZ275" s="111"/>
      <c r="FA275" s="111"/>
      <c r="FB275" s="111"/>
      <c r="FC275" s="112" t="str">
        <f t="shared" si="1593"/>
        <v>x</v>
      </c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2" t="str">
        <f t="shared" si="1251"/>
        <v>x</v>
      </c>
      <c r="HC275" s="112"/>
      <c r="HD275" s="112"/>
      <c r="HE275" s="112"/>
      <c r="HF275" s="112"/>
      <c r="HG275" s="112"/>
      <c r="HH275" s="112"/>
      <c r="HI275" s="112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2" t="str">
        <f t="shared" si="1594"/>
        <v>x</v>
      </c>
      <c r="HY275" s="112" t="str">
        <f t="shared" si="1595"/>
        <v>x</v>
      </c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  <c r="IY275" s="111"/>
      <c r="IZ275" s="111"/>
      <c r="JA275" s="111"/>
      <c r="JB275" s="111"/>
      <c r="JC275" s="111"/>
      <c r="JD275" s="111"/>
      <c r="JE275" s="111"/>
      <c r="JF275" s="111"/>
      <c r="JG275" s="111"/>
      <c r="JH275" s="111"/>
      <c r="JI275" s="111"/>
      <c r="JJ275" s="111"/>
      <c r="JK275" s="111"/>
      <c r="JL275" s="111"/>
      <c r="JM275" s="111"/>
      <c r="JN275" s="111"/>
      <c r="JO275" s="111"/>
      <c r="JP275" s="111"/>
      <c r="JQ275" s="111"/>
      <c r="JR275" s="111"/>
      <c r="JS275" s="111"/>
      <c r="JT275" s="111"/>
      <c r="JU275" s="111"/>
      <c r="JV275" s="111"/>
      <c r="JW275" s="111"/>
      <c r="JX275" s="111"/>
      <c r="JY275" s="111"/>
      <c r="JZ275" s="111"/>
      <c r="KA275" s="111"/>
      <c r="KB275" s="111"/>
      <c r="KC275" s="111"/>
      <c r="KD275" s="111"/>
      <c r="KE275" s="111"/>
      <c r="KF275" s="111"/>
      <c r="KG275" s="111"/>
      <c r="KH275" s="111"/>
      <c r="KI275" s="111"/>
      <c r="KJ275" s="111"/>
      <c r="KK275" s="111"/>
      <c r="KL275" s="111"/>
      <c r="KM275" s="111"/>
      <c r="KN275" s="111"/>
      <c r="KO275" s="111"/>
      <c r="KP275" s="111"/>
      <c r="KQ275" s="111"/>
      <c r="KR275" s="111"/>
      <c r="KS275" s="111"/>
      <c r="KT275" s="111"/>
      <c r="KU275" s="111"/>
      <c r="KV275" s="111"/>
      <c r="KW275" s="111"/>
      <c r="KX275" s="111"/>
      <c r="KY275" s="111"/>
      <c r="KZ275" s="111"/>
      <c r="LA275" s="111"/>
      <c r="LB275" s="111"/>
      <c r="LC275" s="111"/>
      <c r="LD275" s="111"/>
      <c r="LE275" s="111"/>
      <c r="LF275" s="111"/>
      <c r="LG275" s="111"/>
      <c r="LH275" s="111"/>
      <c r="LI275" s="111"/>
      <c r="LJ275" s="111"/>
      <c r="LK275" s="111"/>
      <c r="LL275" s="111"/>
      <c r="LM275" s="111"/>
      <c r="LN275" s="111"/>
      <c r="LO275" s="111"/>
      <c r="LP275" s="111"/>
      <c r="LQ275" s="111"/>
      <c r="LR275" s="111"/>
      <c r="LS275" s="111"/>
      <c r="LT275" s="111"/>
      <c r="LU275" s="111"/>
      <c r="LV275" s="111"/>
      <c r="LW275" s="111"/>
      <c r="LX275" s="111"/>
      <c r="LY275" s="111"/>
      <c r="LZ275" s="111"/>
      <c r="MA275" s="111"/>
      <c r="MB275" s="111"/>
      <c r="MC275" s="111"/>
      <c r="MD275" s="111"/>
      <c r="ME275" s="111"/>
      <c r="MF275" s="111"/>
      <c r="MG275" s="111"/>
      <c r="MH275" s="111"/>
    </row>
    <row r="276" spans="1:346" x14ac:dyDescent="0.25">
      <c r="A276" s="110" t="s">
        <v>472</v>
      </c>
      <c r="B276" s="101" t="s">
        <v>416</v>
      </c>
      <c r="C276" s="102"/>
      <c r="D276" s="102"/>
      <c r="E276" s="102"/>
      <c r="F276" s="102"/>
      <c r="G276" s="102"/>
      <c r="H276" s="102"/>
      <c r="I276" s="102"/>
      <c r="J276" s="103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2" t="str">
        <f t="shared" si="1596"/>
        <v>x</v>
      </c>
      <c r="AK276" s="112" t="str">
        <f t="shared" si="1597"/>
        <v>x</v>
      </c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3"/>
      <c r="AV276" s="114" t="str">
        <f t="shared" si="1580"/>
        <v>x</v>
      </c>
      <c r="AW276" s="114" t="str">
        <f t="shared" si="1581"/>
        <v>x</v>
      </c>
      <c r="AX276" s="111"/>
      <c r="AY276" s="111"/>
      <c r="AZ276" s="112" t="str">
        <f t="shared" si="1559"/>
        <v>x</v>
      </c>
      <c r="BA276" s="112" t="str">
        <f t="shared" si="1560"/>
        <v>x</v>
      </c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2" t="str">
        <f t="shared" si="1582"/>
        <v>x</v>
      </c>
      <c r="BS276" s="112"/>
      <c r="BT276" s="111"/>
      <c r="BU276" s="112" t="str">
        <f t="shared" si="1583"/>
        <v>x</v>
      </c>
      <c r="BV276" s="112"/>
      <c r="BW276" s="112"/>
      <c r="BX276" s="112"/>
      <c r="BY276" s="112"/>
      <c r="BZ276" s="112" t="str">
        <f t="shared" si="1584"/>
        <v>x</v>
      </c>
      <c r="CA276" s="112" t="str">
        <f t="shared" si="1585"/>
        <v>x</v>
      </c>
      <c r="CB276" s="112" t="str">
        <f t="shared" si="1586"/>
        <v>x</v>
      </c>
      <c r="CC276" s="112"/>
      <c r="CD276" s="112"/>
      <c r="CE276" s="111"/>
      <c r="CF276" s="111"/>
      <c r="CG276" s="111"/>
      <c r="CH276" s="111"/>
      <c r="CI276" s="111"/>
      <c r="CJ276" s="112" t="str">
        <f t="shared" si="1587"/>
        <v>x</v>
      </c>
      <c r="CK276" s="112"/>
      <c r="CL276" s="112"/>
      <c r="CM276" s="112"/>
      <c r="CN276" s="112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2"/>
      <c r="CZ276" s="112"/>
      <c r="DA276" s="112"/>
      <c r="DB276" s="115"/>
      <c r="DC276" s="112"/>
      <c r="DD276" s="112"/>
      <c r="DE276" s="112" t="str">
        <f t="shared" si="1588"/>
        <v>x</v>
      </c>
      <c r="DF276" s="115" t="str">
        <f t="shared" si="1589"/>
        <v>x</v>
      </c>
      <c r="DG276" s="112" t="str">
        <f t="shared" si="1590"/>
        <v>x</v>
      </c>
      <c r="DH276" s="112" t="str">
        <f t="shared" si="1591"/>
        <v>x</v>
      </c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8"/>
      <c r="EP276" s="118"/>
      <c r="EQ276" s="111"/>
      <c r="ER276" s="111"/>
      <c r="ES276" s="111"/>
      <c r="ET276" s="111"/>
      <c r="EU276" s="111"/>
      <c r="EV276" s="112" t="str">
        <f t="shared" si="1592"/>
        <v>x</v>
      </c>
      <c r="EW276" s="111"/>
      <c r="EX276" s="111"/>
      <c r="EY276" s="111"/>
      <c r="EZ276" s="111"/>
      <c r="FA276" s="111"/>
      <c r="FB276" s="111"/>
      <c r="FC276" s="112" t="str">
        <f t="shared" si="1593"/>
        <v>x</v>
      </c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2" t="str">
        <f t="shared" si="1251"/>
        <v>x</v>
      </c>
      <c r="HC276" s="112"/>
      <c r="HD276" s="112"/>
      <c r="HE276" s="112"/>
      <c r="HF276" s="112"/>
      <c r="HG276" s="112"/>
      <c r="HH276" s="112"/>
      <c r="HI276" s="112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2" t="str">
        <f t="shared" si="1594"/>
        <v>x</v>
      </c>
      <c r="HY276" s="112" t="str">
        <f t="shared" si="1595"/>
        <v>x</v>
      </c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</row>
    <row r="277" spans="1:346" x14ac:dyDescent="0.25">
      <c r="A277" s="101" t="s">
        <v>154</v>
      </c>
      <c r="B277" s="102"/>
      <c r="C277" s="102"/>
      <c r="D277" s="102"/>
      <c r="E277" s="102"/>
      <c r="F277" s="102"/>
      <c r="G277" s="102"/>
      <c r="H277" s="102"/>
      <c r="I277" s="102"/>
      <c r="J277" s="103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6"/>
      <c r="AV277" s="106"/>
      <c r="AW277" s="106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9"/>
      <c r="EP277" s="109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5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  <c r="IW277" s="104"/>
      <c r="IX277" s="104"/>
      <c r="IY277" s="104"/>
      <c r="IZ277" s="104"/>
      <c r="JA277" s="104"/>
      <c r="JB277" s="104"/>
      <c r="JC277" s="104"/>
      <c r="JD277" s="104"/>
      <c r="JE277" s="104"/>
      <c r="JF277" s="104"/>
      <c r="JG277" s="104"/>
      <c r="JH277" s="104"/>
      <c r="JI277" s="104"/>
      <c r="JJ277" s="104"/>
      <c r="JK277" s="104"/>
      <c r="JL277" s="104"/>
      <c r="JM277" s="104"/>
      <c r="JN277" s="104"/>
      <c r="JO277" s="104"/>
      <c r="JP277" s="104"/>
      <c r="JQ277" s="104"/>
      <c r="JR277" s="104"/>
      <c r="JS277" s="104"/>
      <c r="JT277" s="104"/>
      <c r="JU277" s="104"/>
      <c r="JV277" s="104"/>
      <c r="JW277" s="104"/>
      <c r="JX277" s="104"/>
      <c r="JY277" s="104"/>
      <c r="JZ277" s="104"/>
      <c r="KA277" s="104"/>
      <c r="KB277" s="104"/>
      <c r="KC277" s="104"/>
      <c r="KD277" s="104"/>
      <c r="KE277" s="104"/>
      <c r="KF277" s="104"/>
      <c r="KG277" s="104"/>
      <c r="KH277" s="104"/>
      <c r="KI277" s="104"/>
      <c r="KJ277" s="104"/>
      <c r="KK277" s="104"/>
      <c r="KL277" s="104"/>
      <c r="KM277" s="104"/>
      <c r="KN277" s="104"/>
      <c r="KO277" s="104"/>
      <c r="KP277" s="104"/>
      <c r="KQ277" s="104"/>
      <c r="KR277" s="104"/>
      <c r="KS277" s="104"/>
      <c r="KT277" s="104"/>
      <c r="KU277" s="104"/>
      <c r="KV277" s="104"/>
      <c r="KW277" s="104"/>
      <c r="KX277" s="104"/>
      <c r="KY277" s="104"/>
      <c r="KZ277" s="104"/>
      <c r="LA277" s="104"/>
      <c r="LB277" s="104"/>
      <c r="LC277" s="104"/>
      <c r="LD277" s="104"/>
      <c r="LE277" s="104"/>
      <c r="LF277" s="104"/>
      <c r="LG277" s="104"/>
      <c r="LH277" s="104"/>
      <c r="LI277" s="104"/>
      <c r="LJ277" s="104"/>
      <c r="LK277" s="104"/>
      <c r="LL277" s="104"/>
      <c r="LM277" s="104"/>
      <c r="LN277" s="104"/>
      <c r="LO277" s="104"/>
      <c r="LP277" s="104"/>
      <c r="LQ277" s="104"/>
      <c r="LR277" s="104"/>
      <c r="LS277" s="104"/>
      <c r="LT277" s="104"/>
      <c r="LU277" s="104"/>
      <c r="LV277" s="104"/>
      <c r="LW277" s="104"/>
      <c r="LX277" s="104"/>
      <c r="LY277" s="104"/>
      <c r="LZ277" s="104"/>
      <c r="MA277" s="104"/>
      <c r="MB277" s="104"/>
      <c r="MC277" s="104"/>
      <c r="MD277" s="104"/>
      <c r="ME277" s="104"/>
      <c r="MF277" s="104"/>
      <c r="MG277" s="104"/>
      <c r="MH277" s="104"/>
    </row>
    <row r="278" spans="1:346" x14ac:dyDescent="0.25">
      <c r="A278" s="110" t="s">
        <v>154</v>
      </c>
      <c r="B278" s="101" t="s">
        <v>155</v>
      </c>
      <c r="C278" s="102"/>
      <c r="D278" s="102"/>
      <c r="E278" s="102"/>
      <c r="F278" s="102"/>
      <c r="G278" s="102"/>
      <c r="H278" s="102"/>
      <c r="I278" s="102"/>
      <c r="J278" s="103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3"/>
      <c r="AV278" s="114" t="str">
        <f t="shared" ref="AV278" si="1598">HYPERLINK("http://sab.landtag.sachsen.de/dokumente/landtagskurier/SAB_DeutschLernen_DinA5_WEB141115.pdf","x")</f>
        <v>x</v>
      </c>
      <c r="AW278" s="114" t="str">
        <f t="shared" ref="AW278" si="1599">HYPERLINK("http://sab.landtag.sachsen.de/dokumente/landtagskurier/SAB_PL_Lernposter_WEB091115.pdf","x")</f>
        <v>x</v>
      </c>
      <c r="AX278" s="111"/>
      <c r="AY278" s="111"/>
      <c r="AZ278" s="112" t="str">
        <f t="shared" ref="AZ278" si="160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8" s="112" t="str">
        <f t="shared" ref="BA278" si="1601">HYPERLINK("http://wie-kann-ich-helfen.info/WoerterbuchAnalphabet_innen_%28c%29_Dagmar_Schmeelcke.pdf","x")</f>
        <v>x</v>
      </c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2" t="str">
        <f t="shared" ref="BR278" si="1602">HYPERLINK("http://www.goethe.de/lrn/prj/wnd/deu/lti/deindex.htm#13322010","x")</f>
        <v>x</v>
      </c>
      <c r="BS278" s="112"/>
      <c r="BT278" s="111"/>
      <c r="BU278" s="112" t="str">
        <f t="shared" ref="BU278" si="1603">HYPERLINK("https://s3-eu-west-1.amazonaws.com/lingolia/download/lingolia_daf.pdf","x")</f>
        <v>x</v>
      </c>
      <c r="BV278" s="112"/>
      <c r="BW278" s="112"/>
      <c r="BX278" s="112"/>
      <c r="BY278" s="112"/>
      <c r="BZ278" s="112" t="str">
        <f t="shared" ref="BZ278" si="1604">HYPERLINK("http://www.hueber.de/shared/uebungen/schritte-plus","x")</f>
        <v>x</v>
      </c>
      <c r="CA278" s="112" t="str">
        <f t="shared" ref="CA278" si="1605">HYPERLINK("https://www.hueber.de/shared/uebungen/menschen-hier/ab/a1-1/menu.html","x")</f>
        <v>x</v>
      </c>
      <c r="CB278" s="112" t="str">
        <f t="shared" ref="CB278" si="1606">HYPERLINK("http://www.goethe-verlag.com/DE/","x")</f>
        <v>x</v>
      </c>
      <c r="CC278" s="112"/>
      <c r="CD278" s="112"/>
      <c r="CE278" s="111"/>
      <c r="CF278" s="111"/>
      <c r="CG278" s="111"/>
      <c r="CH278" s="111"/>
      <c r="CI278" s="111"/>
      <c r="CJ278" s="112" t="str">
        <f t="shared" ref="CJ278" si="1607">HYPERLINK("http://www.e-migrantinnen.de/index.php?de_wichtige-links","x")</f>
        <v>x</v>
      </c>
      <c r="CK278" s="112"/>
      <c r="CL278" s="112"/>
      <c r="CM278" s="112"/>
      <c r="CN278" s="112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2"/>
      <c r="CZ278" s="112"/>
      <c r="DA278" s="112"/>
      <c r="DB278" s="115"/>
      <c r="DC278" s="112"/>
      <c r="DD278" s="112"/>
      <c r="DE278" s="112" t="str">
        <f t="shared" ref="DE278" si="1608">HYPERLINK("http://fi-lohmar-siegburg.de/data/documents/130-37_Inklusion_im_Anfangsunterricht_-_Poster_mit_Situationsbildern.pdf","x")</f>
        <v>x</v>
      </c>
      <c r="DF278" s="115" t="str">
        <f t="shared" ref="DF278" si="1609">HYPERLINK("http://s3-eu-west-1.amazonaws.com/lingolia/calendar/2016/lingolia_2016_de.pdf","x")</f>
        <v>x</v>
      </c>
      <c r="DG278" s="112" t="str">
        <f t="shared" ref="DG278" si="1610">HYPERLINK("http://www.bibliomedia.ch/de/angebote/img/Wimmelbild.jpg","x")</f>
        <v>x</v>
      </c>
      <c r="DH278" s="112" t="str">
        <f t="shared" ref="DH278" si="1611">HYPERLINK("http://www.bibliomedia.ch/de/angebote/dokumente/Wimmelbild_Fehler.jpg","x")</f>
        <v>x</v>
      </c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8"/>
      <c r="EP278" s="118"/>
      <c r="EQ278" s="111"/>
      <c r="ER278" s="111"/>
      <c r="ES278" s="111"/>
      <c r="ET278" s="111"/>
      <c r="EU278" s="111"/>
      <c r="EV278" s="112" t="str">
        <f t="shared" ref="EV278:EV284" si="1612">HYPERLINK("http://www.lak-rlp.de/fileadmin/redakteure/pdf/download/Piktogramme_Dosieretiketten_AoG.pdf","x")</f>
        <v>x</v>
      </c>
      <c r="EW278" s="111"/>
      <c r="EX278" s="111"/>
      <c r="EY278" s="111"/>
      <c r="EZ278" s="111"/>
      <c r="FA278" s="111"/>
      <c r="FB278" s="111"/>
      <c r="FC278" s="112" t="str">
        <f t="shared" ref="FC278" si="1613">HYPERLINK("http://mige.ix-tech.de/index.php?id=241","x")</f>
        <v>x</v>
      </c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1"/>
      <c r="GA278" s="111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2" t="str">
        <f t="shared" si="1251"/>
        <v>x</v>
      </c>
      <c r="HC278" s="112" t="str">
        <f t="shared" ref="HC278:HC284" si="1614">HYPERLINK("https://www.zahnaerzte-wl.de/images/_PDF-suche/KZV_ZÄK/ENDSTAND_Ankreuzbogen_Ich_verstehe.pdf","x")</f>
        <v>x</v>
      </c>
      <c r="HD278" s="112" t="str">
        <f t="shared" ref="HD278:HD284" si="1615">HYPERLINK("https://www.zahnaerzte-wl.de/images/_PDF-suche/KZV_ZÄK/Anschreiben_Patienten_usbekisch.pdf","x")</f>
        <v>x</v>
      </c>
      <c r="HE278" s="112" t="str">
        <f t="shared" ref="HE278:HE284" si="1616">HYPERLINK("https://www.zahnaerzte-wl.de/images/_PDF-suche/KZV_ZÄK/Fragebogen_usbekisch.pdf","x")</f>
        <v>x</v>
      </c>
      <c r="HF278" s="112" t="str">
        <f t="shared" ref="HF278:HF284" si="1617">HYPERLINK("https://www.zahnaerzte-wl.de/images/_PDF-suche/KZV_ZÄK/Patientenerhebungsbogen_usbekisch.pdf","x")</f>
        <v>x</v>
      </c>
      <c r="HG278" s="112"/>
      <c r="HH278" s="112"/>
      <c r="HI278" s="112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2" t="str">
        <f t="shared" ref="HX278" si="1618">HYPERLINK("http://www.selfhelpfortrauma.org/","x")</f>
        <v>x</v>
      </c>
      <c r="HY278" s="112" t="str">
        <f t="shared" ref="HY278" si="1619">HYPERLINK("http://peacefulheart.se/wp-content/uploads/2014/12/Resolving-Yesterday-20141201-Self-Tapping.pdf","x")</f>
        <v>x</v>
      </c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  <c r="IW278" s="111"/>
      <c r="IX278" s="111"/>
      <c r="IY278" s="111"/>
      <c r="IZ278" s="111"/>
      <c r="JA278" s="111"/>
      <c r="JB278" s="111"/>
      <c r="JC278" s="111"/>
      <c r="JD278" s="111"/>
      <c r="JE278" s="111"/>
      <c r="JF278" s="111"/>
      <c r="JG278" s="111"/>
      <c r="JH278" s="111"/>
      <c r="JI278" s="111"/>
      <c r="JJ278" s="111"/>
      <c r="JK278" s="111"/>
      <c r="JL278" s="111"/>
      <c r="JM278" s="111"/>
      <c r="JN278" s="111"/>
      <c r="JO278" s="111"/>
      <c r="JP278" s="111"/>
      <c r="JQ278" s="111"/>
      <c r="JR278" s="111"/>
      <c r="JS278" s="111"/>
      <c r="JT278" s="111"/>
      <c r="JU278" s="111"/>
      <c r="JV278" s="111"/>
      <c r="JW278" s="111"/>
      <c r="JX278" s="111"/>
      <c r="JY278" s="111"/>
      <c r="JZ278" s="111"/>
      <c r="KA278" s="111"/>
      <c r="KB278" s="111"/>
      <c r="KC278" s="111"/>
      <c r="KD278" s="111"/>
      <c r="KE278" s="111"/>
      <c r="KF278" s="111"/>
      <c r="KG278" s="111"/>
      <c r="KH278" s="111"/>
      <c r="KI278" s="111"/>
      <c r="KJ278" s="111"/>
      <c r="KK278" s="111"/>
      <c r="KL278" s="111"/>
      <c r="KM278" s="111"/>
      <c r="KN278" s="111"/>
      <c r="KO278" s="111"/>
      <c r="KP278" s="111"/>
      <c r="KQ278" s="111"/>
      <c r="KR278" s="111"/>
      <c r="KS278" s="111"/>
      <c r="KT278" s="111"/>
      <c r="KU278" s="111"/>
      <c r="KV278" s="111"/>
      <c r="KW278" s="111"/>
      <c r="KX278" s="111"/>
      <c r="KY278" s="111"/>
      <c r="KZ278" s="111"/>
      <c r="LA278" s="111"/>
      <c r="LB278" s="111"/>
      <c r="LC278" s="111"/>
      <c r="LD278" s="111"/>
      <c r="LE278" s="111"/>
      <c r="LF278" s="111"/>
      <c r="LG278" s="111"/>
      <c r="LH278" s="111"/>
      <c r="LI278" s="111"/>
      <c r="LJ278" s="111"/>
      <c r="LK278" s="111"/>
      <c r="LL278" s="111"/>
      <c r="LM278" s="111"/>
      <c r="LN278" s="111"/>
      <c r="LO278" s="111"/>
      <c r="LP278" s="111"/>
      <c r="LQ278" s="111"/>
      <c r="LR278" s="111"/>
      <c r="LS278" s="111"/>
      <c r="LT278" s="111"/>
      <c r="LU278" s="111"/>
      <c r="LV278" s="111"/>
      <c r="LW278" s="111"/>
      <c r="LX278" s="111"/>
      <c r="LY278" s="111"/>
      <c r="LZ278" s="111"/>
      <c r="MA278" s="111"/>
      <c r="MB278" s="111"/>
      <c r="MC278" s="111"/>
      <c r="MD278" s="111"/>
      <c r="ME278" s="111"/>
      <c r="MF278" s="111"/>
      <c r="MG278" s="111"/>
      <c r="MH278" s="111"/>
    </row>
    <row r="279" spans="1:346" x14ac:dyDescent="0.25">
      <c r="A279" s="110" t="s">
        <v>154</v>
      </c>
      <c r="B279" s="101" t="s">
        <v>26</v>
      </c>
      <c r="C279" s="102"/>
      <c r="D279" s="102"/>
      <c r="E279" s="102"/>
      <c r="F279" s="102"/>
      <c r="G279" s="102"/>
      <c r="H279" s="102"/>
      <c r="I279" s="102"/>
      <c r="J279" s="103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3"/>
      <c r="AV279" s="114" t="str">
        <f t="shared" ref="AV279:AV284" si="1620">HYPERLINK("http://sab.landtag.sachsen.de/dokumente/landtagskurier/SAB_DeutschLernen_DinA5_WEB141115.pdf","x")</f>
        <v>x</v>
      </c>
      <c r="AW279" s="114" t="str">
        <f t="shared" ref="AW279:AW284" si="1621">HYPERLINK("http://sab.landtag.sachsen.de/dokumente/landtagskurier/SAB_PL_Lernposter_WEB091115.pdf","x")</f>
        <v>x</v>
      </c>
      <c r="AX279" s="111"/>
      <c r="AY279" s="111"/>
      <c r="AZ279" s="112" t="str">
        <f t="shared" ref="AZ279:AZ284" si="162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9" s="112" t="str">
        <f t="shared" ref="BA279:BA284" si="1623">HYPERLINK("http://wie-kann-ich-helfen.info/WoerterbuchAnalphabet_innen_%28c%29_Dagmar_Schmeelcke.pdf","x")</f>
        <v>x</v>
      </c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2" t="str">
        <f t="shared" ref="BR279:BR284" si="1624">HYPERLINK("http://www.goethe.de/lrn/prj/wnd/deu/lti/deindex.htm#13322010","x")</f>
        <v>x</v>
      </c>
      <c r="BS279" s="112"/>
      <c r="BT279" s="111"/>
      <c r="BU279" s="112" t="str">
        <f t="shared" ref="BU279:BU284" si="1625">HYPERLINK("https://s3-eu-west-1.amazonaws.com/lingolia/download/lingolia_daf.pdf","x")</f>
        <v>x</v>
      </c>
      <c r="BV279" s="112"/>
      <c r="BW279" s="112"/>
      <c r="BX279" s="112"/>
      <c r="BY279" s="112"/>
      <c r="BZ279" s="112" t="str">
        <f t="shared" ref="BZ279:BZ284" si="1626">HYPERLINK("http://www.hueber.de/shared/uebungen/schritte-plus","x")</f>
        <v>x</v>
      </c>
      <c r="CA279" s="112" t="str">
        <f t="shared" ref="CA279:CA284" si="1627">HYPERLINK("https://www.hueber.de/shared/uebungen/menschen-hier/ab/a1-1/menu.html","x")</f>
        <v>x</v>
      </c>
      <c r="CB279" s="112" t="str">
        <f t="shared" ref="CB279:CB284" si="1628">HYPERLINK("http://www.goethe-verlag.com/DE/","x")</f>
        <v>x</v>
      </c>
      <c r="CC279" s="112"/>
      <c r="CD279" s="112"/>
      <c r="CE279" s="111"/>
      <c r="CF279" s="111"/>
      <c r="CG279" s="111"/>
      <c r="CH279" s="111"/>
      <c r="CI279" s="111"/>
      <c r="CJ279" s="112" t="str">
        <f t="shared" ref="CJ279:CJ284" si="1629">HYPERLINK("http://www.e-migrantinnen.de/index.php?de_wichtige-links","x")</f>
        <v>x</v>
      </c>
      <c r="CK279" s="112"/>
      <c r="CL279" s="112"/>
      <c r="CM279" s="112"/>
      <c r="CN279" s="112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2"/>
      <c r="CZ279" s="112"/>
      <c r="DA279" s="112"/>
      <c r="DB279" s="115"/>
      <c r="DC279" s="112"/>
      <c r="DD279" s="112"/>
      <c r="DE279" s="112" t="str">
        <f t="shared" ref="DE279:DE284" si="1630">HYPERLINK("http://fi-lohmar-siegburg.de/data/documents/130-37_Inklusion_im_Anfangsunterricht_-_Poster_mit_Situationsbildern.pdf","x")</f>
        <v>x</v>
      </c>
      <c r="DF279" s="115" t="str">
        <f t="shared" ref="DF279:DF284" si="1631">HYPERLINK("http://s3-eu-west-1.amazonaws.com/lingolia/calendar/2016/lingolia_2016_de.pdf","x")</f>
        <v>x</v>
      </c>
      <c r="DG279" s="112" t="str">
        <f t="shared" ref="DG279:DG284" si="1632">HYPERLINK("http://www.bibliomedia.ch/de/angebote/img/Wimmelbild.jpg","x")</f>
        <v>x</v>
      </c>
      <c r="DH279" s="112" t="str">
        <f t="shared" ref="DH279:DH284" si="1633">HYPERLINK("http://www.bibliomedia.ch/de/angebote/dokumente/Wimmelbild_Fehler.jpg","x")</f>
        <v>x</v>
      </c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8"/>
      <c r="EP279" s="118"/>
      <c r="EQ279" s="111"/>
      <c r="ER279" s="111"/>
      <c r="ES279" s="111"/>
      <c r="ET279" s="111"/>
      <c r="EU279" s="111"/>
      <c r="EV279" s="112" t="str">
        <f t="shared" si="1612"/>
        <v>x</v>
      </c>
      <c r="EW279" s="111"/>
      <c r="EX279" s="111"/>
      <c r="EY279" s="111"/>
      <c r="EZ279" s="111"/>
      <c r="FA279" s="111"/>
      <c r="FB279" s="111"/>
      <c r="FC279" s="112" t="str">
        <f t="shared" ref="FC279:FC284" si="1634">HYPERLINK("http://mige.ix-tech.de/index.php?id=241","x")</f>
        <v>x</v>
      </c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1"/>
      <c r="GA279" s="111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2" t="str">
        <f t="shared" ref="HB279:HB284" si="1635">HYPERLINK("https://www.zahnaerzte-wl.de/images/_PDF-suche/KZV_ZÄK/piktogrammheft.pdf","x")</f>
        <v>x</v>
      </c>
      <c r="HC279" s="112" t="str">
        <f t="shared" si="1614"/>
        <v>x</v>
      </c>
      <c r="HD279" s="112" t="str">
        <f t="shared" si="1615"/>
        <v>x</v>
      </c>
      <c r="HE279" s="112" t="str">
        <f t="shared" si="1616"/>
        <v>x</v>
      </c>
      <c r="HF279" s="112" t="str">
        <f t="shared" si="1617"/>
        <v>x</v>
      </c>
      <c r="HG279" s="112"/>
      <c r="HH279" s="112"/>
      <c r="HI279" s="112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2" t="str">
        <f t="shared" ref="HX279:HX284" si="1636">HYPERLINK("http://www.selfhelpfortrauma.org/","x")</f>
        <v>x</v>
      </c>
      <c r="HY279" s="112" t="str">
        <f t="shared" ref="HY279:HY284" si="1637">HYPERLINK("http://peacefulheart.se/wp-content/uploads/2014/12/Resolving-Yesterday-20141201-Self-Tapping.pdf","x")</f>
        <v>x</v>
      </c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  <c r="IW279" s="111"/>
      <c r="IX279" s="111"/>
      <c r="IY279" s="111"/>
      <c r="IZ279" s="111"/>
      <c r="JA279" s="111"/>
      <c r="JB279" s="111"/>
      <c r="JC279" s="111"/>
      <c r="JD279" s="111"/>
      <c r="JE279" s="111"/>
      <c r="JF279" s="111"/>
      <c r="JG279" s="111"/>
      <c r="JH279" s="111"/>
      <c r="JI279" s="111"/>
      <c r="JJ279" s="111"/>
      <c r="JK279" s="111"/>
      <c r="JL279" s="111"/>
      <c r="JM279" s="111"/>
      <c r="JN279" s="111"/>
      <c r="JO279" s="111"/>
      <c r="JP279" s="111"/>
      <c r="JQ279" s="111"/>
      <c r="JR279" s="111"/>
      <c r="JS279" s="111"/>
      <c r="JT279" s="111"/>
      <c r="JU279" s="111"/>
      <c r="JV279" s="111"/>
      <c r="JW279" s="111"/>
      <c r="JX279" s="111"/>
      <c r="JY279" s="111"/>
      <c r="JZ279" s="111"/>
      <c r="KA279" s="111"/>
      <c r="KB279" s="111"/>
      <c r="KC279" s="111"/>
      <c r="KD279" s="111"/>
      <c r="KE279" s="111"/>
      <c r="KF279" s="111"/>
      <c r="KG279" s="111"/>
      <c r="KH279" s="111"/>
      <c r="KI279" s="111"/>
      <c r="KJ279" s="111"/>
      <c r="KK279" s="111"/>
      <c r="KL279" s="111"/>
      <c r="KM279" s="111"/>
      <c r="KN279" s="111"/>
      <c r="KO279" s="111"/>
      <c r="KP279" s="111"/>
      <c r="KQ279" s="111"/>
      <c r="KR279" s="111"/>
      <c r="KS279" s="111"/>
      <c r="KT279" s="111"/>
      <c r="KU279" s="111"/>
      <c r="KV279" s="111"/>
      <c r="KW279" s="111"/>
      <c r="KX279" s="111"/>
      <c r="KY279" s="111"/>
      <c r="KZ279" s="111"/>
      <c r="LA279" s="111"/>
      <c r="LB279" s="111"/>
      <c r="LC279" s="111"/>
      <c r="LD279" s="111"/>
      <c r="LE279" s="111"/>
      <c r="LF279" s="111"/>
      <c r="LG279" s="111"/>
      <c r="LH279" s="111"/>
      <c r="LI279" s="111"/>
      <c r="LJ279" s="111"/>
      <c r="LK279" s="111"/>
      <c r="LL279" s="111"/>
      <c r="LM279" s="111"/>
      <c r="LN279" s="111"/>
      <c r="LO279" s="111"/>
      <c r="LP279" s="111"/>
      <c r="LQ279" s="111"/>
      <c r="LR279" s="111"/>
      <c r="LS279" s="111"/>
      <c r="LT279" s="111"/>
      <c r="LU279" s="111"/>
      <c r="LV279" s="111"/>
      <c r="LW279" s="111"/>
      <c r="LX279" s="111"/>
      <c r="LY279" s="111"/>
      <c r="LZ279" s="111"/>
      <c r="MA279" s="111"/>
      <c r="MB279" s="111"/>
      <c r="MC279" s="111"/>
      <c r="MD279" s="111"/>
      <c r="ME279" s="111"/>
      <c r="MF279" s="111"/>
      <c r="MG279" s="111"/>
      <c r="MH279" s="111"/>
    </row>
    <row r="280" spans="1:346" x14ac:dyDescent="0.25">
      <c r="A280" s="110" t="s">
        <v>154</v>
      </c>
      <c r="B280" s="101" t="s">
        <v>136</v>
      </c>
      <c r="C280" s="102"/>
      <c r="D280" s="102"/>
      <c r="E280" s="102"/>
      <c r="F280" s="102"/>
      <c r="G280" s="102"/>
      <c r="H280" s="102"/>
      <c r="I280" s="102"/>
      <c r="J280" s="103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3"/>
      <c r="AV280" s="114" t="str">
        <f t="shared" si="1620"/>
        <v>x</v>
      </c>
      <c r="AW280" s="114" t="str">
        <f t="shared" si="1621"/>
        <v>x</v>
      </c>
      <c r="AX280" s="111"/>
      <c r="AY280" s="111"/>
      <c r="AZ280" s="112" t="str">
        <f t="shared" si="1622"/>
        <v>x</v>
      </c>
      <c r="BA280" s="112" t="str">
        <f t="shared" si="1623"/>
        <v>x</v>
      </c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2" t="str">
        <f t="shared" si="1624"/>
        <v>x</v>
      </c>
      <c r="BS280" s="112"/>
      <c r="BT280" s="111"/>
      <c r="BU280" s="112" t="str">
        <f t="shared" si="1625"/>
        <v>x</v>
      </c>
      <c r="BV280" s="112"/>
      <c r="BW280" s="112"/>
      <c r="BX280" s="112"/>
      <c r="BY280" s="112"/>
      <c r="BZ280" s="112" t="str">
        <f t="shared" si="1626"/>
        <v>x</v>
      </c>
      <c r="CA280" s="112" t="str">
        <f t="shared" si="1627"/>
        <v>x</v>
      </c>
      <c r="CB280" s="112" t="str">
        <f t="shared" si="1628"/>
        <v>x</v>
      </c>
      <c r="CC280" s="112"/>
      <c r="CD280" s="112"/>
      <c r="CE280" s="111"/>
      <c r="CF280" s="111"/>
      <c r="CG280" s="111"/>
      <c r="CH280" s="111"/>
      <c r="CI280" s="111"/>
      <c r="CJ280" s="112" t="str">
        <f t="shared" si="1629"/>
        <v>x</v>
      </c>
      <c r="CK280" s="112"/>
      <c r="CL280" s="112"/>
      <c r="CM280" s="112"/>
      <c r="CN280" s="112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2"/>
      <c r="CZ280" s="112"/>
      <c r="DA280" s="112"/>
      <c r="DB280" s="115"/>
      <c r="DC280" s="112"/>
      <c r="DD280" s="112"/>
      <c r="DE280" s="112" t="str">
        <f t="shared" si="1630"/>
        <v>x</v>
      </c>
      <c r="DF280" s="115" t="str">
        <f t="shared" si="1631"/>
        <v>x</v>
      </c>
      <c r="DG280" s="112" t="str">
        <f t="shared" si="1632"/>
        <v>x</v>
      </c>
      <c r="DH280" s="112" t="str">
        <f t="shared" si="1633"/>
        <v>x</v>
      </c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8"/>
      <c r="EP280" s="118"/>
      <c r="EQ280" s="111"/>
      <c r="ER280" s="111"/>
      <c r="ES280" s="111"/>
      <c r="ET280" s="111"/>
      <c r="EU280" s="111"/>
      <c r="EV280" s="112" t="str">
        <f t="shared" si="1612"/>
        <v>x</v>
      </c>
      <c r="EW280" s="111"/>
      <c r="EX280" s="111"/>
      <c r="EY280" s="111"/>
      <c r="EZ280" s="111"/>
      <c r="FA280" s="111"/>
      <c r="FB280" s="111"/>
      <c r="FC280" s="112" t="str">
        <f t="shared" si="1634"/>
        <v>x</v>
      </c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1"/>
      <c r="GA280" s="111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2" t="str">
        <f t="shared" si="1635"/>
        <v>x</v>
      </c>
      <c r="HC280" s="112" t="str">
        <f t="shared" si="1614"/>
        <v>x</v>
      </c>
      <c r="HD280" s="112" t="str">
        <f t="shared" si="1615"/>
        <v>x</v>
      </c>
      <c r="HE280" s="112" t="str">
        <f t="shared" si="1616"/>
        <v>x</v>
      </c>
      <c r="HF280" s="112" t="str">
        <f t="shared" si="1617"/>
        <v>x</v>
      </c>
      <c r="HG280" s="112"/>
      <c r="HH280" s="112"/>
      <c r="HI280" s="112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2" t="str">
        <f t="shared" si="1636"/>
        <v>x</v>
      </c>
      <c r="HY280" s="112" t="str">
        <f t="shared" si="1637"/>
        <v>x</v>
      </c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  <c r="IW280" s="111"/>
      <c r="IX280" s="111"/>
      <c r="IY280" s="111"/>
      <c r="IZ280" s="111"/>
      <c r="JA280" s="111"/>
      <c r="JB280" s="111"/>
      <c r="JC280" s="111"/>
      <c r="JD280" s="111"/>
      <c r="JE280" s="111"/>
      <c r="JF280" s="111"/>
      <c r="JG280" s="111"/>
      <c r="JH280" s="111"/>
      <c r="JI280" s="111"/>
      <c r="JJ280" s="111"/>
      <c r="JK280" s="111"/>
      <c r="JL280" s="111"/>
      <c r="JM280" s="111"/>
      <c r="JN280" s="111"/>
      <c r="JO280" s="111"/>
      <c r="JP280" s="111"/>
      <c r="JQ280" s="111"/>
      <c r="JR280" s="111"/>
      <c r="JS280" s="111"/>
      <c r="JT280" s="111"/>
      <c r="JU280" s="111"/>
      <c r="JV280" s="111"/>
      <c r="JW280" s="111"/>
      <c r="JX280" s="111"/>
      <c r="JY280" s="111"/>
      <c r="JZ280" s="111"/>
      <c r="KA280" s="111"/>
      <c r="KB280" s="111"/>
      <c r="KC280" s="111"/>
      <c r="KD280" s="111"/>
      <c r="KE280" s="111"/>
      <c r="KF280" s="111"/>
      <c r="KG280" s="111"/>
      <c r="KH280" s="111"/>
      <c r="KI280" s="111"/>
      <c r="KJ280" s="111"/>
      <c r="KK280" s="111"/>
      <c r="KL280" s="111"/>
      <c r="KM280" s="111"/>
      <c r="KN280" s="111"/>
      <c r="KO280" s="111"/>
      <c r="KP280" s="111"/>
      <c r="KQ280" s="111"/>
      <c r="KR280" s="111"/>
      <c r="KS280" s="111"/>
      <c r="KT280" s="111"/>
      <c r="KU280" s="111"/>
      <c r="KV280" s="111"/>
      <c r="KW280" s="111"/>
      <c r="KX280" s="111"/>
      <c r="KY280" s="111"/>
      <c r="KZ280" s="111"/>
      <c r="LA280" s="111"/>
      <c r="LB280" s="111"/>
      <c r="LC280" s="111"/>
      <c r="LD280" s="111"/>
      <c r="LE280" s="111"/>
      <c r="LF280" s="111"/>
      <c r="LG280" s="111"/>
      <c r="LH280" s="111"/>
      <c r="LI280" s="111"/>
      <c r="LJ280" s="111"/>
      <c r="LK280" s="111"/>
      <c r="LL280" s="111"/>
      <c r="LM280" s="111"/>
      <c r="LN280" s="111"/>
      <c r="LO280" s="111"/>
      <c r="LP280" s="111"/>
      <c r="LQ280" s="111"/>
      <c r="LR280" s="111"/>
      <c r="LS280" s="111"/>
      <c r="LT280" s="111"/>
      <c r="LU280" s="111"/>
      <c r="LV280" s="111"/>
      <c r="LW280" s="111"/>
      <c r="LX280" s="111"/>
      <c r="LY280" s="111"/>
      <c r="LZ280" s="111"/>
      <c r="MA280" s="111"/>
      <c r="MB280" s="111"/>
      <c r="MC280" s="111"/>
      <c r="MD280" s="111"/>
      <c r="ME280" s="111"/>
      <c r="MF280" s="111"/>
      <c r="MG280" s="111"/>
      <c r="MH280" s="111"/>
    </row>
    <row r="281" spans="1:346" x14ac:dyDescent="0.25">
      <c r="A281" s="110" t="s">
        <v>154</v>
      </c>
      <c r="B281" s="101" t="s">
        <v>84</v>
      </c>
      <c r="C281" s="102"/>
      <c r="D281" s="102"/>
      <c r="E281" s="102"/>
      <c r="F281" s="102"/>
      <c r="G281" s="102"/>
      <c r="H281" s="102"/>
      <c r="I281" s="102"/>
      <c r="J281" s="103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3"/>
      <c r="AV281" s="114" t="str">
        <f t="shared" si="1620"/>
        <v>x</v>
      </c>
      <c r="AW281" s="114" t="str">
        <f t="shared" si="1621"/>
        <v>x</v>
      </c>
      <c r="AX281" s="111"/>
      <c r="AY281" s="111"/>
      <c r="AZ281" s="112" t="str">
        <f t="shared" si="1622"/>
        <v>x</v>
      </c>
      <c r="BA281" s="112" t="str">
        <f t="shared" si="1623"/>
        <v>x</v>
      </c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2" t="str">
        <f t="shared" si="1624"/>
        <v>x</v>
      </c>
      <c r="BS281" s="112"/>
      <c r="BT281" s="111"/>
      <c r="BU281" s="112" t="str">
        <f t="shared" si="1625"/>
        <v>x</v>
      </c>
      <c r="BV281" s="112"/>
      <c r="BW281" s="112"/>
      <c r="BX281" s="112"/>
      <c r="BY281" s="112"/>
      <c r="BZ281" s="112" t="str">
        <f t="shared" si="1626"/>
        <v>x</v>
      </c>
      <c r="CA281" s="112" t="str">
        <f t="shared" si="1627"/>
        <v>x</v>
      </c>
      <c r="CB281" s="112" t="str">
        <f t="shared" si="1628"/>
        <v>x</v>
      </c>
      <c r="CC281" s="112"/>
      <c r="CD281" s="112"/>
      <c r="CE281" s="111"/>
      <c r="CF281" s="111"/>
      <c r="CG281" s="111"/>
      <c r="CH281" s="111"/>
      <c r="CI281" s="111"/>
      <c r="CJ281" s="112" t="str">
        <f t="shared" si="1629"/>
        <v>x</v>
      </c>
      <c r="CK281" s="112"/>
      <c r="CL281" s="112"/>
      <c r="CM281" s="112"/>
      <c r="CN281" s="112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2"/>
      <c r="CZ281" s="112"/>
      <c r="DA281" s="112"/>
      <c r="DB281" s="115"/>
      <c r="DC281" s="112"/>
      <c r="DD281" s="112"/>
      <c r="DE281" s="112" t="str">
        <f t="shared" si="1630"/>
        <v>x</v>
      </c>
      <c r="DF281" s="115" t="str">
        <f t="shared" si="1631"/>
        <v>x</v>
      </c>
      <c r="DG281" s="112" t="str">
        <f t="shared" si="1632"/>
        <v>x</v>
      </c>
      <c r="DH281" s="112" t="str">
        <f t="shared" si="1633"/>
        <v>x</v>
      </c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8"/>
      <c r="EP281" s="118"/>
      <c r="EQ281" s="111"/>
      <c r="ER281" s="111"/>
      <c r="ES281" s="111"/>
      <c r="ET281" s="111"/>
      <c r="EU281" s="111"/>
      <c r="EV281" s="112" t="str">
        <f t="shared" si="1612"/>
        <v>x</v>
      </c>
      <c r="EW281" s="111"/>
      <c r="EX281" s="111"/>
      <c r="EY281" s="111"/>
      <c r="EZ281" s="111"/>
      <c r="FA281" s="111"/>
      <c r="FB281" s="111"/>
      <c r="FC281" s="112" t="str">
        <f t="shared" si="1634"/>
        <v>x</v>
      </c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1"/>
      <c r="GA281" s="111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2" t="str">
        <f t="shared" si="1635"/>
        <v>x</v>
      </c>
      <c r="HC281" s="112" t="str">
        <f t="shared" si="1614"/>
        <v>x</v>
      </c>
      <c r="HD281" s="112" t="str">
        <f t="shared" si="1615"/>
        <v>x</v>
      </c>
      <c r="HE281" s="112" t="str">
        <f t="shared" si="1616"/>
        <v>x</v>
      </c>
      <c r="HF281" s="112" t="str">
        <f t="shared" si="1617"/>
        <v>x</v>
      </c>
      <c r="HG281" s="112"/>
      <c r="HH281" s="112"/>
      <c r="HI281" s="112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2" t="str">
        <f t="shared" si="1636"/>
        <v>x</v>
      </c>
      <c r="HY281" s="112" t="str">
        <f t="shared" si="1637"/>
        <v>x</v>
      </c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  <c r="IW281" s="111"/>
      <c r="IX281" s="111"/>
      <c r="IY281" s="111"/>
      <c r="IZ281" s="111"/>
      <c r="JA281" s="111"/>
      <c r="JB281" s="111"/>
      <c r="JC281" s="111"/>
      <c r="JD281" s="111"/>
      <c r="JE281" s="111"/>
      <c r="JF281" s="111"/>
      <c r="JG281" s="111"/>
      <c r="JH281" s="111"/>
      <c r="JI281" s="111"/>
      <c r="JJ281" s="111"/>
      <c r="JK281" s="111"/>
      <c r="JL281" s="111"/>
      <c r="JM281" s="111"/>
      <c r="JN281" s="111"/>
      <c r="JO281" s="111"/>
      <c r="JP281" s="111"/>
      <c r="JQ281" s="111"/>
      <c r="JR281" s="111"/>
      <c r="JS281" s="111"/>
      <c r="JT281" s="111"/>
      <c r="JU281" s="111"/>
      <c r="JV281" s="111"/>
      <c r="JW281" s="111"/>
      <c r="JX281" s="111"/>
      <c r="JY281" s="111"/>
      <c r="JZ281" s="111"/>
      <c r="KA281" s="111"/>
      <c r="KB281" s="111"/>
      <c r="KC281" s="111"/>
      <c r="KD281" s="111"/>
      <c r="KE281" s="111"/>
      <c r="KF281" s="111"/>
      <c r="KG281" s="111"/>
      <c r="KH281" s="111"/>
      <c r="KI281" s="111"/>
      <c r="KJ281" s="111"/>
      <c r="KK281" s="111"/>
      <c r="KL281" s="111"/>
      <c r="KM281" s="111"/>
      <c r="KN281" s="111"/>
      <c r="KO281" s="111"/>
      <c r="KP281" s="111"/>
      <c r="KQ281" s="111"/>
      <c r="KR281" s="111"/>
      <c r="KS281" s="111"/>
      <c r="KT281" s="111"/>
      <c r="KU281" s="111"/>
      <c r="KV281" s="111"/>
      <c r="KW281" s="111"/>
      <c r="KX281" s="111"/>
      <c r="KY281" s="111"/>
      <c r="KZ281" s="111"/>
      <c r="LA281" s="111"/>
      <c r="LB281" s="111"/>
      <c r="LC281" s="111"/>
      <c r="LD281" s="111"/>
      <c r="LE281" s="111"/>
      <c r="LF281" s="111"/>
      <c r="LG281" s="111"/>
      <c r="LH281" s="111"/>
      <c r="LI281" s="111"/>
      <c r="LJ281" s="111"/>
      <c r="LK281" s="111"/>
      <c r="LL281" s="111"/>
      <c r="LM281" s="111"/>
      <c r="LN281" s="111"/>
      <c r="LO281" s="111"/>
      <c r="LP281" s="111"/>
      <c r="LQ281" s="111"/>
      <c r="LR281" s="111"/>
      <c r="LS281" s="111"/>
      <c r="LT281" s="111"/>
      <c r="LU281" s="111"/>
      <c r="LV281" s="111"/>
      <c r="LW281" s="111"/>
      <c r="LX281" s="111"/>
      <c r="LY281" s="111"/>
      <c r="LZ281" s="111"/>
      <c r="MA281" s="111"/>
      <c r="MB281" s="111"/>
      <c r="MC281" s="111"/>
      <c r="MD281" s="111"/>
      <c r="ME281" s="111"/>
      <c r="MF281" s="111"/>
      <c r="MG281" s="111"/>
      <c r="MH281" s="111"/>
    </row>
    <row r="282" spans="1:346" x14ac:dyDescent="0.25">
      <c r="A282" s="110" t="s">
        <v>154</v>
      </c>
      <c r="B282" s="101" t="s">
        <v>85</v>
      </c>
      <c r="C282" s="102"/>
      <c r="D282" s="102"/>
      <c r="E282" s="102"/>
      <c r="F282" s="102"/>
      <c r="G282" s="102"/>
      <c r="H282" s="102"/>
      <c r="I282" s="102"/>
      <c r="J282" s="103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3"/>
      <c r="AV282" s="114" t="str">
        <f t="shared" si="1620"/>
        <v>x</v>
      </c>
      <c r="AW282" s="114" t="str">
        <f t="shared" si="1621"/>
        <v>x</v>
      </c>
      <c r="AX282" s="111"/>
      <c r="AY282" s="111"/>
      <c r="AZ282" s="112" t="str">
        <f t="shared" si="1622"/>
        <v>x</v>
      </c>
      <c r="BA282" s="112" t="str">
        <f t="shared" si="1623"/>
        <v>x</v>
      </c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2" t="str">
        <f t="shared" si="1624"/>
        <v>x</v>
      </c>
      <c r="BS282" s="112"/>
      <c r="BT282" s="111"/>
      <c r="BU282" s="112" t="str">
        <f t="shared" si="1625"/>
        <v>x</v>
      </c>
      <c r="BV282" s="112"/>
      <c r="BW282" s="112"/>
      <c r="BX282" s="112"/>
      <c r="BY282" s="112"/>
      <c r="BZ282" s="112" t="str">
        <f t="shared" si="1626"/>
        <v>x</v>
      </c>
      <c r="CA282" s="112" t="str">
        <f t="shared" si="1627"/>
        <v>x</v>
      </c>
      <c r="CB282" s="112" t="str">
        <f t="shared" si="1628"/>
        <v>x</v>
      </c>
      <c r="CC282" s="112"/>
      <c r="CD282" s="112"/>
      <c r="CE282" s="111"/>
      <c r="CF282" s="111"/>
      <c r="CG282" s="111"/>
      <c r="CH282" s="111"/>
      <c r="CI282" s="111"/>
      <c r="CJ282" s="112" t="str">
        <f t="shared" si="1629"/>
        <v>x</v>
      </c>
      <c r="CK282" s="112"/>
      <c r="CL282" s="112"/>
      <c r="CM282" s="112"/>
      <c r="CN282" s="112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2"/>
      <c r="CZ282" s="112"/>
      <c r="DA282" s="112"/>
      <c r="DB282" s="115"/>
      <c r="DC282" s="112"/>
      <c r="DD282" s="112"/>
      <c r="DE282" s="112" t="str">
        <f t="shared" si="1630"/>
        <v>x</v>
      </c>
      <c r="DF282" s="115" t="str">
        <f t="shared" si="1631"/>
        <v>x</v>
      </c>
      <c r="DG282" s="112" t="str">
        <f t="shared" si="1632"/>
        <v>x</v>
      </c>
      <c r="DH282" s="112" t="str">
        <f t="shared" si="1633"/>
        <v>x</v>
      </c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8"/>
      <c r="EP282" s="118"/>
      <c r="EQ282" s="111"/>
      <c r="ER282" s="111"/>
      <c r="ES282" s="111"/>
      <c r="ET282" s="111"/>
      <c r="EU282" s="111"/>
      <c r="EV282" s="112" t="str">
        <f t="shared" si="1612"/>
        <v>x</v>
      </c>
      <c r="EW282" s="111"/>
      <c r="EX282" s="111"/>
      <c r="EY282" s="111"/>
      <c r="EZ282" s="111"/>
      <c r="FA282" s="111"/>
      <c r="FB282" s="111"/>
      <c r="FC282" s="112" t="str">
        <f t="shared" si="1634"/>
        <v>x</v>
      </c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  <c r="FW282" s="111"/>
      <c r="FX282" s="111"/>
      <c r="FY282" s="111"/>
      <c r="FZ282" s="111"/>
      <c r="GA282" s="111"/>
      <c r="GB282" s="111"/>
      <c r="GC282" s="111"/>
      <c r="GD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2" t="str">
        <f t="shared" si="1635"/>
        <v>x</v>
      </c>
      <c r="HC282" s="112" t="str">
        <f t="shared" si="1614"/>
        <v>x</v>
      </c>
      <c r="HD282" s="112" t="str">
        <f t="shared" si="1615"/>
        <v>x</v>
      </c>
      <c r="HE282" s="112" t="str">
        <f t="shared" si="1616"/>
        <v>x</v>
      </c>
      <c r="HF282" s="112" t="str">
        <f t="shared" si="1617"/>
        <v>x</v>
      </c>
      <c r="HG282" s="112"/>
      <c r="HH282" s="112"/>
      <c r="HI282" s="112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2" t="str">
        <f t="shared" si="1636"/>
        <v>x</v>
      </c>
      <c r="HY282" s="112" t="str">
        <f t="shared" si="1637"/>
        <v>x</v>
      </c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  <c r="IW282" s="111"/>
      <c r="IX282" s="111"/>
      <c r="IY282" s="111"/>
      <c r="IZ282" s="111"/>
      <c r="JA282" s="111"/>
      <c r="JB282" s="111"/>
      <c r="JC282" s="111"/>
      <c r="JD282" s="111"/>
      <c r="JE282" s="111"/>
      <c r="JF282" s="111"/>
      <c r="JG282" s="111"/>
      <c r="JH282" s="111"/>
      <c r="JI282" s="111"/>
      <c r="JJ282" s="111"/>
      <c r="JK282" s="111"/>
      <c r="JL282" s="111"/>
      <c r="JM282" s="111"/>
      <c r="JN282" s="111"/>
      <c r="JO282" s="111"/>
      <c r="JP282" s="111"/>
      <c r="JQ282" s="111"/>
      <c r="JR282" s="111"/>
      <c r="JS282" s="111"/>
      <c r="JT282" s="111"/>
      <c r="JU282" s="111"/>
      <c r="JV282" s="111"/>
      <c r="JW282" s="111"/>
      <c r="JX282" s="111"/>
      <c r="JY282" s="111"/>
      <c r="JZ282" s="111"/>
      <c r="KA282" s="111"/>
      <c r="KB282" s="111"/>
      <c r="KC282" s="111"/>
      <c r="KD282" s="111"/>
      <c r="KE282" s="111"/>
      <c r="KF282" s="111"/>
      <c r="KG282" s="111"/>
      <c r="KH282" s="111"/>
      <c r="KI282" s="111"/>
      <c r="KJ282" s="111"/>
      <c r="KK282" s="111"/>
      <c r="KL282" s="111"/>
      <c r="KM282" s="111"/>
      <c r="KN282" s="111"/>
      <c r="KO282" s="111"/>
      <c r="KP282" s="111"/>
      <c r="KQ282" s="111"/>
      <c r="KR282" s="111"/>
      <c r="KS282" s="111"/>
      <c r="KT282" s="111"/>
      <c r="KU282" s="111"/>
      <c r="KV282" s="111"/>
      <c r="KW282" s="111"/>
      <c r="KX282" s="111"/>
      <c r="KY282" s="111"/>
      <c r="KZ282" s="111"/>
      <c r="LA282" s="111"/>
      <c r="LB282" s="111"/>
      <c r="LC282" s="111"/>
      <c r="LD282" s="111"/>
      <c r="LE282" s="111"/>
      <c r="LF282" s="111"/>
      <c r="LG282" s="111"/>
      <c r="LH282" s="111"/>
      <c r="LI282" s="111"/>
      <c r="LJ282" s="111"/>
      <c r="LK282" s="111"/>
      <c r="LL282" s="111"/>
      <c r="LM282" s="111"/>
      <c r="LN282" s="111"/>
      <c r="LO282" s="111"/>
      <c r="LP282" s="111"/>
      <c r="LQ282" s="111"/>
      <c r="LR282" s="111"/>
      <c r="LS282" s="111"/>
      <c r="LT282" s="111"/>
      <c r="LU282" s="111"/>
      <c r="LV282" s="111"/>
      <c r="LW282" s="111"/>
      <c r="LX282" s="111"/>
      <c r="LY282" s="111"/>
      <c r="LZ282" s="111"/>
      <c r="MA282" s="111"/>
      <c r="MB282" s="111"/>
      <c r="MC282" s="111"/>
      <c r="MD282" s="111"/>
      <c r="ME282" s="111"/>
      <c r="MF282" s="111"/>
      <c r="MG282" s="111"/>
      <c r="MH282" s="111"/>
    </row>
    <row r="283" spans="1:346" x14ac:dyDescent="0.25">
      <c r="A283" s="110" t="s">
        <v>154</v>
      </c>
      <c r="B283" s="101" t="s">
        <v>156</v>
      </c>
      <c r="C283" s="102"/>
      <c r="D283" s="102"/>
      <c r="E283" s="102"/>
      <c r="F283" s="102"/>
      <c r="G283" s="102"/>
      <c r="H283" s="102"/>
      <c r="I283" s="102"/>
      <c r="J283" s="103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3"/>
      <c r="AV283" s="114" t="str">
        <f t="shared" si="1620"/>
        <v>x</v>
      </c>
      <c r="AW283" s="114" t="str">
        <f t="shared" si="1621"/>
        <v>x</v>
      </c>
      <c r="AX283" s="111"/>
      <c r="AY283" s="111"/>
      <c r="AZ283" s="112" t="str">
        <f t="shared" si="1622"/>
        <v>x</v>
      </c>
      <c r="BA283" s="112" t="str">
        <f t="shared" si="1623"/>
        <v>x</v>
      </c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2" t="str">
        <f t="shared" si="1624"/>
        <v>x</v>
      </c>
      <c r="BS283" s="112"/>
      <c r="BT283" s="111"/>
      <c r="BU283" s="112" t="str">
        <f t="shared" si="1625"/>
        <v>x</v>
      </c>
      <c r="BV283" s="112"/>
      <c r="BW283" s="112"/>
      <c r="BX283" s="112"/>
      <c r="BY283" s="112"/>
      <c r="BZ283" s="112" t="str">
        <f t="shared" si="1626"/>
        <v>x</v>
      </c>
      <c r="CA283" s="112" t="str">
        <f t="shared" si="1627"/>
        <v>x</v>
      </c>
      <c r="CB283" s="112" t="str">
        <f t="shared" si="1628"/>
        <v>x</v>
      </c>
      <c r="CC283" s="112"/>
      <c r="CD283" s="112"/>
      <c r="CE283" s="111"/>
      <c r="CF283" s="111"/>
      <c r="CG283" s="111"/>
      <c r="CH283" s="111"/>
      <c r="CI283" s="111"/>
      <c r="CJ283" s="112" t="str">
        <f t="shared" si="1629"/>
        <v>x</v>
      </c>
      <c r="CK283" s="112"/>
      <c r="CL283" s="112"/>
      <c r="CM283" s="112"/>
      <c r="CN283" s="112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2"/>
      <c r="CZ283" s="112"/>
      <c r="DA283" s="112"/>
      <c r="DB283" s="115"/>
      <c r="DC283" s="112"/>
      <c r="DD283" s="112"/>
      <c r="DE283" s="112" t="str">
        <f t="shared" si="1630"/>
        <v>x</v>
      </c>
      <c r="DF283" s="115" t="str">
        <f t="shared" si="1631"/>
        <v>x</v>
      </c>
      <c r="DG283" s="112" t="str">
        <f t="shared" si="1632"/>
        <v>x</v>
      </c>
      <c r="DH283" s="112" t="str">
        <f t="shared" si="1633"/>
        <v>x</v>
      </c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8"/>
      <c r="EP283" s="118"/>
      <c r="EQ283" s="111"/>
      <c r="ER283" s="111"/>
      <c r="ES283" s="111"/>
      <c r="ET283" s="111"/>
      <c r="EU283" s="111"/>
      <c r="EV283" s="112" t="str">
        <f t="shared" si="1612"/>
        <v>x</v>
      </c>
      <c r="EW283" s="111"/>
      <c r="EX283" s="111"/>
      <c r="EY283" s="111"/>
      <c r="EZ283" s="111"/>
      <c r="FA283" s="111"/>
      <c r="FB283" s="111"/>
      <c r="FC283" s="112" t="str">
        <f t="shared" si="1634"/>
        <v>x</v>
      </c>
      <c r="FD283" s="111"/>
      <c r="FE283" s="111"/>
      <c r="FF283" s="111"/>
      <c r="FG283" s="111"/>
      <c r="FH283" s="111"/>
      <c r="FI283" s="111"/>
      <c r="FJ283" s="111"/>
      <c r="FK283" s="111"/>
      <c r="FL283" s="111"/>
      <c r="FM283" s="111"/>
      <c r="FN283" s="111"/>
      <c r="FO283" s="111"/>
      <c r="FP283" s="111"/>
      <c r="FQ283" s="111"/>
      <c r="FR283" s="111"/>
      <c r="FS283" s="111"/>
      <c r="FT283" s="111"/>
      <c r="FU283" s="111"/>
      <c r="FV283" s="111"/>
      <c r="FW283" s="111"/>
      <c r="FX283" s="111"/>
      <c r="FY283" s="111"/>
      <c r="FZ283" s="111"/>
      <c r="GA283" s="111"/>
      <c r="GB283" s="111"/>
      <c r="GC283" s="111"/>
      <c r="GD283" s="111"/>
      <c r="GE283" s="111"/>
      <c r="GF283" s="111"/>
      <c r="GG283" s="111"/>
      <c r="GH283" s="111"/>
      <c r="GI283" s="111"/>
      <c r="GJ283" s="111"/>
      <c r="GK283" s="111"/>
      <c r="GL283" s="111"/>
      <c r="GM283" s="111"/>
      <c r="GN283" s="111"/>
      <c r="GO283" s="111"/>
      <c r="GP283" s="111"/>
      <c r="GQ283" s="111"/>
      <c r="GR283" s="111"/>
      <c r="GS283" s="111"/>
      <c r="GT283" s="111"/>
      <c r="GU283" s="111"/>
      <c r="GV283" s="111"/>
      <c r="GW283" s="111"/>
      <c r="GX283" s="111"/>
      <c r="GY283" s="111"/>
      <c r="GZ283" s="111"/>
      <c r="HA283" s="111"/>
      <c r="HB283" s="112" t="str">
        <f t="shared" si="1635"/>
        <v>x</v>
      </c>
      <c r="HC283" s="112" t="str">
        <f t="shared" si="1614"/>
        <v>x</v>
      </c>
      <c r="HD283" s="112" t="str">
        <f t="shared" si="1615"/>
        <v>x</v>
      </c>
      <c r="HE283" s="112" t="str">
        <f t="shared" si="1616"/>
        <v>x</v>
      </c>
      <c r="HF283" s="112" t="str">
        <f t="shared" si="1617"/>
        <v>x</v>
      </c>
      <c r="HG283" s="112"/>
      <c r="HH283" s="112"/>
      <c r="HI283" s="112"/>
      <c r="HJ283" s="111"/>
      <c r="HK283" s="111"/>
      <c r="HL283" s="111"/>
      <c r="HM283" s="111"/>
      <c r="HN283" s="111"/>
      <c r="HO283" s="111"/>
      <c r="HP283" s="111"/>
      <c r="HQ283" s="111"/>
      <c r="HR283" s="111"/>
      <c r="HS283" s="111"/>
      <c r="HT283" s="111"/>
      <c r="HU283" s="111"/>
      <c r="HV283" s="111"/>
      <c r="HW283" s="111"/>
      <c r="HX283" s="112" t="str">
        <f t="shared" si="1636"/>
        <v>x</v>
      </c>
      <c r="HY283" s="112" t="str">
        <f t="shared" si="1637"/>
        <v>x</v>
      </c>
      <c r="HZ283" s="111"/>
      <c r="IA283" s="111"/>
      <c r="IB283" s="111"/>
      <c r="IC283" s="111"/>
      <c r="ID283" s="111"/>
      <c r="IE283" s="111"/>
      <c r="IF283" s="111"/>
      <c r="IG283" s="111"/>
      <c r="IH283" s="111"/>
      <c r="II283" s="111"/>
      <c r="IJ283" s="111"/>
      <c r="IK283" s="111"/>
      <c r="IL283" s="111"/>
      <c r="IM283" s="111"/>
      <c r="IN283" s="111"/>
      <c r="IO283" s="111"/>
      <c r="IP283" s="111"/>
      <c r="IQ283" s="111"/>
      <c r="IR283" s="111"/>
      <c r="IS283" s="111"/>
      <c r="IT283" s="111"/>
      <c r="IU283" s="111"/>
      <c r="IV283" s="111"/>
      <c r="IW283" s="111"/>
      <c r="IX283" s="111"/>
      <c r="IY283" s="111"/>
      <c r="IZ283" s="111"/>
      <c r="JA283" s="111"/>
      <c r="JB283" s="111"/>
      <c r="JC283" s="111"/>
      <c r="JD283" s="111"/>
      <c r="JE283" s="111"/>
      <c r="JF283" s="111"/>
      <c r="JG283" s="111"/>
      <c r="JH283" s="111"/>
      <c r="JI283" s="111"/>
      <c r="JJ283" s="111"/>
      <c r="JK283" s="111"/>
      <c r="JL283" s="111"/>
      <c r="JM283" s="111"/>
      <c r="JN283" s="111"/>
      <c r="JO283" s="111"/>
      <c r="JP283" s="111"/>
      <c r="JQ283" s="111"/>
      <c r="JR283" s="111"/>
      <c r="JS283" s="111"/>
      <c r="JT283" s="111"/>
      <c r="JU283" s="111"/>
      <c r="JV283" s="111"/>
      <c r="JW283" s="111"/>
      <c r="JX283" s="111"/>
      <c r="JY283" s="111"/>
      <c r="JZ283" s="111"/>
      <c r="KA283" s="111"/>
      <c r="KB283" s="111"/>
      <c r="KC283" s="111"/>
      <c r="KD283" s="111"/>
      <c r="KE283" s="111"/>
      <c r="KF283" s="111"/>
      <c r="KG283" s="111"/>
      <c r="KH283" s="111"/>
      <c r="KI283" s="111"/>
      <c r="KJ283" s="111"/>
      <c r="KK283" s="111"/>
      <c r="KL283" s="111"/>
      <c r="KM283" s="111"/>
      <c r="KN283" s="111"/>
      <c r="KO283" s="111"/>
      <c r="KP283" s="111"/>
      <c r="KQ283" s="111"/>
      <c r="KR283" s="111"/>
      <c r="KS283" s="111"/>
      <c r="KT283" s="111"/>
      <c r="KU283" s="111"/>
      <c r="KV283" s="111"/>
      <c r="KW283" s="111"/>
      <c r="KX283" s="111"/>
      <c r="KY283" s="111"/>
      <c r="KZ283" s="111"/>
      <c r="LA283" s="111"/>
      <c r="LB283" s="111"/>
      <c r="LC283" s="111"/>
      <c r="LD283" s="111"/>
      <c r="LE283" s="111"/>
      <c r="LF283" s="111"/>
      <c r="LG283" s="111"/>
      <c r="LH283" s="111"/>
      <c r="LI283" s="111"/>
      <c r="LJ283" s="111"/>
      <c r="LK283" s="111"/>
      <c r="LL283" s="111"/>
      <c r="LM283" s="111"/>
      <c r="LN283" s="111"/>
      <c r="LO283" s="111"/>
      <c r="LP283" s="111"/>
      <c r="LQ283" s="111"/>
      <c r="LR283" s="111"/>
      <c r="LS283" s="111"/>
      <c r="LT283" s="111"/>
      <c r="LU283" s="111"/>
      <c r="LV283" s="111"/>
      <c r="LW283" s="111"/>
      <c r="LX283" s="111"/>
      <c r="LY283" s="111"/>
      <c r="LZ283" s="111"/>
      <c r="MA283" s="111"/>
      <c r="MB283" s="111"/>
      <c r="MC283" s="111"/>
      <c r="MD283" s="111"/>
      <c r="ME283" s="111"/>
      <c r="MF283" s="111"/>
      <c r="MG283" s="111"/>
      <c r="MH283" s="111"/>
    </row>
    <row r="284" spans="1:346" x14ac:dyDescent="0.25">
      <c r="A284" s="110" t="s">
        <v>154</v>
      </c>
      <c r="B284" s="101" t="s">
        <v>157</v>
      </c>
      <c r="C284" s="102"/>
      <c r="D284" s="102"/>
      <c r="E284" s="102"/>
      <c r="F284" s="102"/>
      <c r="G284" s="102"/>
      <c r="H284" s="102"/>
      <c r="I284" s="102"/>
      <c r="J284" s="103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3"/>
      <c r="AV284" s="114" t="str">
        <f t="shared" si="1620"/>
        <v>x</v>
      </c>
      <c r="AW284" s="114" t="str">
        <f t="shared" si="1621"/>
        <v>x</v>
      </c>
      <c r="AX284" s="111"/>
      <c r="AY284" s="111"/>
      <c r="AZ284" s="112" t="str">
        <f t="shared" si="1622"/>
        <v>x</v>
      </c>
      <c r="BA284" s="112" t="str">
        <f t="shared" si="1623"/>
        <v>x</v>
      </c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2" t="str">
        <f t="shared" si="1624"/>
        <v>x</v>
      </c>
      <c r="BS284" s="112"/>
      <c r="BT284" s="111"/>
      <c r="BU284" s="112" t="str">
        <f t="shared" si="1625"/>
        <v>x</v>
      </c>
      <c r="BV284" s="112"/>
      <c r="BW284" s="112"/>
      <c r="BX284" s="112"/>
      <c r="BY284" s="112"/>
      <c r="BZ284" s="112" t="str">
        <f t="shared" si="1626"/>
        <v>x</v>
      </c>
      <c r="CA284" s="112" t="str">
        <f t="shared" si="1627"/>
        <v>x</v>
      </c>
      <c r="CB284" s="112" t="str">
        <f t="shared" si="1628"/>
        <v>x</v>
      </c>
      <c r="CC284" s="112"/>
      <c r="CD284" s="112"/>
      <c r="CE284" s="111"/>
      <c r="CF284" s="111"/>
      <c r="CG284" s="111"/>
      <c r="CH284" s="111"/>
      <c r="CI284" s="111"/>
      <c r="CJ284" s="112" t="str">
        <f t="shared" si="1629"/>
        <v>x</v>
      </c>
      <c r="CK284" s="112"/>
      <c r="CL284" s="112"/>
      <c r="CM284" s="112"/>
      <c r="CN284" s="112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2"/>
      <c r="CZ284" s="112"/>
      <c r="DA284" s="112"/>
      <c r="DB284" s="115"/>
      <c r="DC284" s="112"/>
      <c r="DD284" s="112"/>
      <c r="DE284" s="112" t="str">
        <f t="shared" si="1630"/>
        <v>x</v>
      </c>
      <c r="DF284" s="115" t="str">
        <f t="shared" si="1631"/>
        <v>x</v>
      </c>
      <c r="DG284" s="112" t="str">
        <f t="shared" si="1632"/>
        <v>x</v>
      </c>
      <c r="DH284" s="112" t="str">
        <f t="shared" si="1633"/>
        <v>x</v>
      </c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8"/>
      <c r="EP284" s="118"/>
      <c r="EQ284" s="111"/>
      <c r="ER284" s="111"/>
      <c r="ES284" s="111"/>
      <c r="ET284" s="111"/>
      <c r="EU284" s="111"/>
      <c r="EV284" s="112" t="str">
        <f t="shared" si="1612"/>
        <v>x</v>
      </c>
      <c r="EW284" s="111"/>
      <c r="EX284" s="111"/>
      <c r="EY284" s="111"/>
      <c r="EZ284" s="111"/>
      <c r="FA284" s="111"/>
      <c r="FB284" s="111"/>
      <c r="FC284" s="112" t="str">
        <f t="shared" si="1634"/>
        <v>x</v>
      </c>
      <c r="FD284" s="111"/>
      <c r="FE284" s="111"/>
      <c r="FF284" s="111"/>
      <c r="FG284" s="111"/>
      <c r="FH284" s="111"/>
      <c r="FI284" s="111"/>
      <c r="FJ284" s="111"/>
      <c r="FK284" s="111"/>
      <c r="FL284" s="111"/>
      <c r="FM284" s="111"/>
      <c r="FN284" s="111"/>
      <c r="FO284" s="111"/>
      <c r="FP284" s="111"/>
      <c r="FQ284" s="111"/>
      <c r="FR284" s="111"/>
      <c r="FS284" s="111"/>
      <c r="FT284" s="111"/>
      <c r="FU284" s="111"/>
      <c r="FV284" s="111"/>
      <c r="FW284" s="111"/>
      <c r="FX284" s="111"/>
      <c r="FY284" s="111"/>
      <c r="FZ284" s="111"/>
      <c r="GA284" s="111"/>
      <c r="GB284" s="111"/>
      <c r="GC284" s="111"/>
      <c r="GD284" s="111"/>
      <c r="GE284" s="111"/>
      <c r="GF284" s="111"/>
      <c r="GG284" s="111"/>
      <c r="GH284" s="111"/>
      <c r="GI284" s="111"/>
      <c r="GJ284" s="111"/>
      <c r="GK284" s="111"/>
      <c r="GL284" s="111"/>
      <c r="GM284" s="111"/>
      <c r="GN284" s="111"/>
      <c r="GO284" s="111"/>
      <c r="GP284" s="111"/>
      <c r="GQ284" s="111"/>
      <c r="GR284" s="111"/>
      <c r="GS284" s="111"/>
      <c r="GT284" s="111"/>
      <c r="GU284" s="111"/>
      <c r="GV284" s="111"/>
      <c r="GW284" s="111"/>
      <c r="GX284" s="111"/>
      <c r="GY284" s="111"/>
      <c r="GZ284" s="111"/>
      <c r="HA284" s="111"/>
      <c r="HB284" s="112" t="str">
        <f t="shared" si="1635"/>
        <v>x</v>
      </c>
      <c r="HC284" s="112" t="str">
        <f t="shared" si="1614"/>
        <v>x</v>
      </c>
      <c r="HD284" s="112" t="str">
        <f t="shared" si="1615"/>
        <v>x</v>
      </c>
      <c r="HE284" s="112" t="str">
        <f t="shared" si="1616"/>
        <v>x</v>
      </c>
      <c r="HF284" s="112" t="str">
        <f t="shared" si="1617"/>
        <v>x</v>
      </c>
      <c r="HG284" s="112"/>
      <c r="HH284" s="112"/>
      <c r="HI284" s="112"/>
      <c r="HJ284" s="111"/>
      <c r="HK284" s="111"/>
      <c r="HL284" s="111"/>
      <c r="HM284" s="111"/>
      <c r="HN284" s="111"/>
      <c r="HO284" s="111"/>
      <c r="HP284" s="111"/>
      <c r="HQ284" s="111"/>
      <c r="HR284" s="111"/>
      <c r="HS284" s="111"/>
      <c r="HT284" s="111"/>
      <c r="HU284" s="111"/>
      <c r="HV284" s="111"/>
      <c r="HW284" s="111"/>
      <c r="HX284" s="112" t="str">
        <f t="shared" si="1636"/>
        <v>x</v>
      </c>
      <c r="HY284" s="112" t="str">
        <f t="shared" si="1637"/>
        <v>x</v>
      </c>
      <c r="HZ284" s="111"/>
      <c r="IA284" s="111"/>
      <c r="IB284" s="111"/>
      <c r="IC284" s="111"/>
      <c r="ID284" s="111"/>
      <c r="IE284" s="111"/>
      <c r="IF284" s="111"/>
      <c r="IG284" s="111"/>
      <c r="IH284" s="111"/>
      <c r="II284" s="111"/>
      <c r="IJ284" s="111"/>
      <c r="IK284" s="111"/>
      <c r="IL284" s="111"/>
      <c r="IM284" s="111"/>
      <c r="IN284" s="111"/>
      <c r="IO284" s="111"/>
      <c r="IP284" s="111"/>
      <c r="IQ284" s="111"/>
      <c r="IR284" s="111"/>
      <c r="IS284" s="111"/>
      <c r="IT284" s="111"/>
      <c r="IU284" s="111"/>
      <c r="IV284" s="111"/>
      <c r="IW284" s="111"/>
      <c r="IX284" s="111"/>
      <c r="IY284" s="111"/>
      <c r="IZ284" s="111"/>
      <c r="JA284" s="111"/>
      <c r="JB284" s="111"/>
      <c r="JC284" s="111"/>
      <c r="JD284" s="111"/>
      <c r="JE284" s="111"/>
      <c r="JF284" s="111"/>
      <c r="JG284" s="111"/>
      <c r="JH284" s="111"/>
      <c r="JI284" s="111"/>
      <c r="JJ284" s="111"/>
      <c r="JK284" s="111"/>
      <c r="JL284" s="111"/>
      <c r="JM284" s="111"/>
      <c r="JN284" s="111"/>
      <c r="JO284" s="111"/>
      <c r="JP284" s="111"/>
      <c r="JQ284" s="111"/>
      <c r="JR284" s="111"/>
      <c r="JS284" s="111"/>
      <c r="JT284" s="111"/>
      <c r="JU284" s="111"/>
      <c r="JV284" s="111"/>
      <c r="JW284" s="111"/>
      <c r="JX284" s="111"/>
      <c r="JY284" s="111"/>
      <c r="JZ284" s="111"/>
      <c r="KA284" s="111"/>
      <c r="KB284" s="111"/>
      <c r="KC284" s="111"/>
      <c r="KD284" s="111"/>
      <c r="KE284" s="111"/>
      <c r="KF284" s="111"/>
      <c r="KG284" s="111"/>
      <c r="KH284" s="111"/>
      <c r="KI284" s="111"/>
      <c r="KJ284" s="111"/>
      <c r="KK284" s="111"/>
      <c r="KL284" s="111"/>
      <c r="KM284" s="111"/>
      <c r="KN284" s="111"/>
      <c r="KO284" s="111"/>
      <c r="KP284" s="111"/>
      <c r="KQ284" s="111"/>
      <c r="KR284" s="111"/>
      <c r="KS284" s="111"/>
      <c r="KT284" s="111"/>
      <c r="KU284" s="111"/>
      <c r="KV284" s="111"/>
      <c r="KW284" s="111"/>
      <c r="KX284" s="111"/>
      <c r="KY284" s="111"/>
      <c r="KZ284" s="111"/>
      <c r="LA284" s="111"/>
      <c r="LB284" s="111"/>
      <c r="LC284" s="111"/>
      <c r="LD284" s="111"/>
      <c r="LE284" s="111"/>
      <c r="LF284" s="111"/>
      <c r="LG284" s="111"/>
      <c r="LH284" s="111"/>
      <c r="LI284" s="111"/>
      <c r="LJ284" s="111"/>
      <c r="LK284" s="111"/>
      <c r="LL284" s="111"/>
      <c r="LM284" s="111"/>
      <c r="LN284" s="111"/>
      <c r="LO284" s="111"/>
      <c r="LP284" s="111"/>
      <c r="LQ284" s="111"/>
      <c r="LR284" s="111"/>
      <c r="LS284" s="111"/>
      <c r="LT284" s="111"/>
      <c r="LU284" s="111"/>
      <c r="LV284" s="111"/>
      <c r="LW284" s="111"/>
      <c r="LX284" s="111"/>
      <c r="LY284" s="111"/>
      <c r="LZ284" s="111"/>
      <c r="MA284" s="111"/>
      <c r="MB284" s="111"/>
      <c r="MC284" s="111"/>
      <c r="MD284" s="111"/>
      <c r="ME284" s="111"/>
      <c r="MF284" s="111"/>
      <c r="MG284" s="111"/>
      <c r="MH284" s="111"/>
    </row>
    <row r="285" spans="1:346" x14ac:dyDescent="0.25">
      <c r="A285" s="101" t="s">
        <v>41</v>
      </c>
      <c r="B285" s="102"/>
      <c r="C285" s="102"/>
      <c r="D285" s="102"/>
      <c r="E285" s="102"/>
      <c r="F285" s="102"/>
      <c r="G285" s="102"/>
      <c r="H285" s="102"/>
      <c r="I285" s="102"/>
      <c r="J285" s="103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6"/>
      <c r="AV285" s="106"/>
      <c r="AW285" s="106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9"/>
      <c r="EP285" s="109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5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</row>
    <row r="286" spans="1:346" x14ac:dyDescent="0.25">
      <c r="A286" s="110" t="s">
        <v>41</v>
      </c>
      <c r="B286" s="101" t="s">
        <v>91</v>
      </c>
      <c r="C286" s="102"/>
      <c r="D286" s="102"/>
      <c r="E286" s="102"/>
      <c r="F286" s="102"/>
      <c r="G286" s="102"/>
      <c r="H286" s="102"/>
      <c r="I286" s="102"/>
      <c r="J286" s="103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2"/>
      <c r="AO286" s="112"/>
      <c r="AP286" s="112"/>
      <c r="AQ286" s="112"/>
      <c r="AR286" s="112"/>
      <c r="AS286" s="112"/>
      <c r="AT286" s="112"/>
      <c r="AU286" s="113"/>
      <c r="AV286" s="114" t="str">
        <f>HYPERLINK("http://sab.landtag.sachsen.de/dokumente/landtagskurier/SAB_DeutschLernen_DinA5_WEB141115.pdf","x")</f>
        <v>x</v>
      </c>
      <c r="AW286" s="114" t="str">
        <f>HYPERLINK("http://sab.landtag.sachsen.de/dokumente/landtagskurier/SAB_PL_Lernposter_WEB091115.pdf","x")</f>
        <v>x</v>
      </c>
      <c r="AX286" s="111"/>
      <c r="AY286" s="111"/>
      <c r="AZ28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6" s="112" t="str">
        <f>HYPERLINK("http://wie-kann-ich-helfen.info/WoerterbuchAnalphabet_innen_%28c%29_Dagmar_Schmeelcke.pdf","x")</f>
        <v>x</v>
      </c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2" t="str">
        <f>HYPERLINK("http://www.goethe.de/lrn/prj/wnd/deu/lti/deindex.htm#13322010","x")</f>
        <v>x</v>
      </c>
      <c r="BS286" s="112"/>
      <c r="BT286" s="111"/>
      <c r="BU286" s="112" t="str">
        <f>HYPERLINK("https://s3-eu-west-1.amazonaws.com/lingolia/download/lingolia_daf.pdf","x")</f>
        <v>x</v>
      </c>
      <c r="BV286" s="112"/>
      <c r="BW286" s="112"/>
      <c r="BX286" s="112"/>
      <c r="BY286" s="112"/>
      <c r="BZ286" s="112" t="str">
        <f>HYPERLINK("http://www.hueber.de/shared/uebungen/schritte-plus","x")</f>
        <v>x</v>
      </c>
      <c r="CA286" s="112" t="str">
        <f>HYPERLINK("https://www.hueber.de/shared/uebungen/menschen-hier/ab/a1-1/menu.html","x")</f>
        <v>x</v>
      </c>
      <c r="CB286" s="112" t="str">
        <f>HYPERLINK("http://www.goethe-verlag.com/DE/","x")</f>
        <v>x</v>
      </c>
      <c r="CC286" s="112"/>
      <c r="CD286" s="112"/>
      <c r="CE286" s="111"/>
      <c r="CF286" s="111"/>
      <c r="CG286" s="111"/>
      <c r="CH286" s="111"/>
      <c r="CI286" s="112" t="str">
        <f>HYPERLINK("https://www.hilfetelefon.de/fileadmin/hilfetelefon_de/Materialien/weitere_werbemittel/Klappflyer_Vorder-_und_Rueckseite_opt2.pdf","x")</f>
        <v>x</v>
      </c>
      <c r="CJ286" s="112" t="str">
        <f>HYPERLINK("http://www.e-migrantinnen.de/index.php?de_wichtige-links","x")</f>
        <v>x</v>
      </c>
      <c r="CK286" s="112"/>
      <c r="CL286" s="112"/>
      <c r="CM286" s="112"/>
      <c r="CN286" s="112"/>
      <c r="CO286" s="112"/>
      <c r="CP286" s="112"/>
      <c r="CQ286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5"/>
      <c r="DC286" s="112"/>
      <c r="DD286" s="112"/>
      <c r="DE286" s="112" t="str">
        <f>HYPERLINK("http://fi-lohmar-siegburg.de/data/documents/130-37_Inklusion_im_Anfangsunterricht_-_Poster_mit_Situationsbildern.pdf","x")</f>
        <v>x</v>
      </c>
      <c r="DF286" s="115" t="str">
        <f>HYPERLINK("http://s3-eu-west-1.amazonaws.com/lingolia/calendar/2016/lingolia_2016_de.pdf","x")</f>
        <v>x</v>
      </c>
      <c r="DG286" s="112" t="str">
        <f>HYPERLINK("http://www.bibliomedia.ch/de/angebote/img/Wimmelbild.jpg","x")</f>
        <v>x</v>
      </c>
      <c r="DH286" s="112" t="str">
        <f t="shared" ref="DH286:DH287" si="1638">HYPERLINK("http://www.bibliomedia.ch/de/angebote/dokumente/Wimmelbild_Fehler.jpg","x")</f>
        <v>x</v>
      </c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2"/>
      <c r="DU286" s="111"/>
      <c r="DV286" s="111"/>
      <c r="DW286" s="111"/>
      <c r="DX286" s="111"/>
      <c r="DY286" s="111"/>
      <c r="DZ286" s="111"/>
      <c r="EA286" s="112"/>
      <c r="EB286" s="112" t="str">
        <f>HYPERLINK("http://www.bamf.de/SharedDocs/Anlagen/DE/Publikationen/Flyer/Berufsbezsprachf-ESF-BAMF/berufsbezsprachf-esf-bamf_vi.pdf?__blob=publicationFile","x")</f>
        <v>x</v>
      </c>
      <c r="EC286" s="111"/>
      <c r="ED286" s="111"/>
      <c r="EE286" s="111"/>
      <c r="EF286" s="111"/>
      <c r="EG286" s="111"/>
      <c r="EH286" s="111"/>
      <c r="EI286" s="112"/>
      <c r="EJ286" s="112"/>
      <c r="EK286" s="111"/>
      <c r="EL286" s="112" t="str">
        <f>HYPERLINK("http://www.kvs-sachsen.de/fileadmin/img/Mitglieder/Asylbewerber/Allg-Informationen/Anlage_1_Vietnamesisch_LEK.pdf","x")</f>
        <v>x</v>
      </c>
      <c r="EM286" s="112" t="str">
        <f>HYPERLINK("http://www.medizin-hilft-fluechtlingen.de/images/Dokumente/gSch/gSch_vie.pdf","x")</f>
        <v>x</v>
      </c>
      <c r="EN286" s="111"/>
      <c r="EO286" s="117" t="str">
        <f>HYPERLINK("http://www.medi-bild.de/pdf/anamnese/Welche_Sprache.pdf","x")</f>
        <v>x</v>
      </c>
      <c r="EP286" s="118"/>
      <c r="EQ286" s="112" t="str">
        <f>HYPERLINK("http://www.kvs-sachsen.de/fileadmin/img/Mitglieder/Asylbewerber/Allg-Informationen/Anlagen_2-1_2-2_Vietnamesisch_LEK.pdf","x")</f>
        <v>x</v>
      </c>
      <c r="ER286" s="111"/>
      <c r="ES286" s="111"/>
      <c r="ET286" s="111"/>
      <c r="EU286" s="111"/>
      <c r="EV286" s="112" t="str">
        <f t="shared" ref="EV286:EV287" si="1639">HYPERLINK("http://www.lak-rlp.de/fileadmin/redakteure/pdf/download/Piktogramme_Dosieretiketten_AoG.pdf","x")</f>
        <v>x</v>
      </c>
      <c r="EW286" s="111"/>
      <c r="EX286" s="111"/>
      <c r="EY286" s="111"/>
      <c r="EZ286" s="111"/>
      <c r="FA286" s="111"/>
      <c r="FB286" s="111"/>
      <c r="FC286" s="112" t="str">
        <f>HYPERLINK("http://mige.ix-tech.de/index.php?id=241","x")</f>
        <v>x</v>
      </c>
      <c r="FD286" s="112" t="str">
        <f>HYPERLINK("http://sghanstedt.elbnetz.com/ueber-uns/","x")</f>
        <v>x</v>
      </c>
      <c r="FE286" s="111"/>
      <c r="FF286" s="111"/>
      <c r="FG286" s="111"/>
      <c r="FH286" s="111"/>
      <c r="FI286" s="112"/>
      <c r="FJ286" s="112" t="str">
        <f>HYPERLINK("http://www.rki.de/DE/Content/Infekt/Impfen/Materialien/Downloads-Impfkalender/Impfkalender_Vietnamesisch.pdf?__blob=publicationFile","x")</f>
        <v>x</v>
      </c>
      <c r="FK286" s="111"/>
      <c r="FL286" s="111"/>
      <c r="FM286" s="112" t="str">
        <f>HYPERLINK("http://www.rki.de/DE/Content/Infekt/Impfen/Materialien/Glossar-Downloads/glossar-de-vietnamesich.pdf?__blob=publicationFile","x")</f>
        <v>x</v>
      </c>
      <c r="FN286" s="112"/>
      <c r="FO286" s="112" t="str">
        <f>HYPERLINK("http://www.rki.de/DE/Content/Infekt/Impfen/Materialien/Downloads-MMR/MMR-Impfinfo-vietnamesisch.pdf?__blob=publicationFile","x")</f>
        <v>x</v>
      </c>
      <c r="FP286" s="111"/>
      <c r="FQ286" s="112" t="str">
        <f>HYPERLINK("http://www.rki.de/DE/Content/Infekt/Impfen/Materialien/Downloads_HepA/Aufklaerung_HAV-Impfung_Vietnamesisch.pdf?__blob=publicationFile","x")</f>
        <v>x</v>
      </c>
      <c r="FR286" s="112" t="str">
        <f>HYPERLINK("http://www.rki.de/DE/Content/Infekt/Impfen/Materialien/Downloads_Pneumokokken/Aufklaerung_Pneumo-Impfung_Vietnamesisch.pdf?__blob=publicationFile","x")</f>
        <v>x</v>
      </c>
      <c r="FS286" s="112" t="str">
        <f>HYPERLINK("http://www.rki.de/DE/Content/Infekt/Impfen/Materialien/Downloads-DTaPIPVHibHepB/DTaPIPVHibHepB-vietnamesisch.pdf?__blob=publicationFile","x")</f>
        <v>x</v>
      </c>
      <c r="FT286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U286" s="112" t="str">
        <f>HYPERLINK("http://www.rki.de/DE/Content/Infekt/Impfen/Materialien/Downloads-Tdap-IPV/Tdap-IPV-vietnamesisch.pdf?__blob=publicationFile","x")</f>
        <v>x</v>
      </c>
      <c r="FV286" s="112" t="str">
        <f>HYPERLINK("http://www.rki.de/DE/Content/Infekt/Impfen/Materialien/Downloads-Influenza_nasal/Influenza_nasal-vietnamesisch.pdf?__blob=publicationFile","x")</f>
        <v>x</v>
      </c>
      <c r="FW286" s="111"/>
      <c r="FX286" s="111"/>
      <c r="FY286" s="111"/>
      <c r="FZ286" s="111"/>
      <c r="GA286" s="111"/>
      <c r="GB286" s="111"/>
      <c r="GC286" s="111"/>
      <c r="GD286" s="111"/>
      <c r="GE286" s="111"/>
      <c r="GF286" s="111"/>
      <c r="GG286" s="112"/>
      <c r="GH286" s="111"/>
      <c r="GI286" s="111"/>
      <c r="GJ286" s="111"/>
      <c r="GK286" s="111"/>
      <c r="GL286" s="112" t="str">
        <f>HYPERLINK("http://www.rki.de/DE/Content/Infekt/Impfen/Materialien/Downloads-Influenza/Influenza-vietnamesisch.pdf?__blob=publicationFile","x")</f>
        <v>x</v>
      </c>
      <c r="GM286" s="111"/>
      <c r="GN286" s="111"/>
      <c r="GO286" s="111"/>
      <c r="GP286" s="111"/>
      <c r="GQ286" s="111"/>
      <c r="GR286" s="111"/>
      <c r="GS286" s="111"/>
      <c r="GT286" s="111"/>
      <c r="GU286" s="111"/>
      <c r="GV286" s="111"/>
      <c r="GW286" s="111"/>
      <c r="GX286" s="111"/>
      <c r="GY286" s="111"/>
      <c r="GZ286" s="111"/>
      <c r="HA286" s="111"/>
      <c r="HB286" s="112" t="str">
        <f t="shared" si="1251"/>
        <v>x</v>
      </c>
      <c r="HC286" s="111"/>
      <c r="HD286" s="111"/>
      <c r="HE286" s="111"/>
      <c r="HF286" s="111"/>
      <c r="HG286" s="111"/>
      <c r="HH286" s="111"/>
      <c r="HI286" s="111"/>
      <c r="HJ286" s="112"/>
      <c r="HK286" s="111"/>
      <c r="HL286" s="111"/>
      <c r="HM286" s="111"/>
      <c r="HN286" s="111"/>
      <c r="HO286" s="111"/>
      <c r="HP286" s="111"/>
      <c r="HQ286" s="111"/>
      <c r="HR286" s="111"/>
      <c r="HS286" s="111"/>
      <c r="HT286" s="111"/>
      <c r="HU286" s="111"/>
      <c r="HV286" s="111"/>
      <c r="HW286" s="111"/>
      <c r="HX286" s="112" t="str">
        <f>HYPERLINK("http://www.selfhelpfortrauma.org/","x")</f>
        <v>x</v>
      </c>
      <c r="HY286" s="112" t="str">
        <f>HYPERLINK("http://peacefulheart.se/wp-content/uploads/2014/12/Resolving-Yesterday-20141201-Self-Tapping.pdf","x")</f>
        <v>x</v>
      </c>
      <c r="HZ286" s="111"/>
      <c r="IA286" s="111"/>
      <c r="IB286" s="111"/>
      <c r="IC286" s="111"/>
      <c r="ID286" s="111"/>
      <c r="IE286" s="111"/>
      <c r="IF286" s="111"/>
      <c r="IG286" s="111"/>
      <c r="IH286" s="111"/>
      <c r="II286" s="111"/>
      <c r="IJ286" s="112" t="str">
        <f>HYPERLINK("http://www.bamf.de/SharedDocs/Anlagen/DE/Publikationen/Flyer/Lassen-Sie-Sich-Beraten/lassen-sie-sich-beraten_vi.pdf?__blob=publicationFile","x")</f>
        <v>x</v>
      </c>
      <c r="IK286" s="111"/>
      <c r="IL286" s="111"/>
      <c r="IM286" s="111"/>
      <c r="IN286" s="111"/>
      <c r="IO286" s="111"/>
      <c r="IP286" s="112" t="str">
        <f>HYPERLINK("http://www.bamf.de/SharedDocs/Anlagen/DE/Publikationen/Flyer/Lernen-Sie-Deutsch/lernen-sie-deutsch_vi.pdf?__blob=publicationFile","x")</f>
        <v>x</v>
      </c>
      <c r="IQ286" s="112"/>
      <c r="IR286" s="111"/>
      <c r="IS286" s="111"/>
      <c r="IT286" s="111"/>
      <c r="IU286" s="112"/>
      <c r="IV286" s="112"/>
      <c r="IW286" s="112"/>
      <c r="IX286" s="112" t="str">
        <f>HYPERLINK("http://www.bamf.de/SharedDocs/Anlagen/DE/Publikationen/Broschueren/broschuere-eat-a4-vi-vietnamesisch.pdf?__blob=publicationFile","x")</f>
        <v>x</v>
      </c>
      <c r="IY286" s="111"/>
      <c r="IZ286" s="111"/>
      <c r="JA286" s="111"/>
      <c r="JB286" s="112"/>
      <c r="JC286" s="111"/>
      <c r="JD286" s="112"/>
      <c r="JE286" s="112"/>
      <c r="JF286" s="112"/>
      <c r="JG286" s="112"/>
      <c r="JH286" s="111"/>
      <c r="JI286" s="112"/>
      <c r="JJ286" s="112"/>
      <c r="JK286" s="112"/>
      <c r="JL286" s="112"/>
      <c r="JM286" s="112"/>
      <c r="JN286" s="112"/>
      <c r="JO286" s="112"/>
      <c r="JP286" s="112"/>
      <c r="JQ286" s="112" t="str">
        <f t="shared" ref="JQ286:JQ287" si="1640">HYPERLINK("http://www.ibla-germany.de/merkblaetter.php","x")</f>
        <v>x</v>
      </c>
      <c r="JR286" s="112"/>
      <c r="JS286" s="112" t="str">
        <f>HYPERLINK("http://www.b-umf.de/images/willkommen/willkommensbroschrevietnamesisch-web.pdf","x")</f>
        <v>x</v>
      </c>
      <c r="JT286" s="111"/>
      <c r="JU286" s="111"/>
      <c r="JV286" s="112"/>
      <c r="JW286" s="112"/>
      <c r="JX286" s="111"/>
      <c r="JY286" s="111"/>
      <c r="JZ286" s="111"/>
      <c r="KA286" s="111"/>
      <c r="KB286" s="111"/>
      <c r="KC286" s="111"/>
      <c r="KD286" s="111"/>
      <c r="KE286" s="112"/>
      <c r="KF286" s="111"/>
      <c r="KG286" s="111"/>
      <c r="KH286" s="111"/>
      <c r="KI286" s="111"/>
      <c r="KJ286" s="111"/>
      <c r="KK286" s="111"/>
      <c r="KL286" s="111"/>
      <c r="KM286" s="111"/>
      <c r="KN286" s="111"/>
      <c r="KO286" s="111"/>
      <c r="KP286" s="111"/>
      <c r="KQ286" s="111"/>
      <c r="KR286" s="111"/>
      <c r="KS286" s="111"/>
      <c r="KT286" s="111"/>
      <c r="KU286" s="111"/>
      <c r="KV286" s="111"/>
      <c r="KW286" s="111"/>
      <c r="KX286" s="111"/>
      <c r="KY286" s="111"/>
      <c r="KZ286" s="111"/>
      <c r="LA286" s="111"/>
      <c r="LB286" s="111"/>
      <c r="LC286" s="111"/>
      <c r="LD286" s="111"/>
      <c r="LE286" s="111"/>
      <c r="LF286" s="111"/>
      <c r="LG286" s="111"/>
      <c r="LH286" s="111"/>
      <c r="LI286" s="111"/>
      <c r="LJ286" s="111"/>
      <c r="LK286" s="111"/>
      <c r="LL286" s="111"/>
      <c r="LM286" s="111"/>
      <c r="LN286" s="111"/>
      <c r="LO286" s="111"/>
      <c r="LP286" s="111"/>
      <c r="LQ286" s="111"/>
      <c r="LR286" s="111"/>
      <c r="LS286" s="111"/>
      <c r="LT286" s="111"/>
      <c r="LU286" s="111"/>
      <c r="LV286" s="111"/>
      <c r="LW286" s="111"/>
      <c r="LX286" s="111"/>
      <c r="LY286" s="111"/>
      <c r="LZ286" s="111"/>
      <c r="MA286" s="111"/>
      <c r="MB286" s="111"/>
      <c r="MC286" s="111"/>
      <c r="MD286" s="111"/>
      <c r="ME286" s="111"/>
      <c r="MF286" s="111"/>
      <c r="MG286" s="111"/>
      <c r="MH286" s="111"/>
    </row>
    <row r="287" spans="1:346" x14ac:dyDescent="0.25">
      <c r="A287" s="110" t="s">
        <v>41</v>
      </c>
      <c r="B287" s="101" t="s">
        <v>403</v>
      </c>
      <c r="C287" s="102"/>
      <c r="D287" s="102"/>
      <c r="E287" s="102"/>
      <c r="F287" s="102"/>
      <c r="G287" s="102"/>
      <c r="H287" s="102"/>
      <c r="I287" s="102"/>
      <c r="J287" s="103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2"/>
      <c r="AO287" s="112"/>
      <c r="AP287" s="112"/>
      <c r="AQ287" s="112"/>
      <c r="AR287" s="112"/>
      <c r="AS287" s="112"/>
      <c r="AT287" s="112"/>
      <c r="AU287" s="113"/>
      <c r="AV287" s="114" t="str">
        <f>HYPERLINK("http://sab.landtag.sachsen.de/dokumente/landtagskurier/SAB_DeutschLernen_DinA5_WEB141115.pdf","x")</f>
        <v>x</v>
      </c>
      <c r="AW287" s="114" t="str">
        <f>HYPERLINK("http://sab.landtag.sachsen.de/dokumente/landtagskurier/SAB_PL_Lernposter_WEB091115.pdf","x")</f>
        <v>x</v>
      </c>
      <c r="AX287" s="111"/>
      <c r="AY287" s="111"/>
      <c r="AZ28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7" s="112" t="str">
        <f>HYPERLINK("http://wie-kann-ich-helfen.info/WoerterbuchAnalphabet_innen_%28c%29_Dagmar_Schmeelcke.pdf","x")</f>
        <v>x</v>
      </c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2" t="str">
        <f>HYPERLINK("http://www.goethe.de/lrn/prj/wnd/deu/lti/deindex.htm#13322010","x")</f>
        <v>x</v>
      </c>
      <c r="BS287" s="112"/>
      <c r="BT287" s="111"/>
      <c r="BU287" s="112" t="str">
        <f>HYPERLINK("https://s3-eu-west-1.amazonaws.com/lingolia/download/lingolia_daf.pdf","x")</f>
        <v>x</v>
      </c>
      <c r="BV287" s="112"/>
      <c r="BW287" s="112"/>
      <c r="BX287" s="112"/>
      <c r="BY287" s="112"/>
      <c r="BZ287" s="112" t="str">
        <f>HYPERLINK("http://www.hueber.de/shared/uebungen/schritte-plus","x")</f>
        <v>x</v>
      </c>
      <c r="CA287" s="112" t="str">
        <f>HYPERLINK("https://www.hueber.de/shared/uebungen/menschen-hier/ab/a1-1/menu.html","x")</f>
        <v>x</v>
      </c>
      <c r="CB287" s="112" t="str">
        <f>HYPERLINK("http://www.goethe-verlag.com/DE/","x")</f>
        <v>x</v>
      </c>
      <c r="CC287" s="112"/>
      <c r="CD287" s="112"/>
      <c r="CE287" s="111"/>
      <c r="CF287" s="111"/>
      <c r="CG287" s="111"/>
      <c r="CH287" s="111"/>
      <c r="CI287" s="112" t="str">
        <f>HYPERLINK("https://www.hilfetelefon.de/fileadmin/hilfetelefon_de/Materialien/weitere_werbemittel/Klappflyer_Vorder-_und_Rueckseite_opt2.pdf","x")</f>
        <v>x</v>
      </c>
      <c r="CJ287" s="112" t="str">
        <f>HYPERLINK("http://www.e-migrantinnen.de/index.php?de_wichtige-links","x")</f>
        <v>x</v>
      </c>
      <c r="CK287" s="112"/>
      <c r="CL287" s="112"/>
      <c r="CM287" s="112"/>
      <c r="CN287" s="112"/>
      <c r="CO287" s="112"/>
      <c r="CP287" s="112"/>
      <c r="CQ287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5"/>
      <c r="DC287" s="112"/>
      <c r="DD287" s="112"/>
      <c r="DE287" s="112" t="str">
        <f>HYPERLINK("http://fi-lohmar-siegburg.de/data/documents/130-37_Inklusion_im_Anfangsunterricht_-_Poster_mit_Situationsbildern.pdf","x")</f>
        <v>x</v>
      </c>
      <c r="DF287" s="115" t="str">
        <f>HYPERLINK("http://s3-eu-west-1.amazonaws.com/lingolia/calendar/2016/lingolia_2016_de.pdf","x")</f>
        <v>x</v>
      </c>
      <c r="DG287" s="112" t="str">
        <f>HYPERLINK("http://www.bibliomedia.ch/de/angebote/img/Wimmelbild.jpg","x")</f>
        <v>x</v>
      </c>
      <c r="DH287" s="112" t="str">
        <f t="shared" si="1638"/>
        <v>x</v>
      </c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2"/>
      <c r="DU287" s="111"/>
      <c r="DV287" s="111"/>
      <c r="DW287" s="111"/>
      <c r="DX287" s="111"/>
      <c r="DY287" s="111"/>
      <c r="DZ287" s="111"/>
      <c r="EA287" s="112"/>
      <c r="EB287" s="112" t="str">
        <f>HYPERLINK("http://www.bamf.de/SharedDocs/Anlagen/DE/Publikationen/Flyer/Berufsbezsprachf-ESF-BAMF/berufsbezsprachf-esf-bamf_vi.pdf?__blob=publicationFile","x")</f>
        <v>x</v>
      </c>
      <c r="EC287" s="111"/>
      <c r="ED287" s="111"/>
      <c r="EE287" s="111"/>
      <c r="EF287" s="111"/>
      <c r="EG287" s="111"/>
      <c r="EH287" s="111"/>
      <c r="EI287" s="112"/>
      <c r="EJ287" s="112"/>
      <c r="EK287" s="111"/>
      <c r="EL287" s="112" t="str">
        <f>HYPERLINK("http://www.kvs-sachsen.de/fileadmin/img/Mitglieder/Asylbewerber/Allg-Informationen/Anlage_1_Vietnamesisch_LEK.pdf","x")</f>
        <v>x</v>
      </c>
      <c r="EM287" s="112" t="str">
        <f>HYPERLINK("http://www.medizin-hilft-fluechtlingen.de/images/Dokumente/gSch/gSch_vie.pdf","x")</f>
        <v>x</v>
      </c>
      <c r="EN287" s="111"/>
      <c r="EO287" s="117" t="str">
        <f>HYPERLINK("http://www.medi-bild.de/pdf/anamnese/Welche_Sprache.pdf","x")</f>
        <v>x</v>
      </c>
      <c r="EP287" s="118"/>
      <c r="EQ287" s="112" t="str">
        <f>HYPERLINK("http://www.kvs-sachsen.de/fileadmin/img/Mitglieder/Asylbewerber/Allg-Informationen/Anlagen_2-1_2-2_Vietnamesisch_LEK.pdf","x")</f>
        <v>x</v>
      </c>
      <c r="ER287" s="111"/>
      <c r="ES287" s="111"/>
      <c r="ET287" s="111"/>
      <c r="EU287" s="111"/>
      <c r="EV287" s="112" t="str">
        <f t="shared" si="1639"/>
        <v>x</v>
      </c>
      <c r="EW287" s="111"/>
      <c r="EX287" s="111"/>
      <c r="EY287" s="111"/>
      <c r="EZ287" s="111"/>
      <c r="FA287" s="111"/>
      <c r="FB287" s="111"/>
      <c r="FC287" s="112" t="str">
        <f>HYPERLINK("http://mige.ix-tech.de/index.php?id=241","x")</f>
        <v>x</v>
      </c>
      <c r="FD287" s="112" t="str">
        <f>HYPERLINK("http://sghanstedt.elbnetz.com/ueber-uns/","x")</f>
        <v>x</v>
      </c>
      <c r="FE287" s="111"/>
      <c r="FF287" s="111"/>
      <c r="FG287" s="111"/>
      <c r="FH287" s="111"/>
      <c r="FI287" s="112"/>
      <c r="FJ287" s="112" t="str">
        <f>HYPERLINK("http://www.rki.de/DE/Content/Infekt/Impfen/Materialien/Downloads-Impfkalender/Impfkalender_Vietnamesisch.pdf?__blob=publicationFile","x")</f>
        <v>x</v>
      </c>
      <c r="FK287" s="111"/>
      <c r="FL287" s="111"/>
      <c r="FM287" s="112" t="str">
        <f>HYPERLINK("http://www.rki.de/DE/Content/Infekt/Impfen/Materialien/Glossar-Downloads/glossar-de-vietnamesich.pdf?__blob=publicationFile","x")</f>
        <v>x</v>
      </c>
      <c r="FN287" s="112"/>
      <c r="FO287" s="112" t="str">
        <f>HYPERLINK("http://www.rki.de/DE/Content/Infekt/Impfen/Materialien/Downloads-MMR/MMR-Impfinfo-vietnamesisch.pdf?__blob=publicationFile","x")</f>
        <v>x</v>
      </c>
      <c r="FP287" s="111"/>
      <c r="FQ287" s="112" t="str">
        <f>HYPERLINK("http://www.rki.de/DE/Content/Infekt/Impfen/Materialien/Downloads_HepA/Aufklaerung_HAV-Impfung_Vietnamesisch.pdf?__blob=publicationFile","x")</f>
        <v>x</v>
      </c>
      <c r="FR287" s="112" t="str">
        <f>HYPERLINK("http://www.rki.de/DE/Content/Infekt/Impfen/Materialien/Downloads_Pneumokokken/Aufklaerung_Pneumo-Impfung_Vietnamesisch.pdf?__blob=publicationFile","x")</f>
        <v>x</v>
      </c>
      <c r="FS287" s="112" t="str">
        <f>HYPERLINK("http://www.rki.de/DE/Content/Infekt/Impfen/Materialien/Downloads-DTaPIPVHibHepB/DTaPIPVHibHepB-vietnamesisch.pdf?__blob=publicationFile","x")</f>
        <v>x</v>
      </c>
      <c r="FT287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U287" s="112" t="str">
        <f>HYPERLINK("http://www.rki.de/DE/Content/Infekt/Impfen/Materialien/Downloads-Tdap-IPV/Tdap-IPV-vietnamesisch.pdf?__blob=publicationFile","x")</f>
        <v>x</v>
      </c>
      <c r="FV287" s="112" t="str">
        <f>HYPERLINK("http://www.rki.de/DE/Content/Infekt/Impfen/Materialien/Downloads-Influenza_nasal/Influenza_nasal-vietnamesisch.pdf?__blob=publicationFile","x")</f>
        <v>x</v>
      </c>
      <c r="FW287" s="111"/>
      <c r="FX287" s="111"/>
      <c r="FY287" s="111"/>
      <c r="FZ287" s="111"/>
      <c r="GA287" s="111"/>
      <c r="GB287" s="111"/>
      <c r="GC287" s="111"/>
      <c r="GD287" s="111"/>
      <c r="GE287" s="111"/>
      <c r="GF287" s="111"/>
      <c r="GG287" s="112"/>
      <c r="GH287" s="111"/>
      <c r="GI287" s="111"/>
      <c r="GJ287" s="111"/>
      <c r="GK287" s="111"/>
      <c r="GL287" s="112" t="str">
        <f>HYPERLINK("http://www.rki.de/DE/Content/Infekt/Impfen/Materialien/Downloads-Influenza/Influenza-vietnamesisch.pdf?__blob=publicationFile","x")</f>
        <v>x</v>
      </c>
      <c r="GM287" s="111"/>
      <c r="GN287" s="111"/>
      <c r="GO287" s="111"/>
      <c r="GP287" s="111"/>
      <c r="GQ287" s="111"/>
      <c r="GR287" s="111"/>
      <c r="GS287" s="111"/>
      <c r="GT287" s="111"/>
      <c r="GU287" s="111"/>
      <c r="GV287" s="111"/>
      <c r="GW287" s="111"/>
      <c r="GX287" s="111"/>
      <c r="GY287" s="111"/>
      <c r="GZ287" s="111"/>
      <c r="HA287" s="111"/>
      <c r="HB287" s="112" t="str">
        <f t="shared" si="1251"/>
        <v>x</v>
      </c>
      <c r="HC287" s="111"/>
      <c r="HD287" s="111"/>
      <c r="HE287" s="111"/>
      <c r="HF287" s="111"/>
      <c r="HG287" s="111"/>
      <c r="HH287" s="111"/>
      <c r="HI287" s="111"/>
      <c r="HJ287" s="112"/>
      <c r="HK287" s="111"/>
      <c r="HL287" s="111"/>
      <c r="HM287" s="111"/>
      <c r="HN287" s="111"/>
      <c r="HO287" s="111"/>
      <c r="HP287" s="111"/>
      <c r="HQ287" s="111"/>
      <c r="HR287" s="111"/>
      <c r="HS287" s="111"/>
      <c r="HT287" s="111"/>
      <c r="HU287" s="111"/>
      <c r="HV287" s="111"/>
      <c r="HW287" s="111"/>
      <c r="HX287" s="112" t="str">
        <f>HYPERLINK("http://www.selfhelpfortrauma.org/","x")</f>
        <v>x</v>
      </c>
      <c r="HY287" s="112" t="str">
        <f>HYPERLINK("http://peacefulheart.se/wp-content/uploads/2014/12/Resolving-Yesterday-20141201-Self-Tapping.pdf","x")</f>
        <v>x</v>
      </c>
      <c r="HZ287" s="111"/>
      <c r="IA287" s="111"/>
      <c r="IB287" s="111"/>
      <c r="IC287" s="111"/>
      <c r="ID287" s="111"/>
      <c r="IE287" s="111"/>
      <c r="IF287" s="111"/>
      <c r="IG287" s="111"/>
      <c r="IH287" s="111"/>
      <c r="II287" s="111"/>
      <c r="IJ287" s="112" t="str">
        <f>HYPERLINK("http://www.bamf.de/SharedDocs/Anlagen/DE/Publikationen/Flyer/Lassen-Sie-Sich-Beraten/lassen-sie-sich-beraten_vi.pdf?__blob=publicationFile","x")</f>
        <v>x</v>
      </c>
      <c r="IK287" s="111"/>
      <c r="IL287" s="111"/>
      <c r="IM287" s="111"/>
      <c r="IN287" s="111"/>
      <c r="IO287" s="111"/>
      <c r="IP287" s="112" t="str">
        <f>HYPERLINK("http://www.bamf.de/SharedDocs/Anlagen/DE/Publikationen/Flyer/Lernen-Sie-Deutsch/lernen-sie-deutsch_vi.pdf?__blob=publicationFile","x")</f>
        <v>x</v>
      </c>
      <c r="IQ287" s="112"/>
      <c r="IR287" s="111"/>
      <c r="IS287" s="111"/>
      <c r="IT287" s="111"/>
      <c r="IU287" s="112"/>
      <c r="IV287" s="112"/>
      <c r="IW287" s="112"/>
      <c r="IX287" s="112" t="str">
        <f>HYPERLINK("http://www.bamf.de/SharedDocs/Anlagen/DE/Publikationen/Broschueren/broschuere-eat-a4-vi-vietnamesisch.pdf?__blob=publicationFile","x")</f>
        <v>x</v>
      </c>
      <c r="IY287" s="111"/>
      <c r="IZ287" s="111"/>
      <c r="JA287" s="111"/>
      <c r="JB287" s="112"/>
      <c r="JC287" s="111"/>
      <c r="JD287" s="112"/>
      <c r="JE287" s="112"/>
      <c r="JF287" s="112"/>
      <c r="JG287" s="112"/>
      <c r="JH287" s="111"/>
      <c r="JI287" s="112"/>
      <c r="JJ287" s="112"/>
      <c r="JK287" s="112"/>
      <c r="JL287" s="112"/>
      <c r="JM287" s="112"/>
      <c r="JN287" s="112"/>
      <c r="JO287" s="112"/>
      <c r="JP287" s="112"/>
      <c r="JQ287" s="112" t="str">
        <f t="shared" si="1640"/>
        <v>x</v>
      </c>
      <c r="JR287" s="112"/>
      <c r="JS287" s="112" t="str">
        <f>HYPERLINK("http://www.b-umf.de/images/willkommen/willkommensbroschrevietnamesisch-web.pdf","x")</f>
        <v>x</v>
      </c>
      <c r="JT287" s="111"/>
      <c r="JU287" s="111"/>
      <c r="JV287" s="112"/>
      <c r="JW287" s="112"/>
      <c r="JX287" s="111"/>
      <c r="JY287" s="111"/>
      <c r="JZ287" s="111"/>
      <c r="KA287" s="111"/>
      <c r="KB287" s="111"/>
      <c r="KC287" s="111"/>
      <c r="KD287" s="111"/>
      <c r="KE287" s="112"/>
      <c r="KF287" s="111"/>
      <c r="KG287" s="111"/>
      <c r="KH287" s="111"/>
      <c r="KI287" s="111"/>
      <c r="KJ287" s="111"/>
      <c r="KK287" s="111"/>
      <c r="KL287" s="111"/>
      <c r="KM287" s="111"/>
      <c r="KN287" s="111"/>
      <c r="KO287" s="111"/>
      <c r="KP287" s="111"/>
      <c r="KQ287" s="111"/>
      <c r="KR287" s="111"/>
      <c r="KS287" s="111"/>
      <c r="KT287" s="111"/>
      <c r="KU287" s="111"/>
      <c r="KV287" s="111"/>
      <c r="KW287" s="111"/>
      <c r="KX287" s="111"/>
      <c r="KY287" s="111"/>
      <c r="KZ287" s="111"/>
      <c r="LA287" s="111"/>
      <c r="LB287" s="111"/>
      <c r="LC287" s="111"/>
      <c r="LD287" s="111"/>
      <c r="LE287" s="111"/>
      <c r="LF287" s="111"/>
      <c r="LG287" s="111"/>
      <c r="LH287" s="111"/>
      <c r="LI287" s="111"/>
      <c r="LJ287" s="111"/>
      <c r="LK287" s="111"/>
      <c r="LL287" s="111"/>
      <c r="LM287" s="111"/>
      <c r="LN287" s="111"/>
      <c r="LO287" s="111"/>
      <c r="LP287" s="111"/>
      <c r="LQ287" s="111"/>
      <c r="LR287" s="111"/>
      <c r="LS287" s="111"/>
      <c r="LT287" s="111"/>
      <c r="LU287" s="111"/>
      <c r="LV287" s="111"/>
      <c r="LW287" s="111"/>
      <c r="LX287" s="111"/>
      <c r="LY287" s="111"/>
      <c r="LZ287" s="111"/>
      <c r="MA287" s="111"/>
      <c r="MB287" s="111"/>
      <c r="MC287" s="111"/>
      <c r="MD287" s="111"/>
      <c r="ME287" s="111"/>
      <c r="MF287" s="111"/>
      <c r="MG287" s="111"/>
      <c r="MH287" s="111"/>
    </row>
    <row r="288" spans="1:346" x14ac:dyDescent="0.25">
      <c r="A288" s="101" t="s">
        <v>484</v>
      </c>
      <c r="B288" s="102"/>
      <c r="C288" s="102"/>
      <c r="D288" s="102"/>
      <c r="E288" s="102"/>
      <c r="F288" s="102"/>
      <c r="G288" s="102"/>
      <c r="H288" s="102"/>
      <c r="I288" s="102"/>
      <c r="J288" s="103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6"/>
      <c r="AV288" s="106"/>
      <c r="AW288" s="106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9"/>
      <c r="EP288" s="109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5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  <c r="IW288" s="104"/>
      <c r="IX288" s="104"/>
      <c r="IY288" s="104"/>
      <c r="IZ288" s="104"/>
      <c r="JA288" s="104"/>
      <c r="JB288" s="104"/>
      <c r="JC288" s="104"/>
      <c r="JD288" s="104"/>
      <c r="JE288" s="104"/>
      <c r="JF288" s="104"/>
      <c r="JG288" s="104"/>
      <c r="JH288" s="104"/>
      <c r="JI288" s="104"/>
      <c r="JJ288" s="104"/>
      <c r="JK288" s="104"/>
      <c r="JL288" s="104"/>
      <c r="JM288" s="104"/>
      <c r="JN288" s="104"/>
      <c r="JO288" s="104"/>
      <c r="JP288" s="104"/>
      <c r="JQ288" s="104"/>
      <c r="JR288" s="104"/>
      <c r="JS288" s="104"/>
      <c r="JT288" s="104"/>
      <c r="JU288" s="104"/>
      <c r="JV288" s="104"/>
      <c r="JW288" s="104"/>
      <c r="JX288" s="104"/>
      <c r="JY288" s="104"/>
      <c r="JZ288" s="104"/>
      <c r="KA288" s="104"/>
      <c r="KB288" s="104"/>
      <c r="KC288" s="104"/>
      <c r="KD288" s="104"/>
      <c r="KE288" s="104"/>
      <c r="KF288" s="104"/>
      <c r="KG288" s="104"/>
      <c r="KH288" s="104"/>
      <c r="KI288" s="104"/>
      <c r="KJ288" s="104"/>
      <c r="KK288" s="104"/>
      <c r="KL288" s="104"/>
      <c r="KM288" s="104"/>
      <c r="KN288" s="104"/>
      <c r="KO288" s="104"/>
      <c r="KP288" s="104"/>
      <c r="KQ288" s="104"/>
      <c r="KR288" s="104"/>
      <c r="KS288" s="104"/>
      <c r="KT288" s="104"/>
      <c r="KU288" s="104"/>
      <c r="KV288" s="104"/>
      <c r="KW288" s="104"/>
      <c r="KX288" s="104"/>
      <c r="KY288" s="104"/>
      <c r="KZ288" s="104"/>
      <c r="LA288" s="104"/>
      <c r="LB288" s="104"/>
      <c r="LC288" s="104"/>
      <c r="LD288" s="104"/>
      <c r="LE288" s="104"/>
      <c r="LF288" s="104"/>
      <c r="LG288" s="104"/>
      <c r="LH288" s="104"/>
      <c r="LI288" s="104"/>
      <c r="LJ288" s="104"/>
      <c r="LK288" s="104"/>
      <c r="LL288" s="104"/>
      <c r="LM288" s="104"/>
      <c r="LN288" s="104"/>
      <c r="LO288" s="104"/>
      <c r="LP288" s="104"/>
      <c r="LQ288" s="104"/>
      <c r="LR288" s="104"/>
      <c r="LS288" s="104"/>
      <c r="LT288" s="104"/>
      <c r="LU288" s="104"/>
      <c r="LV288" s="104"/>
      <c r="LW288" s="104"/>
      <c r="LX288" s="104"/>
      <c r="LY288" s="104"/>
      <c r="LZ288" s="104"/>
      <c r="MA288" s="104"/>
      <c r="MB288" s="104"/>
      <c r="MC288" s="104"/>
      <c r="MD288" s="104"/>
      <c r="ME288" s="104"/>
      <c r="MF288" s="104"/>
      <c r="MG288" s="104"/>
      <c r="MH288" s="104"/>
    </row>
    <row r="289" spans="1:346" x14ac:dyDescent="0.25">
      <c r="A289" s="110" t="s">
        <v>484</v>
      </c>
      <c r="B289" s="101" t="s">
        <v>77</v>
      </c>
      <c r="C289" s="102"/>
      <c r="D289" s="102"/>
      <c r="E289" s="102"/>
      <c r="F289" s="102"/>
      <c r="G289" s="102"/>
      <c r="H289" s="102"/>
      <c r="I289" s="102"/>
      <c r="J289" s="103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2"/>
      <c r="AO289" s="112"/>
      <c r="AP289" s="112"/>
      <c r="AQ289" s="112"/>
      <c r="AR289" s="112"/>
      <c r="AS289" s="112"/>
      <c r="AT289" s="112"/>
      <c r="AU289" s="113"/>
      <c r="AV289" s="114" t="str">
        <f>HYPERLINK("http://sab.landtag.sachsen.de/dokumente/landtagskurier/SAB_DeutschLernen_DinA5_WEB141115.pdf","x")</f>
        <v>x</v>
      </c>
      <c r="AW289" s="114" t="str">
        <f>HYPERLINK("http://sab.landtag.sachsen.de/dokumente/landtagskurier/SAB_PL_Lernposter_WEB091115.pdf","x")</f>
        <v>x</v>
      </c>
      <c r="AX289" s="111"/>
      <c r="AY289" s="111"/>
      <c r="AZ289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9" s="112" t="str">
        <f>HYPERLINK("http://wie-kann-ich-helfen.info/WoerterbuchAnalphabet_innen_%28c%29_Dagmar_Schmeelcke.pdf","x")</f>
        <v>x</v>
      </c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2" t="str">
        <f>HYPERLINK("http://www.goethe.de/lrn/prj/wnd/deu/lti/deindex.htm#13322010","x")</f>
        <v>x</v>
      </c>
      <c r="BS289" s="112"/>
      <c r="BT289" s="111"/>
      <c r="BU289" s="112" t="str">
        <f>HYPERLINK("https://s3-eu-west-1.amazonaws.com/lingolia/download/lingolia_daf.pdf","x")</f>
        <v>x</v>
      </c>
      <c r="BV289" s="112"/>
      <c r="BW289" s="112"/>
      <c r="BX289" s="112"/>
      <c r="BY289" s="112"/>
      <c r="BZ289" s="112" t="str">
        <f>HYPERLINK("http://www.hueber.de/shared/uebungen/schritte-plus","x")</f>
        <v>x</v>
      </c>
      <c r="CA289" s="112" t="str">
        <f>HYPERLINK("https://www.hueber.de/shared/uebungen/menschen-hier/ab/a1-1/menu.html","x")</f>
        <v>x</v>
      </c>
      <c r="CB289" s="112" t="str">
        <f>HYPERLINK("http://www.goethe-verlag.com/DE/","x")</f>
        <v>x</v>
      </c>
      <c r="CC289" s="112"/>
      <c r="CD289" s="112"/>
      <c r="CE289" s="111"/>
      <c r="CF289" s="111"/>
      <c r="CG289" s="111"/>
      <c r="CH289" s="111"/>
      <c r="CI289" s="112"/>
      <c r="CJ289" s="112" t="str">
        <f>HYPERLINK("http://www.e-migrantinnen.de/index.php?de_wichtige-links","x")</f>
        <v>x</v>
      </c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5"/>
      <c r="DC289" s="112"/>
      <c r="DD289" s="112"/>
      <c r="DE289" s="112" t="str">
        <f>HYPERLINK("http://fi-lohmar-siegburg.de/data/documents/130-37_Inklusion_im_Anfangsunterricht_-_Poster_mit_Situationsbildern.pdf","x")</f>
        <v>x</v>
      </c>
      <c r="DF289" s="115" t="str">
        <f>HYPERLINK("http://s3-eu-west-1.amazonaws.com/lingolia/calendar/2016/lingolia_2016_de.pdf","x")</f>
        <v>x</v>
      </c>
      <c r="DG289" s="112" t="str">
        <f>HYPERLINK("http://www.bibliomedia.ch/de/angebote/img/Wimmelbild.jpg","x")</f>
        <v>x</v>
      </c>
      <c r="DH289" s="112" t="str">
        <f t="shared" ref="DH289" si="1641">HYPERLINK("http://www.bibliomedia.ch/de/angebote/dokumente/Wimmelbild_Fehler.jpg","x")</f>
        <v>x</v>
      </c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2"/>
      <c r="DU289" s="111"/>
      <c r="DV289" s="111"/>
      <c r="DW289" s="111"/>
      <c r="DX289" s="111"/>
      <c r="DY289" s="111"/>
      <c r="DZ289" s="111"/>
      <c r="EA289" s="112"/>
      <c r="EB289" s="112"/>
      <c r="EC289" s="111"/>
      <c r="ED289" s="111"/>
      <c r="EE289" s="111"/>
      <c r="EF289" s="111"/>
      <c r="EG289" s="111"/>
      <c r="EH289" s="111"/>
      <c r="EI289" s="112"/>
      <c r="EJ289" s="112"/>
      <c r="EK289" s="111"/>
      <c r="EL289" s="112"/>
      <c r="EM289" s="112"/>
      <c r="EN289" s="111"/>
      <c r="EO289" s="117"/>
      <c r="EP289" s="118"/>
      <c r="EQ289" s="112"/>
      <c r="ER289" s="111"/>
      <c r="ES289" s="111"/>
      <c r="ET289" s="111"/>
      <c r="EU289" s="111"/>
      <c r="EV289" s="112" t="str">
        <f t="shared" ref="EV289" si="1642">HYPERLINK("http://www.lak-rlp.de/fileadmin/redakteure/pdf/download/Piktogramme_Dosieretiketten_AoG.pdf","x")</f>
        <v>x</v>
      </c>
      <c r="EW289" s="111"/>
      <c r="EX289" s="111"/>
      <c r="EY289" s="111"/>
      <c r="EZ289" s="111"/>
      <c r="FA289" s="111"/>
      <c r="FB289" s="111"/>
      <c r="FC289" s="112" t="str">
        <f>HYPERLINK("http://mige.ix-tech.de/index.php?id=241","x")</f>
        <v>x</v>
      </c>
      <c r="FD289" s="112"/>
      <c r="FE289" s="111"/>
      <c r="FF289" s="111"/>
      <c r="FG289" s="111"/>
      <c r="FH289" s="111"/>
      <c r="FI289" s="112"/>
      <c r="FJ289" s="112"/>
      <c r="FK289" s="111"/>
      <c r="FL289" s="111"/>
      <c r="FM289" s="112"/>
      <c r="FN289" s="112"/>
      <c r="FO289" s="112"/>
      <c r="FP289" s="111"/>
      <c r="FQ289" s="112"/>
      <c r="FR289" s="112"/>
      <c r="FS289" s="112"/>
      <c r="FT289" s="112"/>
      <c r="FU289" s="112"/>
      <c r="FV289" s="112"/>
      <c r="FW289" s="111"/>
      <c r="FX289" s="111"/>
      <c r="FY289" s="111"/>
      <c r="FZ289" s="111"/>
      <c r="GA289" s="111"/>
      <c r="GB289" s="111"/>
      <c r="GC289" s="111"/>
      <c r="GD289" s="111"/>
      <c r="GE289" s="111"/>
      <c r="GF289" s="111"/>
      <c r="GG289" s="112"/>
      <c r="GH289" s="111"/>
      <c r="GI289" s="111"/>
      <c r="GJ289" s="111"/>
      <c r="GK289" s="111"/>
      <c r="GL289" s="112"/>
      <c r="GM289" s="111"/>
      <c r="GN289" s="111"/>
      <c r="GO289" s="111"/>
      <c r="GP289" s="111"/>
      <c r="GQ289" s="111"/>
      <c r="GR289" s="111"/>
      <c r="GS289" s="111"/>
      <c r="GT289" s="111"/>
      <c r="GU289" s="111"/>
      <c r="GV289" s="111"/>
      <c r="GW289" s="111"/>
      <c r="GX289" s="111"/>
      <c r="GY289" s="111"/>
      <c r="GZ289" s="111"/>
      <c r="HA289" s="111"/>
      <c r="HB289" s="112" t="str">
        <f t="shared" ref="HB289" si="1643">HYPERLINK("https://www.zahnaerzte-wl.de/images/_PDF-suche/KZV_ZÄK/piktogrammheft.pdf","x")</f>
        <v>x</v>
      </c>
      <c r="HC289" s="112" t="str">
        <f>HYPERLINK("https://www.zahnaerzte-wl.de/images/_PDF-suche/KZV_ZÄK/ENDSTAND_Ankreuzbogen_Ich_verstehe.pdf","x")</f>
        <v>x</v>
      </c>
      <c r="HD289" s="112" t="str">
        <f>HYPERLINK("https://www.zahnaerzte-wl.de/images/_PDF-suche/KZV_ZÄK/Anschreiben_Patienten_kurdisch_zaza.pdf","x")</f>
        <v>x</v>
      </c>
      <c r="HE289" s="112" t="str">
        <f>HYPERLINK("https://www.zahnaerzte-wl.de/images/_PDF-suche/KZV_ZÄK/Fragebogen_kurdisch_zaza.pdf","x")</f>
        <v>x</v>
      </c>
      <c r="HF289" s="112" t="str">
        <f>HYPERLINK("https://www.zahnaerzte-wl.de/images/_PDF-suche/KZV_ZÄK/Patientenerhebungsbogen_kurdisch_zaza.pdf","x")</f>
        <v>x</v>
      </c>
      <c r="HG289" s="111"/>
      <c r="HH289" s="111"/>
      <c r="HI289" s="111"/>
      <c r="HJ289" s="112"/>
      <c r="HK289" s="111"/>
      <c r="HL289" s="111"/>
      <c r="HM289" s="111"/>
      <c r="HN289" s="111"/>
      <c r="HO289" s="111"/>
      <c r="HP289" s="111"/>
      <c r="HQ289" s="111"/>
      <c r="HR289" s="111"/>
      <c r="HS289" s="111"/>
      <c r="HT289" s="111"/>
      <c r="HU289" s="111"/>
      <c r="HV289" s="111"/>
      <c r="HW289" s="111"/>
      <c r="HX289" s="112" t="str">
        <f>HYPERLINK("http://www.selfhelpfortrauma.org/","x")</f>
        <v>x</v>
      </c>
      <c r="HY289" s="112" t="str">
        <f>HYPERLINK("http://peacefulheart.se/wp-content/uploads/2014/12/Resolving-Yesterday-20141201-Self-Tapping.pdf","x")</f>
        <v>x</v>
      </c>
      <c r="HZ289" s="111"/>
      <c r="IA289" s="111"/>
      <c r="IB289" s="111"/>
      <c r="IC289" s="111"/>
      <c r="ID289" s="111"/>
      <c r="IE289" s="111"/>
      <c r="IF289" s="111"/>
      <c r="IG289" s="111"/>
      <c r="IH289" s="111"/>
      <c r="II289" s="111"/>
      <c r="IJ289" s="112"/>
      <c r="IK289" s="111"/>
      <c r="IL289" s="111"/>
      <c r="IM289" s="111"/>
      <c r="IN289" s="111"/>
      <c r="IO289" s="111"/>
      <c r="IP289" s="112"/>
      <c r="IQ289" s="112"/>
      <c r="IR289" s="111"/>
      <c r="IS289" s="111"/>
      <c r="IT289" s="111"/>
      <c r="IU289" s="112"/>
      <c r="IV289" s="112"/>
      <c r="IW289" s="112"/>
      <c r="IX289" s="112"/>
      <c r="IY289" s="111"/>
      <c r="IZ289" s="111"/>
      <c r="JA289" s="111"/>
      <c r="JB289" s="112"/>
      <c r="JC289" s="111"/>
      <c r="JD289" s="112"/>
      <c r="JE289" s="112"/>
      <c r="JF289" s="112"/>
      <c r="JG289" s="112"/>
      <c r="JH289" s="111"/>
      <c r="JI289" s="112"/>
      <c r="JJ289" s="112"/>
      <c r="JK289" s="112"/>
      <c r="JL289" s="112"/>
      <c r="JM289" s="112"/>
      <c r="JN289" s="112"/>
      <c r="JO289" s="112"/>
      <c r="JP289" s="112"/>
      <c r="JQ289" s="112"/>
      <c r="JR289" s="112"/>
      <c r="JS289" s="112"/>
      <c r="JT289" s="111"/>
      <c r="JU289" s="111"/>
      <c r="JV289" s="112"/>
      <c r="JW289" s="112"/>
      <c r="JX289" s="111"/>
      <c r="JY289" s="111"/>
      <c r="JZ289" s="111"/>
      <c r="KA289" s="111"/>
      <c r="KB289" s="111"/>
      <c r="KC289" s="111"/>
      <c r="KD289" s="111"/>
      <c r="KE289" s="112"/>
      <c r="KF289" s="111"/>
      <c r="KG289" s="111"/>
      <c r="KH289" s="111"/>
      <c r="KI289" s="111"/>
      <c r="KJ289" s="111"/>
      <c r="KK289" s="111"/>
      <c r="KL289" s="111"/>
      <c r="KM289" s="111"/>
      <c r="KN289" s="111"/>
      <c r="KO289" s="111"/>
      <c r="KP289" s="111"/>
      <c r="KQ289" s="111"/>
      <c r="KR289" s="111"/>
      <c r="KS289" s="111"/>
      <c r="KT289" s="111"/>
      <c r="KU289" s="111"/>
      <c r="KV289" s="111"/>
      <c r="KW289" s="111"/>
      <c r="KX289" s="111"/>
      <c r="KY289" s="111"/>
      <c r="KZ289" s="111"/>
      <c r="LA289" s="111"/>
      <c r="LB289" s="111"/>
      <c r="LC289" s="111"/>
      <c r="LD289" s="111"/>
      <c r="LE289" s="111"/>
      <c r="LF289" s="111"/>
      <c r="LG289" s="111"/>
      <c r="LH289" s="111"/>
      <c r="LI289" s="111"/>
      <c r="LJ289" s="111"/>
      <c r="LK289" s="111"/>
      <c r="LL289" s="111"/>
      <c r="LM289" s="111"/>
      <c r="LN289" s="111"/>
      <c r="LO289" s="111"/>
      <c r="LP289" s="111"/>
      <c r="LQ289" s="111"/>
      <c r="LR289" s="111"/>
      <c r="LS289" s="111"/>
      <c r="LT289" s="111"/>
      <c r="LU289" s="111"/>
      <c r="LV289" s="111"/>
      <c r="LW289" s="111"/>
      <c r="LX289" s="111"/>
      <c r="LY289" s="111"/>
      <c r="LZ289" s="111"/>
      <c r="MA289" s="111"/>
      <c r="MB289" s="111"/>
      <c r="MC289" s="111"/>
      <c r="MD289" s="111"/>
      <c r="ME289" s="111"/>
      <c r="MF289" s="111"/>
      <c r="MG289" s="111"/>
      <c r="MH289" s="111"/>
    </row>
    <row r="290" spans="1:346" ht="15.75" customHeight="1" x14ac:dyDescent="0.25">
      <c r="K290" s="204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</row>
    <row r="291" spans="1:346" x14ac:dyDescent="0.25">
      <c r="K291" s="157" t="s">
        <v>532</v>
      </c>
      <c r="L291" s="173"/>
      <c r="M291" s="173"/>
      <c r="N291" s="173"/>
      <c r="O291" s="173"/>
      <c r="P291" s="173"/>
      <c r="Q291" s="157" t="s">
        <v>533</v>
      </c>
      <c r="R291" s="173"/>
      <c r="S291" s="173"/>
      <c r="T291" s="173"/>
      <c r="U291" s="173"/>
      <c r="V291" s="173"/>
      <c r="W291" s="157" t="s">
        <v>534</v>
      </c>
      <c r="X291" s="173"/>
      <c r="Y291" s="175" t="s">
        <v>535</v>
      </c>
      <c r="Z291" s="158"/>
      <c r="AA291" s="158"/>
      <c r="AB291" s="158"/>
      <c r="AC291" s="158"/>
      <c r="AD291" s="158"/>
      <c r="AE291" s="158"/>
    </row>
    <row r="292" spans="1:346" x14ac:dyDescent="0.25">
      <c r="K292" s="156"/>
      <c r="L292" s="174"/>
      <c r="M292" s="174"/>
      <c r="N292" s="174"/>
      <c r="O292" s="174"/>
      <c r="P292" s="174"/>
      <c r="Q292" s="174"/>
      <c r="R292" s="174"/>
      <c r="S292" s="174"/>
      <c r="T292" s="174"/>
      <c r="U292" s="174"/>
      <c r="V292" s="174"/>
      <c r="W292" s="174"/>
      <c r="X292" s="174"/>
      <c r="Y292" s="174"/>
      <c r="Z292" s="174"/>
      <c r="AA292" s="174"/>
      <c r="AB292" s="174"/>
      <c r="AC292" s="174"/>
      <c r="AD292" s="174"/>
      <c r="AE292" s="174"/>
    </row>
    <row r="293" spans="1:346" x14ac:dyDescent="0.25">
      <c r="K293" s="157" t="s">
        <v>536</v>
      </c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158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</row>
    <row r="294" spans="1:346" x14ac:dyDescent="0.25">
      <c r="K294" s="157" t="s">
        <v>537</v>
      </c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</row>
    <row r="295" spans="1:346" x14ac:dyDescent="0.25"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</row>
    <row r="296" spans="1:346" x14ac:dyDescent="0.25">
      <c r="K296" s="157" t="s">
        <v>541</v>
      </c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</row>
    <row r="297" spans="1:346" x14ac:dyDescent="0.25">
      <c r="K297" s="157" t="s">
        <v>542</v>
      </c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</row>
    <row r="298" spans="1:346" x14ac:dyDescent="0.25">
      <c r="K298" s="157" t="s">
        <v>543</v>
      </c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</row>
    <row r="299" spans="1:346" x14ac:dyDescent="0.25"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</row>
    <row r="300" spans="1:346" x14ac:dyDescent="0.25">
      <c r="K300" s="157" t="s">
        <v>540</v>
      </c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  <c r="AD300" s="158"/>
      <c r="AE300" s="158"/>
    </row>
    <row r="301" spans="1:346" x14ac:dyDescent="0.25">
      <c r="K301" s="157" t="s">
        <v>538</v>
      </c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  <c r="AB301" s="158"/>
      <c r="AC301" s="158"/>
      <c r="AD301" s="158"/>
      <c r="AE301" s="158"/>
    </row>
    <row r="302" spans="1:346" x14ac:dyDescent="0.25">
      <c r="K302" s="157" t="s">
        <v>539</v>
      </c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  <c r="AB302" s="158"/>
      <c r="AC302" s="158"/>
      <c r="AD302" s="158"/>
      <c r="AE302" s="158"/>
    </row>
    <row r="303" spans="1:346" x14ac:dyDescent="0.25">
      <c r="K303" s="157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</row>
  </sheetData>
  <sheetProtection algorithmName="SHA-512" hashValue="NLhcuQYeZRy5UsFRu2BaBba1ctv00kkNbchfi/DuPzRGIxjjjLte5C6J1xh1GjTUIXbLg0mhlGGxRfsrgERRmA==" saltValue="HDq7AjpTVDbyogSlNhQmLw==" spinCount="100000" sheet="1" objects="1" scenarios="1" sort="0"/>
  <sortState ref="A233:LC238">
    <sortCondition ref="B233:B238"/>
  </sortState>
  <dataConsolidate/>
  <mergeCells count="353">
    <mergeCell ref="K290:AE290"/>
    <mergeCell ref="K3:K13"/>
    <mergeCell ref="W3:W13"/>
    <mergeCell ref="DQ3:DQ13"/>
    <mergeCell ref="P3:P13"/>
    <mergeCell ref="AB3:AB13"/>
    <mergeCell ref="Q3:Q13"/>
    <mergeCell ref="Y3:Y13"/>
    <mergeCell ref="X3:X13"/>
    <mergeCell ref="R3:R13"/>
    <mergeCell ref="T3:T13"/>
    <mergeCell ref="L3:L13"/>
    <mergeCell ref="AQ3:AQ13"/>
    <mergeCell ref="M3:M13"/>
    <mergeCell ref="AE3:AE13"/>
    <mergeCell ref="AK3:AK13"/>
    <mergeCell ref="BC3:BC13"/>
    <mergeCell ref="BM3:BM13"/>
    <mergeCell ref="BT3:BT13"/>
    <mergeCell ref="BL3:BL13"/>
    <mergeCell ref="CJ3:CJ13"/>
    <mergeCell ref="CN3:CN13"/>
    <mergeCell ref="BJ3:BJ13"/>
    <mergeCell ref="AC3:AC13"/>
    <mergeCell ref="BP3:BP13"/>
    <mergeCell ref="BQ3:BQ13"/>
    <mergeCell ref="CO3:CO13"/>
    <mergeCell ref="EV3:EV13"/>
    <mergeCell ref="FJ3:FJ13"/>
    <mergeCell ref="EP3:EP13"/>
    <mergeCell ref="EY3:EY13"/>
    <mergeCell ref="FG3:FG13"/>
    <mergeCell ref="DP3:DP13"/>
    <mergeCell ref="ES3:ES13"/>
    <mergeCell ref="EX3:EX13"/>
    <mergeCell ref="EO3:EO13"/>
    <mergeCell ref="DE3:DE13"/>
    <mergeCell ref="EM3:EM13"/>
    <mergeCell ref="CP3:CP13"/>
    <mergeCell ref="CS3:CS13"/>
    <mergeCell ref="EB3:EB13"/>
    <mergeCell ref="CU3:CU13"/>
    <mergeCell ref="DO3:DO13"/>
    <mergeCell ref="ET3:ET13"/>
    <mergeCell ref="CZ3:CZ13"/>
    <mergeCell ref="DD3:DD13"/>
    <mergeCell ref="EU3:EU13"/>
    <mergeCell ref="FD3:FD13"/>
    <mergeCell ref="DF3:DF13"/>
    <mergeCell ref="LL3:LL13"/>
    <mergeCell ref="KG3:KG13"/>
    <mergeCell ref="KJ3:KJ13"/>
    <mergeCell ref="JX3:JX13"/>
    <mergeCell ref="JU3:JU13"/>
    <mergeCell ref="KP3:KP13"/>
    <mergeCell ref="KI3:KI13"/>
    <mergeCell ref="HP3:HP13"/>
    <mergeCell ref="HQ3:HQ13"/>
    <mergeCell ref="HR3:HR13"/>
    <mergeCell ref="HS3:HS13"/>
    <mergeCell ref="FK3:FK13"/>
    <mergeCell ref="FE3:FE13"/>
    <mergeCell ref="FP3:FP13"/>
    <mergeCell ref="GB3:GB13"/>
    <mergeCell ref="FV3:FV13"/>
    <mergeCell ref="FY3:FY13"/>
    <mergeCell ref="FC3:FC13"/>
    <mergeCell ref="MB3:MB13"/>
    <mergeCell ref="MC3:MC13"/>
    <mergeCell ref="JW3:JW13"/>
    <mergeCell ref="KV3:KV13"/>
    <mergeCell ref="AD3:AD13"/>
    <mergeCell ref="EE3:EE13"/>
    <mergeCell ref="EL3:EL13"/>
    <mergeCell ref="LB3:LB13"/>
    <mergeCell ref="JH3:JH13"/>
    <mergeCell ref="KF3:KF13"/>
    <mergeCell ref="LA3:LA13"/>
    <mergeCell ref="KK3:KK13"/>
    <mergeCell ref="JJ3:JJ13"/>
    <mergeCell ref="KZ3:KZ13"/>
    <mergeCell ref="AV3:AV13"/>
    <mergeCell ref="AW3:AW13"/>
    <mergeCell ref="AY3:AY13"/>
    <mergeCell ref="CI3:CI13"/>
    <mergeCell ref="CX3:CX13"/>
    <mergeCell ref="CW3:CW13"/>
    <mergeCell ref="CT3:CT13"/>
    <mergeCell ref="CV3:CV13"/>
    <mergeCell ref="JI3:JI13"/>
    <mergeCell ref="GR3:GR13"/>
    <mergeCell ref="S3:S13"/>
    <mergeCell ref="DH3:DH13"/>
    <mergeCell ref="EN3:EN13"/>
    <mergeCell ref="AT3:AT13"/>
    <mergeCell ref="DU3:DU13"/>
    <mergeCell ref="DV3:DV13"/>
    <mergeCell ref="AL3:AL13"/>
    <mergeCell ref="DI3:DI13"/>
    <mergeCell ref="CG3:CG13"/>
    <mergeCell ref="CM3:CM13"/>
    <mergeCell ref="EH3:EH13"/>
    <mergeCell ref="EJ3:EJ13"/>
    <mergeCell ref="DZ3:DZ13"/>
    <mergeCell ref="CH3:CH13"/>
    <mergeCell ref="ED3:ED13"/>
    <mergeCell ref="DX3:DX13"/>
    <mergeCell ref="DB3:DB13"/>
    <mergeCell ref="DC3:DC13"/>
    <mergeCell ref="CY3:CY13"/>
    <mergeCell ref="CQ3:CQ13"/>
    <mergeCell ref="CR3:CR13"/>
    <mergeCell ref="BV3:BV13"/>
    <mergeCell ref="BN3:BN13"/>
    <mergeCell ref="BO3:BO13"/>
    <mergeCell ref="GG3:GG13"/>
    <mergeCell ref="GL3:GL13"/>
    <mergeCell ref="FA3:FA13"/>
    <mergeCell ref="GE3:GE13"/>
    <mergeCell ref="EW3:EW13"/>
    <mergeCell ref="FT3:FT13"/>
    <mergeCell ref="GD3:GD13"/>
    <mergeCell ref="GF3:GF13"/>
    <mergeCell ref="GH3:GH13"/>
    <mergeCell ref="GI3:GI13"/>
    <mergeCell ref="GK3:GK13"/>
    <mergeCell ref="GJ3:GJ13"/>
    <mergeCell ref="GC3:GC13"/>
    <mergeCell ref="FO3:FO13"/>
    <mergeCell ref="FW3:FW13"/>
    <mergeCell ref="FB3:FB13"/>
    <mergeCell ref="FZ3:FZ13"/>
    <mergeCell ref="FN3:FN13"/>
    <mergeCell ref="FM3:FM13"/>
    <mergeCell ref="HF3:HF13"/>
    <mergeCell ref="JT3:JT13"/>
    <mergeCell ref="IT3:IT13"/>
    <mergeCell ref="GX3:GX13"/>
    <mergeCell ref="IN3:IN13"/>
    <mergeCell ref="HK3:HK13"/>
    <mergeCell ref="IF3:IF13"/>
    <mergeCell ref="JD3:JD13"/>
    <mergeCell ref="IV3:IV13"/>
    <mergeCell ref="HD3:HD13"/>
    <mergeCell ref="GY3:GY13"/>
    <mergeCell ref="HA3:HA13"/>
    <mergeCell ref="GZ3:GZ13"/>
    <mergeCell ref="HV3:HV13"/>
    <mergeCell ref="HT3:HT13"/>
    <mergeCell ref="HE3:HE13"/>
    <mergeCell ref="JM3:JM13"/>
    <mergeCell ref="HB3:HB13"/>
    <mergeCell ref="HJ3:HJ13"/>
    <mergeCell ref="HL3:HL13"/>
    <mergeCell ref="HM3:HM13"/>
    <mergeCell ref="HO3:HO13"/>
    <mergeCell ref="IR3:IR13"/>
    <mergeCell ref="JS3:JS13"/>
    <mergeCell ref="AJ3:AJ13"/>
    <mergeCell ref="AM3:AM13"/>
    <mergeCell ref="N3:N13"/>
    <mergeCell ref="AG3:AG13"/>
    <mergeCell ref="AH3:AH13"/>
    <mergeCell ref="GQ3:GQ13"/>
    <mergeCell ref="DY3:DY13"/>
    <mergeCell ref="FI3:FI13"/>
    <mergeCell ref="CF3:CF13"/>
    <mergeCell ref="DM3:DM13"/>
    <mergeCell ref="CL3:CL13"/>
    <mergeCell ref="ER3:ER13"/>
    <mergeCell ref="AF3:AF13"/>
    <mergeCell ref="AI3:AI13"/>
    <mergeCell ref="DG3:DG13"/>
    <mergeCell ref="FQ3:FQ13"/>
    <mergeCell ref="FR3:FR13"/>
    <mergeCell ref="AR3:AR13"/>
    <mergeCell ref="V3:V13"/>
    <mergeCell ref="Z3:Z13"/>
    <mergeCell ref="AA3:AA13"/>
    <mergeCell ref="BI3:BI13"/>
    <mergeCell ref="BZ3:BZ13"/>
    <mergeCell ref="DW3:DW13"/>
    <mergeCell ref="HC3:HC13"/>
    <mergeCell ref="GT3:GT13"/>
    <mergeCell ref="DL3:DL13"/>
    <mergeCell ref="DN3:DN13"/>
    <mergeCell ref="EC3:EC13"/>
    <mergeCell ref="DJ3:DJ13"/>
    <mergeCell ref="DT3:DT13"/>
    <mergeCell ref="DK3:DK13"/>
    <mergeCell ref="EK3:EK13"/>
    <mergeCell ref="EA3:EA13"/>
    <mergeCell ref="EI3:EI13"/>
    <mergeCell ref="EF3:EF13"/>
    <mergeCell ref="GU3:GU13"/>
    <mergeCell ref="EZ3:EZ13"/>
    <mergeCell ref="FL3:FL13"/>
    <mergeCell ref="GM3:GM13"/>
    <mergeCell ref="FS3:FS13"/>
    <mergeCell ref="FX3:FX13"/>
    <mergeCell ref="FU3:FU13"/>
    <mergeCell ref="GO3:GO13"/>
    <mergeCell ref="GP3:GP13"/>
    <mergeCell ref="GS3:GS13"/>
    <mergeCell ref="GA3:GA13"/>
    <mergeCell ref="GN3:GN13"/>
    <mergeCell ref="IH3:IH13"/>
    <mergeCell ref="IG3:IG13"/>
    <mergeCell ref="IP3:IP13"/>
    <mergeCell ref="HW3:HW13"/>
    <mergeCell ref="HX3:HX13"/>
    <mergeCell ref="JC3:JC13"/>
    <mergeCell ref="JA3:JA13"/>
    <mergeCell ref="IY3:IY13"/>
    <mergeCell ref="IB3:IB13"/>
    <mergeCell ref="IS3:IS13"/>
    <mergeCell ref="IL3:IL13"/>
    <mergeCell ref="IJ3:IJ13"/>
    <mergeCell ref="HY3:HY13"/>
    <mergeCell ref="IE3:IE13"/>
    <mergeCell ref="ID3:ID13"/>
    <mergeCell ref="MD3:MD13"/>
    <mergeCell ref="ME3:ME13"/>
    <mergeCell ref="MF3:MF13"/>
    <mergeCell ref="JB3:JB13"/>
    <mergeCell ref="KQ3:KQ13"/>
    <mergeCell ref="LC3:LC13"/>
    <mergeCell ref="KU3:KU13"/>
    <mergeCell ref="KM3:KM13"/>
    <mergeCell ref="KL3:KL13"/>
    <mergeCell ref="KB3:KB13"/>
    <mergeCell ref="JO3:JO13"/>
    <mergeCell ref="JQ3:JQ13"/>
    <mergeCell ref="JE3:JE13"/>
    <mergeCell ref="LZ3:LZ13"/>
    <mergeCell ref="KE3:KE13"/>
    <mergeCell ref="KT3:KT13"/>
    <mergeCell ref="JK3:JK13"/>
    <mergeCell ref="LP3:LP13"/>
    <mergeCell ref="JG3:JG13"/>
    <mergeCell ref="JP3:JP13"/>
    <mergeCell ref="JF3:JF13"/>
    <mergeCell ref="JN3:JN13"/>
    <mergeCell ref="JL3:JL13"/>
    <mergeCell ref="KY3:KY13"/>
    <mergeCell ref="MA3:MA13"/>
    <mergeCell ref="LR3:LR13"/>
    <mergeCell ref="IM3:IM13"/>
    <mergeCell ref="IK3:IK13"/>
    <mergeCell ref="IQ3:IQ13"/>
    <mergeCell ref="IX3:IX13"/>
    <mergeCell ref="IU3:IU13"/>
    <mergeCell ref="IO3:IO13"/>
    <mergeCell ref="KD3:KD13"/>
    <mergeCell ref="KH3:KH13"/>
    <mergeCell ref="LD3:LD13"/>
    <mergeCell ref="LF3:LF13"/>
    <mergeCell ref="LX3:LX13"/>
    <mergeCell ref="LV3:LV13"/>
    <mergeCell ref="LY3:LY13"/>
    <mergeCell ref="LJ3:LJ13"/>
    <mergeCell ref="JY3:JY13"/>
    <mergeCell ref="KA3:KA13"/>
    <mergeCell ref="JZ3:JZ13"/>
    <mergeCell ref="JR3:JR13"/>
    <mergeCell ref="LO3:LO13"/>
    <mergeCell ref="IW3:IW13"/>
    <mergeCell ref="LM3:LM13"/>
    <mergeCell ref="MH3:MH13"/>
    <mergeCell ref="DR3:DR13"/>
    <mergeCell ref="DS3:DS13"/>
    <mergeCell ref="JV3:JV13"/>
    <mergeCell ref="KC3:KC13"/>
    <mergeCell ref="HI3:HI13"/>
    <mergeCell ref="HG3:HG13"/>
    <mergeCell ref="HH3:HH13"/>
    <mergeCell ref="FH3:FH13"/>
    <mergeCell ref="LW3:LW13"/>
    <mergeCell ref="LQ3:LQ13"/>
    <mergeCell ref="IZ3:IZ13"/>
    <mergeCell ref="KW3:KW13"/>
    <mergeCell ref="KS3:KS13"/>
    <mergeCell ref="KX3:KX13"/>
    <mergeCell ref="KO3:KO13"/>
    <mergeCell ref="EQ3:EQ13"/>
    <mergeCell ref="FF3:FF13"/>
    <mergeCell ref="LE3:LE13"/>
    <mergeCell ref="LG3:LG13"/>
    <mergeCell ref="LS3:LS13"/>
    <mergeCell ref="LN3:LN13"/>
    <mergeCell ref="LH3:LH13"/>
    <mergeCell ref="LI3:LI13"/>
    <mergeCell ref="MG3:MG13"/>
    <mergeCell ref="LK3:LK13"/>
    <mergeCell ref="BS3:BS13"/>
    <mergeCell ref="AN3:AN13"/>
    <mergeCell ref="AO3:AO13"/>
    <mergeCell ref="CK3:CK13"/>
    <mergeCell ref="AX3:AX13"/>
    <mergeCell ref="BB3:BB13"/>
    <mergeCell ref="BA3:BA13"/>
    <mergeCell ref="BK3:BK13"/>
    <mergeCell ref="BF3:BF13"/>
    <mergeCell ref="BD3:BD13"/>
    <mergeCell ref="BE3:BE13"/>
    <mergeCell ref="BX3:BX13"/>
    <mergeCell ref="CB3:CB13"/>
    <mergeCell ref="CC3:CC13"/>
    <mergeCell ref="BY3:BY13"/>
    <mergeCell ref="CE3:CE13"/>
    <mergeCell ref="AS3:AS13"/>
    <mergeCell ref="AU3:AU13"/>
    <mergeCell ref="BG3:BG13"/>
    <mergeCell ref="AZ3:AZ13"/>
    <mergeCell ref="BW3:BW13"/>
    <mergeCell ref="BU3:BU13"/>
    <mergeCell ref="K302:AE302"/>
    <mergeCell ref="K303:AE303"/>
    <mergeCell ref="K296:AE296"/>
    <mergeCell ref="K295:AE295"/>
    <mergeCell ref="K297:AE297"/>
    <mergeCell ref="K298:AE298"/>
    <mergeCell ref="K291:P291"/>
    <mergeCell ref="W291:X291"/>
    <mergeCell ref="Q291:V291"/>
    <mergeCell ref="K292:AE292"/>
    <mergeCell ref="K293:AE293"/>
    <mergeCell ref="K294:AE294"/>
    <mergeCell ref="Y291:AE291"/>
    <mergeCell ref="U3:U13"/>
    <mergeCell ref="BR3:BR13"/>
    <mergeCell ref="BH3:BH13"/>
    <mergeCell ref="CA3:CA13"/>
    <mergeCell ref="LT3:LT13"/>
    <mergeCell ref="LU3:LU13"/>
    <mergeCell ref="K299:AE299"/>
    <mergeCell ref="K300:AE300"/>
    <mergeCell ref="K301:AE301"/>
    <mergeCell ref="AP3:AP13"/>
    <mergeCell ref="EG3:EG13"/>
    <mergeCell ref="DA3:DA13"/>
    <mergeCell ref="CD3:CD13"/>
    <mergeCell ref="KN3:KN13"/>
    <mergeCell ref="KR3:KR13"/>
    <mergeCell ref="O3:O13"/>
    <mergeCell ref="HN3:HN13"/>
    <mergeCell ref="GV3:GV13"/>
    <mergeCell ref="GW3:GW13"/>
    <mergeCell ref="HZ3:HZ13"/>
    <mergeCell ref="IA3:IA13"/>
    <mergeCell ref="IC3:IC13"/>
    <mergeCell ref="HU3:HU13"/>
    <mergeCell ref="II3:II13"/>
  </mergeCells>
  <hyperlinks>
    <hyperlink ref="Y291" r:id="rId1"/>
  </hyperlinks>
  <pageMargins left="0.70866141732283472" right="0.70866141732283472" top="0.78740157480314965" bottom="0.78740157480314965" header="0.31496062992125984" footer="0.31496062992125984"/>
  <pageSetup paperSize="9" fitToHeight="3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50"/>
  <sheetViews>
    <sheetView tabSelected="1" zoomScale="80" zoomScaleNormal="80" workbookViewId="0">
      <pane xSplit="11" ySplit="13" topLeftCell="L69" activePane="bottomRight" state="frozen"/>
      <selection pane="topRight" activeCell="E1" sqref="E1"/>
      <selection pane="bottomLeft" activeCell="A12" sqref="A12"/>
      <selection pane="bottomRight" activeCell="AF73" sqref="AF73"/>
    </sheetView>
  </sheetViews>
  <sheetFormatPr baseColWidth="10" defaultRowHeight="15" x14ac:dyDescent="0.25"/>
  <cols>
    <col min="1" max="1" width="17.140625" style="123" customWidth="1"/>
    <col min="2" max="10" width="2" style="123" customWidth="1"/>
    <col min="11" max="11" width="2.5703125" style="123" customWidth="1"/>
    <col min="12" max="17" width="3.7109375" style="124" customWidth="1"/>
    <col min="18" max="19" width="6.7109375" style="124" customWidth="1"/>
    <col min="20" max="21" width="3.7109375" style="124" customWidth="1"/>
    <col min="22" max="24" width="6.7109375" style="124" customWidth="1"/>
    <col min="25" max="26" width="3.7109375" style="124" customWidth="1"/>
    <col min="27" max="27" width="6.7109375" style="124" customWidth="1"/>
    <col min="28" max="28" width="9.7109375" style="124" customWidth="1"/>
    <col min="29" max="29" width="6.7109375" style="124" customWidth="1"/>
    <col min="30" max="31" width="3.7109375" style="124" customWidth="1"/>
    <col min="32" max="32" width="6.7109375" style="124" customWidth="1"/>
    <col min="33" max="34" width="3.7109375" style="124" customWidth="1"/>
    <col min="35" max="35" width="6.7109375" style="124" customWidth="1"/>
    <col min="36" max="36" width="3.7109375" style="124" customWidth="1"/>
    <col min="37" max="37" width="6.7109375" style="124" customWidth="1"/>
    <col min="38" max="38" width="3.7109375" style="124" customWidth="1"/>
    <col min="39" max="39" width="6.7109375" style="124" customWidth="1"/>
    <col min="40" max="40" width="3.7109375" style="124" customWidth="1"/>
    <col min="41" max="43" width="3.7109375" style="38" customWidth="1"/>
    <col min="44" max="47" width="6.7109375" style="38" customWidth="1"/>
    <col min="48" max="50" width="3.7109375" style="124" customWidth="1"/>
    <col min="51" max="51" width="3.7109375" style="38" customWidth="1"/>
    <col min="52" max="52" width="3.7109375" style="124" customWidth="1"/>
    <col min="53" max="53" width="3.7109375" style="38" customWidth="1"/>
    <col min="54" max="54" width="6.7109375" style="38" customWidth="1"/>
    <col min="55" max="58" width="6.7109375" style="124" customWidth="1"/>
    <col min="59" max="60" width="3.7109375" style="124" customWidth="1"/>
    <col min="61" max="62" width="6.7109375" style="124" customWidth="1"/>
    <col min="63" max="63" width="9.7109375" style="38" customWidth="1"/>
    <col min="64" max="66" width="6.7109375" style="38" customWidth="1"/>
    <col min="67" max="68" width="3.7109375" style="38" customWidth="1"/>
    <col min="69" max="70" width="6.7109375" style="38" customWidth="1"/>
    <col min="71" max="71" width="3.7109375" style="38" customWidth="1"/>
    <col min="72" max="72" width="9.7109375" style="38" customWidth="1"/>
    <col min="73" max="75" width="3.7109375" style="38" customWidth="1"/>
    <col min="76" max="76" width="6.7109375" style="38" customWidth="1"/>
    <col min="77" max="78" width="3.7109375" style="38" customWidth="1"/>
    <col min="79" max="83" width="6.7109375" style="38" customWidth="1"/>
    <col min="84" max="84" width="9.7109375" style="38" customWidth="1"/>
    <col min="85" max="87" width="6.7109375" style="38" customWidth="1"/>
    <col min="88" max="88" width="3.7109375" style="38" customWidth="1"/>
    <col min="89" max="92" width="6.7109375" style="38" customWidth="1"/>
    <col min="93" max="94" width="3.7109375" style="38" customWidth="1"/>
    <col min="95" max="96" width="6.7109375" style="38" customWidth="1"/>
    <col min="97" max="98" width="9.7109375" style="38" customWidth="1"/>
    <col min="99" max="103" width="3.7109375" style="38" customWidth="1"/>
    <col min="104" max="104" width="6.7109375" style="124" customWidth="1"/>
    <col min="105" max="109" width="6.7109375" style="38" customWidth="1"/>
    <col min="110" max="110" width="3.7109375" style="124" customWidth="1"/>
    <col min="111" max="111" width="6.7109375" style="38" customWidth="1"/>
    <col min="112" max="114" width="3.7109375" style="38" customWidth="1"/>
    <col min="115" max="117" width="6.7109375" style="38" customWidth="1"/>
    <col min="118" max="118" width="3.7109375" style="38" customWidth="1"/>
    <col min="119" max="119" width="6.7109375" style="38" customWidth="1"/>
    <col min="120" max="120" width="3.7109375" style="124" customWidth="1"/>
    <col min="121" max="122" width="3.7109375" style="38" customWidth="1"/>
    <col min="123" max="131" width="6.7109375" style="38" customWidth="1"/>
    <col min="132" max="132" width="3.7109375" style="38" customWidth="1"/>
    <col min="133" max="133" width="6.7109375" style="38" customWidth="1"/>
    <col min="134" max="134" width="9.7109375" style="38" customWidth="1"/>
    <col min="135" max="141" width="6.7109375" style="38" customWidth="1"/>
    <col min="142" max="142" width="3.7109375" style="38" customWidth="1"/>
    <col min="143" max="143" width="9.7109375" style="38" customWidth="1"/>
    <col min="144" max="144" width="3.7109375" style="38" customWidth="1"/>
    <col min="145" max="146" width="6.7109375" style="124" customWidth="1"/>
    <col min="147" max="147" width="3.7109375" style="124" customWidth="1"/>
    <col min="148" max="148" width="6.7109375" style="124" customWidth="1"/>
    <col min="149" max="153" width="3.7109375" style="124" customWidth="1"/>
    <col min="154" max="154" width="6.7109375" style="124" customWidth="1"/>
    <col min="155" max="155" width="3.7109375" style="38" customWidth="1"/>
    <col min="156" max="156" width="3.7109375" style="124" customWidth="1"/>
    <col min="157" max="157" width="6.7109375" style="124" customWidth="1"/>
    <col min="158" max="158" width="6.7109375" style="38" customWidth="1"/>
    <col min="159" max="159" width="3.7109375" style="38" customWidth="1"/>
    <col min="160" max="160" width="9.7109375" style="124" customWidth="1"/>
    <col min="161" max="161" width="6.7109375" style="124" customWidth="1"/>
    <col min="162" max="162" width="6.7109375" style="38" customWidth="1"/>
    <col min="163" max="164" width="3.7109375" style="124" customWidth="1"/>
    <col min="165" max="165" width="6.7109375" style="124" customWidth="1"/>
    <col min="166" max="166" width="6.7109375" style="38" customWidth="1"/>
    <col min="167" max="169" width="3.7109375" style="124" customWidth="1"/>
    <col min="170" max="171" width="3.7109375" style="38" customWidth="1"/>
    <col min="172" max="172" width="6.7109375" style="124" customWidth="1"/>
    <col min="173" max="173" width="3.7109375" style="124" customWidth="1"/>
    <col min="174" max="175" width="3.7109375" style="38" customWidth="1"/>
    <col min="176" max="177" width="6.7109375" style="38" customWidth="1"/>
    <col min="178" max="178" width="9.7109375" style="38" customWidth="1"/>
    <col min="179" max="179" width="6.7109375" style="38" customWidth="1"/>
    <col min="180" max="180" width="3.7109375" style="38" customWidth="1"/>
    <col min="181" max="182" width="3.7109375" style="124" customWidth="1"/>
    <col min="183" max="193" width="3.7109375" style="38" customWidth="1"/>
    <col min="194" max="194" width="3.7109375" style="124" customWidth="1"/>
    <col min="195" max="197" width="3.7109375" style="38" customWidth="1"/>
    <col min="198" max="201" width="3.7109375" style="124" customWidth="1"/>
    <col min="202" max="211" width="3.7109375" style="38" customWidth="1"/>
    <col min="212" max="213" width="6.7109375" style="124" customWidth="1"/>
    <col min="214" max="214" width="3.7109375" style="124" customWidth="1"/>
    <col min="215" max="216" width="6.7109375" style="124" customWidth="1"/>
    <col min="217" max="218" width="3.7109375" style="124" customWidth="1"/>
    <col min="219" max="221" width="3.7109375" style="38" customWidth="1"/>
    <col min="222" max="222" width="6.7109375" style="38" customWidth="1"/>
    <col min="223" max="224" width="3.7109375" style="38" customWidth="1"/>
    <col min="225" max="226" width="6.7109375" style="38" customWidth="1"/>
    <col min="227" max="227" width="3.7109375" style="38" customWidth="1"/>
    <col min="228" max="228" width="6.7109375" style="38" customWidth="1"/>
    <col min="229" max="229" width="3.7109375" style="38" customWidth="1"/>
    <col min="230" max="230" width="6.7109375" style="38" customWidth="1"/>
    <col min="231" max="232" width="3.7109375" style="38" customWidth="1"/>
    <col min="233" max="234" width="6.7109375" style="38" customWidth="1"/>
    <col min="235" max="235" width="3.7109375" style="38" customWidth="1"/>
    <col min="236" max="236" width="6.7109375" style="38" customWidth="1"/>
    <col min="237" max="239" width="3.7109375" style="38" customWidth="1"/>
    <col min="240" max="240" width="6.7109375" style="38" customWidth="1"/>
    <col min="241" max="243" width="3.7109375" style="38" customWidth="1"/>
    <col min="244" max="244" width="9.7109375" style="38" customWidth="1"/>
    <col min="245" max="245" width="3.7109375" style="38" customWidth="1"/>
    <col min="246" max="246" width="6.7109375" style="124" customWidth="1"/>
    <col min="247" max="247" width="3.7109375" style="38" customWidth="1"/>
    <col min="248" max="249" width="3.7109375" style="124" customWidth="1"/>
    <col min="250" max="250" width="9.7109375" style="38" customWidth="1"/>
    <col min="251" max="252" width="3.7109375" style="38" customWidth="1"/>
    <col min="253" max="253" width="3.7109375" style="124" customWidth="1"/>
    <col min="254" max="254" width="6.7109375" style="38" customWidth="1"/>
    <col min="255" max="255" width="6.7109375" style="124" customWidth="1"/>
    <col min="256" max="256" width="3.7109375" style="38" customWidth="1"/>
    <col min="257" max="259" width="6.7109375" style="38" customWidth="1"/>
    <col min="260" max="262" width="3.7109375" style="38" customWidth="1"/>
    <col min="263" max="263" width="6.7109375" style="38" customWidth="1"/>
    <col min="264" max="266" width="3.7109375" style="38" customWidth="1"/>
    <col min="267" max="271" width="6.7109375" style="38" customWidth="1"/>
    <col min="272" max="272" width="3.7109375" style="38" customWidth="1"/>
    <col min="273" max="273" width="6.7109375" style="38" customWidth="1"/>
    <col min="274" max="275" width="3.7109375" style="38" customWidth="1"/>
    <col min="276" max="276" width="6.7109375" style="38" customWidth="1"/>
    <col min="277" max="277" width="3.7109375" style="38" customWidth="1"/>
    <col min="278" max="278" width="6.7109375" style="38" customWidth="1"/>
    <col min="279" max="279" width="3.7109375" style="38" customWidth="1"/>
    <col min="280" max="280" width="3.7109375" style="124" customWidth="1"/>
    <col min="281" max="281" width="6.7109375" style="124" customWidth="1"/>
    <col min="282" max="282" width="3.7109375" style="124" customWidth="1"/>
    <col min="283" max="284" width="3.7109375" style="38" customWidth="1"/>
    <col min="285" max="286" width="3.7109375" style="124" customWidth="1"/>
    <col min="287" max="287" width="6.7109375" style="124" customWidth="1"/>
    <col min="288" max="291" width="3.7109375" style="124" customWidth="1"/>
    <col min="292" max="292" width="9.7109375" style="124" customWidth="1"/>
    <col min="293" max="293" width="6.7109375" style="124" customWidth="1"/>
    <col min="294" max="296" width="3.7109375" style="124" customWidth="1"/>
    <col min="297" max="298" width="6.7109375" style="124" customWidth="1"/>
    <col min="299" max="299" width="3.7109375" style="124" customWidth="1"/>
    <col min="300" max="302" width="6.7109375" style="124" customWidth="1"/>
    <col min="303" max="304" width="3.7109375" style="124" customWidth="1"/>
    <col min="305" max="306" width="6.7109375" style="124" customWidth="1"/>
    <col min="307" max="307" width="3.7109375" style="124" customWidth="1"/>
    <col min="308" max="308" width="6.7109375" style="124" customWidth="1"/>
    <col min="309" max="310" width="3.7109375" style="124" customWidth="1"/>
    <col min="311" max="311" width="6.7109375" style="124" customWidth="1"/>
    <col min="312" max="312" width="3.7109375" style="124" customWidth="1"/>
    <col min="313" max="314" width="6.7109375" style="124" customWidth="1"/>
    <col min="315" max="315" width="6.7109375" style="38" customWidth="1"/>
    <col min="316" max="316" width="3.7109375" style="38" customWidth="1"/>
    <col min="317" max="327" width="6.7109375" style="38" customWidth="1"/>
    <col min="328" max="330" width="3.7109375" style="38" customWidth="1"/>
    <col min="331" max="336" width="6.7109375" style="38" customWidth="1"/>
    <col min="337" max="337" width="3.7109375" style="38" customWidth="1"/>
    <col min="338" max="339" width="6.7109375" style="38" customWidth="1"/>
    <col min="340" max="343" width="9.7109375" style="38" customWidth="1"/>
    <col min="344" max="347" width="3.7109375" style="38" customWidth="1"/>
    <col min="348" max="353" width="11.42578125" style="38"/>
    <col min="354" max="364" width="11.42578125" style="81"/>
    <col min="365" max="16384" width="11.42578125" style="38"/>
  </cols>
  <sheetData>
    <row r="1" spans="1:405" ht="15" customHeight="1" x14ac:dyDescent="0.25">
      <c r="A1" s="132" t="s">
        <v>23</v>
      </c>
      <c r="B1" s="133"/>
      <c r="C1" s="2"/>
      <c r="D1" s="2"/>
      <c r="E1" s="2"/>
      <c r="F1" s="2"/>
      <c r="G1" s="2"/>
      <c r="H1" s="2"/>
      <c r="I1" s="2"/>
      <c r="J1" s="2"/>
      <c r="K1" s="134"/>
      <c r="L1" s="4" t="s">
        <v>99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4"/>
      <c r="AH1" s="4"/>
      <c r="AI1" s="6"/>
      <c r="AJ1" s="3" t="s">
        <v>302</v>
      </c>
      <c r="AK1" s="4"/>
      <c r="AL1" s="4"/>
      <c r="AM1" s="4"/>
      <c r="AN1" s="4"/>
      <c r="AO1" s="5"/>
      <c r="AP1" s="5"/>
      <c r="AQ1" s="5"/>
      <c r="AR1" s="5"/>
      <c r="AS1" s="5"/>
      <c r="AT1" s="5"/>
      <c r="AU1" s="7"/>
      <c r="AV1" s="8" t="s">
        <v>333</v>
      </c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10" t="s">
        <v>243</v>
      </c>
      <c r="CG1" s="11"/>
      <c r="CH1" s="11"/>
      <c r="CI1" s="11"/>
      <c r="CJ1" s="11"/>
      <c r="CK1" s="11"/>
      <c r="CL1" s="11"/>
      <c r="CM1" s="11"/>
      <c r="CN1" s="11"/>
      <c r="CO1" s="11"/>
      <c r="CP1" s="12"/>
      <c r="CQ1" s="12"/>
      <c r="CR1" s="12"/>
      <c r="CS1" s="12"/>
      <c r="CT1" s="12"/>
      <c r="CU1" s="12"/>
      <c r="CV1" s="12"/>
      <c r="CW1" s="12"/>
      <c r="CX1" s="12"/>
      <c r="CY1" s="13"/>
      <c r="CZ1" s="14" t="s">
        <v>455</v>
      </c>
      <c r="DA1" s="14"/>
      <c r="DB1" s="14"/>
      <c r="DC1" s="14"/>
      <c r="DD1" s="14"/>
      <c r="DE1" s="14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4"/>
      <c r="DQ1" s="14"/>
      <c r="DR1" s="14"/>
      <c r="DS1" s="14"/>
      <c r="DT1" s="14"/>
      <c r="DU1" s="14"/>
      <c r="DV1" s="16"/>
      <c r="DW1" s="17" t="s">
        <v>506</v>
      </c>
      <c r="DX1" s="17"/>
      <c r="DY1" s="18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20" t="s">
        <v>94</v>
      </c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2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3"/>
      <c r="IK1" s="24" t="s">
        <v>276</v>
      </c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5"/>
      <c r="JU1" s="25"/>
      <c r="JV1" s="25"/>
      <c r="JW1" s="25"/>
      <c r="JX1" s="25"/>
      <c r="JY1" s="27" t="s">
        <v>283</v>
      </c>
      <c r="JZ1" s="28"/>
      <c r="KA1" s="28"/>
      <c r="KB1" s="29"/>
      <c r="KC1" s="30"/>
      <c r="KD1" s="30"/>
      <c r="KE1" s="30"/>
      <c r="KF1" s="30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2" t="s">
        <v>300</v>
      </c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4"/>
      <c r="MC1" s="35"/>
      <c r="MD1" s="35"/>
      <c r="ME1" s="34"/>
      <c r="MF1" s="34"/>
      <c r="MG1" s="34"/>
      <c r="MH1" s="34"/>
      <c r="MI1" s="36"/>
      <c r="MJ1" s="125"/>
      <c r="MK1" s="125"/>
      <c r="ML1" s="125"/>
      <c r="MM1" s="125"/>
      <c r="MN1" s="125"/>
      <c r="MO1" s="125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125"/>
      <c r="NB1" s="125"/>
      <c r="NC1" s="125"/>
      <c r="ND1" s="125"/>
      <c r="NE1" s="125"/>
      <c r="NF1" s="125"/>
      <c r="NG1" s="125"/>
      <c r="NH1" s="125"/>
      <c r="NI1" s="125"/>
      <c r="NJ1" s="125"/>
      <c r="NK1" s="125"/>
      <c r="NL1" s="125"/>
      <c r="NM1" s="125"/>
      <c r="NN1" s="125"/>
      <c r="NO1" s="125"/>
      <c r="NP1" s="125"/>
      <c r="NQ1" s="125"/>
      <c r="NR1" s="125"/>
      <c r="NS1" s="125"/>
      <c r="NT1" s="125"/>
      <c r="NU1" s="125"/>
      <c r="NV1" s="125"/>
      <c r="NW1" s="125"/>
      <c r="NX1" s="125"/>
      <c r="NY1" s="125"/>
      <c r="NZ1" s="125"/>
      <c r="OA1" s="125"/>
      <c r="OB1" s="125"/>
      <c r="OC1" s="125"/>
      <c r="OD1" s="125"/>
      <c r="OE1" s="125"/>
      <c r="OF1" s="125"/>
      <c r="OG1" s="125"/>
      <c r="OH1" s="125"/>
      <c r="OI1" s="125"/>
      <c r="OJ1" s="125"/>
      <c r="OK1" s="125"/>
      <c r="OL1" s="125"/>
      <c r="OM1" s="125"/>
      <c r="ON1" s="125"/>
      <c r="OO1" s="125"/>
    </row>
    <row r="2" spans="1:405" x14ac:dyDescent="0.25">
      <c r="A2" s="129" t="s">
        <v>565</v>
      </c>
      <c r="B2" s="129"/>
      <c r="C2" s="42"/>
      <c r="D2" s="42"/>
      <c r="E2" s="42"/>
      <c r="F2" s="42"/>
      <c r="G2" s="42"/>
      <c r="H2" s="42"/>
      <c r="I2" s="42"/>
      <c r="J2" s="42"/>
      <c r="K2" s="135"/>
      <c r="L2" s="4" t="s">
        <v>304</v>
      </c>
      <c r="M2" s="6"/>
      <c r="N2" s="43" t="s">
        <v>239</v>
      </c>
      <c r="O2" s="44"/>
      <c r="P2" s="44"/>
      <c r="Q2" s="45"/>
      <c r="R2" s="3" t="s">
        <v>305</v>
      </c>
      <c r="S2" s="4"/>
      <c r="T2" s="4"/>
      <c r="U2" s="4"/>
      <c r="V2" s="4"/>
      <c r="W2" s="4"/>
      <c r="X2" s="43" t="s">
        <v>267</v>
      </c>
      <c r="Y2" s="44"/>
      <c r="Z2" s="44"/>
      <c r="AA2" s="44"/>
      <c r="AB2" s="44"/>
      <c r="AC2" s="44"/>
      <c r="AD2" s="44"/>
      <c r="AE2" s="44"/>
      <c r="AF2" s="45"/>
      <c r="AG2" s="4" t="s">
        <v>241</v>
      </c>
      <c r="AH2" s="4"/>
      <c r="AI2" s="6"/>
      <c r="AJ2" s="43" t="s">
        <v>238</v>
      </c>
      <c r="AK2" s="44"/>
      <c r="AL2" s="44"/>
      <c r="AM2" s="44"/>
      <c r="AN2" s="44"/>
      <c r="AO2" s="3" t="s">
        <v>524</v>
      </c>
      <c r="AP2" s="4"/>
      <c r="AQ2" s="4"/>
      <c r="AR2" s="4"/>
      <c r="AS2" s="4"/>
      <c r="AT2" s="4"/>
      <c r="AU2" s="6"/>
      <c r="AV2" s="8" t="s">
        <v>258</v>
      </c>
      <c r="AW2" s="9"/>
      <c r="AX2" s="9"/>
      <c r="AY2" s="9"/>
      <c r="AZ2" s="9"/>
      <c r="BA2" s="9"/>
      <c r="BB2" s="9"/>
      <c r="BC2" s="9"/>
      <c r="BD2" s="9"/>
      <c r="BE2" s="9"/>
      <c r="BF2" s="46"/>
      <c r="BG2" s="47" t="s">
        <v>278</v>
      </c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9"/>
      <c r="BV2" s="8" t="s">
        <v>551</v>
      </c>
      <c r="BW2" s="9"/>
      <c r="BX2" s="9"/>
      <c r="BY2" s="9"/>
      <c r="BZ2" s="9"/>
      <c r="CA2" s="9"/>
      <c r="CB2" s="9"/>
      <c r="CC2" s="46"/>
      <c r="CD2" s="48" t="s">
        <v>552</v>
      </c>
      <c r="CE2" s="49"/>
      <c r="CF2" s="10" t="s">
        <v>13</v>
      </c>
      <c r="CG2" s="50" t="s">
        <v>332</v>
      </c>
      <c r="CH2" s="51"/>
      <c r="CI2" s="51"/>
      <c r="CJ2" s="51"/>
      <c r="CK2" s="51"/>
      <c r="CL2" s="51"/>
      <c r="CM2" s="51"/>
      <c r="CN2" s="51"/>
      <c r="CO2" s="52"/>
      <c r="CP2" s="12" t="s">
        <v>374</v>
      </c>
      <c r="CQ2" s="12"/>
      <c r="CR2" s="12"/>
      <c r="CS2" s="12"/>
      <c r="CT2" s="12"/>
      <c r="CU2" s="12"/>
      <c r="CV2" s="12"/>
      <c r="CW2" s="12"/>
      <c r="CX2" s="12"/>
      <c r="CY2" s="13"/>
      <c r="CZ2" s="53" t="s">
        <v>497</v>
      </c>
      <c r="DA2" s="14"/>
      <c r="DB2" s="16"/>
      <c r="DC2" s="54" t="s">
        <v>498</v>
      </c>
      <c r="DD2" s="54"/>
      <c r="DE2" s="54"/>
      <c r="DF2" s="53" t="s">
        <v>13</v>
      </c>
      <c r="DG2" s="14"/>
      <c r="DH2" s="14"/>
      <c r="DI2" s="14"/>
      <c r="DJ2" s="14"/>
      <c r="DK2" s="14"/>
      <c r="DL2" s="14"/>
      <c r="DM2" s="14"/>
      <c r="DN2" s="14"/>
      <c r="DO2" s="16"/>
      <c r="DP2" s="54" t="s">
        <v>242</v>
      </c>
      <c r="DQ2" s="54"/>
      <c r="DR2" s="54"/>
      <c r="DS2" s="54"/>
      <c r="DT2" s="54"/>
      <c r="DU2" s="54"/>
      <c r="DV2" s="54"/>
      <c r="DW2" s="18" t="s">
        <v>508</v>
      </c>
      <c r="DX2" s="55"/>
      <c r="DY2" s="56" t="s">
        <v>511</v>
      </c>
      <c r="DZ2" s="57"/>
      <c r="EA2" s="57"/>
      <c r="EB2" s="58"/>
      <c r="EC2" s="59" t="s">
        <v>510</v>
      </c>
      <c r="ED2" s="59"/>
      <c r="EE2" s="59"/>
      <c r="EF2" s="59"/>
      <c r="EG2" s="59"/>
      <c r="EH2" s="59"/>
      <c r="EI2" s="59"/>
      <c r="EJ2" s="59"/>
      <c r="EK2" s="19"/>
      <c r="EL2" s="20" t="s">
        <v>281</v>
      </c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3"/>
      <c r="FB2" s="60" t="s">
        <v>245</v>
      </c>
      <c r="FC2" s="60"/>
      <c r="FD2" s="60"/>
      <c r="FE2" s="60"/>
      <c r="FF2" s="60"/>
      <c r="FG2" s="60"/>
      <c r="FH2" s="60"/>
      <c r="FI2" s="60"/>
      <c r="FJ2" s="61"/>
      <c r="FK2" s="20" t="s">
        <v>244</v>
      </c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62" t="s">
        <v>280</v>
      </c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1"/>
      <c r="HC2" s="20" t="s">
        <v>123</v>
      </c>
      <c r="HD2" s="21"/>
      <c r="HE2" s="21"/>
      <c r="HF2" s="21"/>
      <c r="HG2" s="23"/>
      <c r="HH2" s="62" t="s">
        <v>446</v>
      </c>
      <c r="HI2" s="60"/>
      <c r="HJ2" s="60"/>
      <c r="HK2" s="20" t="s">
        <v>324</v>
      </c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62" t="s">
        <v>326</v>
      </c>
      <c r="HY2" s="60"/>
      <c r="HZ2" s="60"/>
      <c r="IA2" s="60"/>
      <c r="IB2" s="60"/>
      <c r="IC2" s="60"/>
      <c r="ID2" s="60"/>
      <c r="IE2" s="20" t="s">
        <v>345</v>
      </c>
      <c r="IF2" s="21"/>
      <c r="IG2" s="21"/>
      <c r="IH2" s="21"/>
      <c r="II2" s="21"/>
      <c r="IJ2" s="23"/>
      <c r="IK2" s="63" t="s">
        <v>530</v>
      </c>
      <c r="IL2" s="63"/>
      <c r="IM2" s="63"/>
      <c r="IN2" s="63"/>
      <c r="IO2" s="63"/>
      <c r="IP2" s="63"/>
      <c r="IQ2" s="64"/>
      <c r="IR2" s="65" t="s">
        <v>334</v>
      </c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24" t="s">
        <v>335</v>
      </c>
      <c r="JK2" s="25"/>
      <c r="JL2" s="25"/>
      <c r="JM2" s="25"/>
      <c r="JN2" s="25"/>
      <c r="JO2" s="25"/>
      <c r="JP2" s="25"/>
      <c r="JQ2" s="25"/>
      <c r="JR2" s="25"/>
      <c r="JS2" s="67"/>
      <c r="JT2" s="68" t="s">
        <v>423</v>
      </c>
      <c r="JU2" s="68"/>
      <c r="JV2" s="68"/>
      <c r="JW2" s="69"/>
      <c r="JX2" s="69"/>
      <c r="JY2" s="70" t="s">
        <v>304</v>
      </c>
      <c r="JZ2" s="29"/>
      <c r="KA2" s="71"/>
      <c r="KB2" s="72" t="s">
        <v>336</v>
      </c>
      <c r="KC2" s="72"/>
      <c r="KD2" s="72"/>
      <c r="KE2" s="72"/>
      <c r="KF2" s="73"/>
      <c r="KG2" s="70" t="s">
        <v>337</v>
      </c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74" t="s">
        <v>462</v>
      </c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75" t="s">
        <v>463</v>
      </c>
      <c r="LR2" s="76"/>
      <c r="LS2" s="76"/>
      <c r="LT2" s="77"/>
      <c r="LU2" s="78" t="s">
        <v>563</v>
      </c>
      <c r="LV2" s="78"/>
      <c r="LW2" s="78"/>
      <c r="LX2" s="75" t="s">
        <v>549</v>
      </c>
      <c r="LY2" s="21"/>
      <c r="LZ2" s="21"/>
      <c r="MA2" s="23"/>
      <c r="MB2" s="74" t="s">
        <v>461</v>
      </c>
      <c r="MC2" s="78"/>
      <c r="MD2" s="78"/>
      <c r="ME2" s="78"/>
      <c r="MF2" s="78"/>
      <c r="MG2" s="78"/>
      <c r="MH2" s="78"/>
      <c r="MI2" s="79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125"/>
      <c r="NB2" s="125"/>
      <c r="NC2" s="125"/>
      <c r="ND2" s="125"/>
      <c r="NE2" s="125"/>
      <c r="NF2" s="125"/>
      <c r="NG2" s="125"/>
      <c r="NH2" s="125"/>
      <c r="NI2" s="125"/>
      <c r="NJ2" s="125"/>
      <c r="NK2" s="125"/>
      <c r="NL2" s="125"/>
      <c r="NM2" s="125"/>
      <c r="NN2" s="125"/>
      <c r="NO2" s="125"/>
      <c r="NP2" s="125"/>
      <c r="NQ2" s="125"/>
      <c r="NR2" s="125"/>
      <c r="NS2" s="125"/>
      <c r="NT2" s="125"/>
      <c r="NU2" s="125"/>
      <c r="NV2" s="125"/>
      <c r="NW2" s="125"/>
      <c r="NX2" s="125"/>
      <c r="NY2" s="125"/>
      <c r="NZ2" s="125"/>
      <c r="OA2" s="125"/>
      <c r="OB2" s="125"/>
      <c r="OC2" s="125"/>
      <c r="OD2" s="125"/>
      <c r="OE2" s="125"/>
      <c r="OF2" s="125"/>
      <c r="OG2" s="125"/>
      <c r="OH2" s="125"/>
      <c r="OI2" s="125"/>
      <c r="OJ2" s="125"/>
      <c r="OK2" s="125"/>
      <c r="OL2" s="125"/>
      <c r="OM2" s="125"/>
      <c r="ON2" s="125"/>
      <c r="OO2" s="125"/>
    </row>
    <row r="3" spans="1:405" ht="15" customHeight="1" x14ac:dyDescent="0.25">
      <c r="A3" s="136"/>
      <c r="B3" s="130"/>
      <c r="C3" s="42"/>
      <c r="D3" s="42"/>
      <c r="E3" s="42"/>
      <c r="F3" s="42"/>
      <c r="G3" s="42"/>
      <c r="H3" s="42"/>
      <c r="I3" s="42"/>
      <c r="J3" s="42"/>
      <c r="K3" s="135"/>
      <c r="L3" s="206" t="s">
        <v>166</v>
      </c>
      <c r="M3" s="150" t="s">
        <v>15</v>
      </c>
      <c r="N3" s="166" t="s">
        <v>213</v>
      </c>
      <c r="O3" s="166" t="s">
        <v>215</v>
      </c>
      <c r="P3" s="166" t="s">
        <v>500</v>
      </c>
      <c r="Q3" s="166" t="s">
        <v>214</v>
      </c>
      <c r="R3" s="150" t="s">
        <v>233</v>
      </c>
      <c r="S3" s="150" t="s">
        <v>260</v>
      </c>
      <c r="T3" s="150" t="s">
        <v>234</v>
      </c>
      <c r="U3" s="150" t="s">
        <v>250</v>
      </c>
      <c r="V3" s="150" t="s">
        <v>442</v>
      </c>
      <c r="W3" s="150" t="s">
        <v>274</v>
      </c>
      <c r="X3" s="166" t="s">
        <v>232</v>
      </c>
      <c r="Y3" s="166" t="s">
        <v>240</v>
      </c>
      <c r="Z3" s="166" t="s">
        <v>259</v>
      </c>
      <c r="AA3" s="166" t="s">
        <v>262</v>
      </c>
      <c r="AB3" s="166" t="s">
        <v>263</v>
      </c>
      <c r="AC3" s="166" t="s">
        <v>261</v>
      </c>
      <c r="AD3" s="166" t="s">
        <v>268</v>
      </c>
      <c r="AE3" s="166" t="s">
        <v>269</v>
      </c>
      <c r="AF3" s="166" t="s">
        <v>520</v>
      </c>
      <c r="AG3" s="150" t="s">
        <v>29</v>
      </c>
      <c r="AH3" s="150" t="s">
        <v>161</v>
      </c>
      <c r="AI3" s="150" t="s">
        <v>163</v>
      </c>
      <c r="AJ3" s="166" t="s">
        <v>303</v>
      </c>
      <c r="AK3" s="166" t="s">
        <v>188</v>
      </c>
      <c r="AL3" s="166" t="s">
        <v>189</v>
      </c>
      <c r="AM3" s="166" t="s">
        <v>299</v>
      </c>
      <c r="AN3" s="166" t="s">
        <v>503</v>
      </c>
      <c r="AO3" s="150" t="s">
        <v>450</v>
      </c>
      <c r="AP3" s="150" t="s">
        <v>451</v>
      </c>
      <c r="AQ3" s="150" t="s">
        <v>525</v>
      </c>
      <c r="AR3" s="150" t="s">
        <v>449</v>
      </c>
      <c r="AS3" s="150" t="s">
        <v>277</v>
      </c>
      <c r="AT3" s="150" t="s">
        <v>330</v>
      </c>
      <c r="AU3" s="150" t="s">
        <v>331</v>
      </c>
      <c r="AV3" s="180" t="s">
        <v>257</v>
      </c>
      <c r="AW3" s="180" t="s">
        <v>176</v>
      </c>
      <c r="AX3" s="180" t="s">
        <v>177</v>
      </c>
      <c r="AY3" s="153" t="s">
        <v>95</v>
      </c>
      <c r="AZ3" s="153" t="s">
        <v>110</v>
      </c>
      <c r="BA3" s="153" t="s">
        <v>147</v>
      </c>
      <c r="BB3" s="153" t="s">
        <v>273</v>
      </c>
      <c r="BC3" s="153" t="s">
        <v>264</v>
      </c>
      <c r="BD3" s="153" t="s">
        <v>113</v>
      </c>
      <c r="BE3" s="153" t="s">
        <v>125</v>
      </c>
      <c r="BF3" s="153" t="s">
        <v>126</v>
      </c>
      <c r="BG3" s="152" t="s">
        <v>115</v>
      </c>
      <c r="BH3" s="152" t="s">
        <v>92</v>
      </c>
      <c r="BI3" s="152" t="s">
        <v>512</v>
      </c>
      <c r="BJ3" s="152" t="s">
        <v>42</v>
      </c>
      <c r="BK3" s="152" t="s">
        <v>180</v>
      </c>
      <c r="BL3" s="152" t="s">
        <v>118</v>
      </c>
      <c r="BM3" s="152" t="s">
        <v>121</v>
      </c>
      <c r="BN3" s="152" t="s">
        <v>119</v>
      </c>
      <c r="BO3" s="152" t="s">
        <v>170</v>
      </c>
      <c r="BP3" s="152" t="s">
        <v>127</v>
      </c>
      <c r="BQ3" s="152" t="s">
        <v>171</v>
      </c>
      <c r="BR3" s="152" t="s">
        <v>172</v>
      </c>
      <c r="BS3" s="152" t="s">
        <v>368</v>
      </c>
      <c r="BT3" s="152" t="s">
        <v>369</v>
      </c>
      <c r="BU3" s="152" t="s">
        <v>120</v>
      </c>
      <c r="BV3" s="153" t="s">
        <v>272</v>
      </c>
      <c r="BW3" s="153" t="s">
        <v>301</v>
      </c>
      <c r="BX3" s="153" t="s">
        <v>309</v>
      </c>
      <c r="BY3" s="153" t="s">
        <v>367</v>
      </c>
      <c r="BZ3" s="153" t="s">
        <v>557</v>
      </c>
      <c r="CA3" s="153" t="s">
        <v>322</v>
      </c>
      <c r="CB3" s="153" t="s">
        <v>323</v>
      </c>
      <c r="CC3" s="153" t="s">
        <v>366</v>
      </c>
      <c r="CD3" s="152" t="s">
        <v>553</v>
      </c>
      <c r="CE3" s="152" t="s">
        <v>554</v>
      </c>
      <c r="CF3" s="178" t="s">
        <v>181</v>
      </c>
      <c r="CG3" s="176" t="s">
        <v>186</v>
      </c>
      <c r="CH3" s="176" t="s">
        <v>467</v>
      </c>
      <c r="CI3" s="176" t="s">
        <v>199</v>
      </c>
      <c r="CJ3" s="176" t="s">
        <v>201</v>
      </c>
      <c r="CK3" s="176" t="s">
        <v>255</v>
      </c>
      <c r="CL3" s="176" t="s">
        <v>256</v>
      </c>
      <c r="CM3" s="176" t="s">
        <v>375</v>
      </c>
      <c r="CN3" s="176" t="s">
        <v>373</v>
      </c>
      <c r="CO3" s="176" t="s">
        <v>468</v>
      </c>
      <c r="CP3" s="178" t="s">
        <v>422</v>
      </c>
      <c r="CQ3" s="178" t="s">
        <v>514</v>
      </c>
      <c r="CR3" s="178" t="s">
        <v>515</v>
      </c>
      <c r="CS3" s="178" t="s">
        <v>517</v>
      </c>
      <c r="CT3" s="178" t="s">
        <v>516</v>
      </c>
      <c r="CU3" s="178" t="s">
        <v>421</v>
      </c>
      <c r="CV3" s="178" t="s">
        <v>208</v>
      </c>
      <c r="CW3" s="178" t="s">
        <v>209</v>
      </c>
      <c r="CX3" s="178" t="s">
        <v>207</v>
      </c>
      <c r="CY3" s="178" t="s">
        <v>206</v>
      </c>
      <c r="CZ3" s="162" t="s">
        <v>456</v>
      </c>
      <c r="DA3" s="162" t="s">
        <v>496</v>
      </c>
      <c r="DB3" s="162" t="s">
        <v>499</v>
      </c>
      <c r="DC3" s="181" t="s">
        <v>457</v>
      </c>
      <c r="DD3" s="181" t="s">
        <v>458</v>
      </c>
      <c r="DE3" s="181" t="s">
        <v>459</v>
      </c>
      <c r="DF3" s="162" t="s">
        <v>179</v>
      </c>
      <c r="DG3" s="162" t="s">
        <v>271</v>
      </c>
      <c r="DH3" s="162" t="s">
        <v>220</v>
      </c>
      <c r="DI3" s="162" t="s">
        <v>318</v>
      </c>
      <c r="DJ3" s="162" t="s">
        <v>221</v>
      </c>
      <c r="DK3" s="162" t="s">
        <v>559</v>
      </c>
      <c r="DL3" s="194" t="s">
        <v>513</v>
      </c>
      <c r="DM3" s="162" t="s">
        <v>556</v>
      </c>
      <c r="DN3" s="162" t="s">
        <v>555</v>
      </c>
      <c r="DO3" s="162" t="s">
        <v>504</v>
      </c>
      <c r="DP3" s="181" t="s">
        <v>116</v>
      </c>
      <c r="DQ3" s="181" t="s">
        <v>114</v>
      </c>
      <c r="DR3" s="181" t="s">
        <v>160</v>
      </c>
      <c r="DS3" s="181" t="s">
        <v>464</v>
      </c>
      <c r="DT3" s="181" t="s">
        <v>465</v>
      </c>
      <c r="DU3" s="181" t="s">
        <v>471</v>
      </c>
      <c r="DV3" s="181" t="s">
        <v>235</v>
      </c>
      <c r="DW3" s="161" t="s">
        <v>509</v>
      </c>
      <c r="DX3" s="161" t="s">
        <v>564</v>
      </c>
      <c r="DY3" s="196" t="s">
        <v>195</v>
      </c>
      <c r="DZ3" s="196" t="s">
        <v>196</v>
      </c>
      <c r="EA3" s="196" t="s">
        <v>197</v>
      </c>
      <c r="EB3" s="196" t="s">
        <v>251</v>
      </c>
      <c r="EC3" s="197" t="s">
        <v>200</v>
      </c>
      <c r="ED3" s="159" t="s">
        <v>558</v>
      </c>
      <c r="EE3" s="159" t="s">
        <v>521</v>
      </c>
      <c r="EF3" s="197" t="s">
        <v>522</v>
      </c>
      <c r="EG3" s="197" t="s">
        <v>523</v>
      </c>
      <c r="EH3" s="159" t="s">
        <v>526</v>
      </c>
      <c r="EI3" s="159" t="s">
        <v>162</v>
      </c>
      <c r="EJ3" s="197" t="s">
        <v>275</v>
      </c>
      <c r="EK3" s="197" t="s">
        <v>353</v>
      </c>
      <c r="EL3" s="168" t="s">
        <v>266</v>
      </c>
      <c r="EM3" s="198" t="s">
        <v>279</v>
      </c>
      <c r="EN3" s="168" t="s">
        <v>100</v>
      </c>
      <c r="EO3" s="168" t="s">
        <v>270</v>
      </c>
      <c r="EP3" s="201" t="s">
        <v>249</v>
      </c>
      <c r="EQ3" s="201" t="s">
        <v>21</v>
      </c>
      <c r="ER3" s="168" t="s">
        <v>178</v>
      </c>
      <c r="ES3" s="198" t="s">
        <v>184</v>
      </c>
      <c r="ET3" s="198" t="s">
        <v>431</v>
      </c>
      <c r="EU3" s="168" t="s">
        <v>168</v>
      </c>
      <c r="EV3" s="168" t="s">
        <v>428</v>
      </c>
      <c r="EW3" s="168" t="s">
        <v>437</v>
      </c>
      <c r="EX3" s="168" t="s">
        <v>174</v>
      </c>
      <c r="EY3" s="168" t="s">
        <v>104</v>
      </c>
      <c r="EZ3" s="168" t="s">
        <v>173</v>
      </c>
      <c r="FA3" s="168" t="s">
        <v>443</v>
      </c>
      <c r="FB3" s="171" t="s">
        <v>96</v>
      </c>
      <c r="FC3" s="171" t="s">
        <v>124</v>
      </c>
      <c r="FD3" s="171" t="s">
        <v>349</v>
      </c>
      <c r="FE3" s="171" t="s">
        <v>167</v>
      </c>
      <c r="FF3" s="171" t="s">
        <v>117</v>
      </c>
      <c r="FG3" s="171" t="s">
        <v>16</v>
      </c>
      <c r="FH3" s="171" t="s">
        <v>108</v>
      </c>
      <c r="FI3" s="171" t="s">
        <v>448</v>
      </c>
      <c r="FJ3" s="171" t="s">
        <v>202</v>
      </c>
      <c r="FK3" s="169" t="s">
        <v>40</v>
      </c>
      <c r="FL3" s="169" t="s">
        <v>105</v>
      </c>
      <c r="FM3" s="169" t="s">
        <v>432</v>
      </c>
      <c r="FN3" s="169" t="s">
        <v>230</v>
      </c>
      <c r="FO3" s="169" t="s">
        <v>441</v>
      </c>
      <c r="FP3" s="169" t="s">
        <v>237</v>
      </c>
      <c r="FQ3" s="169" t="s">
        <v>236</v>
      </c>
      <c r="FR3" s="169" t="s">
        <v>192</v>
      </c>
      <c r="FS3" s="169" t="s">
        <v>193</v>
      </c>
      <c r="FT3" s="169" t="s">
        <v>194</v>
      </c>
      <c r="FU3" s="169" t="s">
        <v>282</v>
      </c>
      <c r="FV3" s="169" t="s">
        <v>246</v>
      </c>
      <c r="FW3" s="169" t="s">
        <v>229</v>
      </c>
      <c r="FX3" s="170" t="s">
        <v>222</v>
      </c>
      <c r="FY3" s="170" t="s">
        <v>190</v>
      </c>
      <c r="FZ3" s="170" t="s">
        <v>191</v>
      </c>
      <c r="GA3" s="170" t="s">
        <v>223</v>
      </c>
      <c r="GB3" s="170" t="s">
        <v>224</v>
      </c>
      <c r="GC3" s="170" t="s">
        <v>225</v>
      </c>
      <c r="GD3" s="170" t="s">
        <v>98</v>
      </c>
      <c r="GE3" s="170" t="s">
        <v>226</v>
      </c>
      <c r="GF3" s="170" t="s">
        <v>430</v>
      </c>
      <c r="GG3" s="170" t="s">
        <v>228</v>
      </c>
      <c r="GH3" s="170" t="s">
        <v>231</v>
      </c>
      <c r="GI3" s="170" t="s">
        <v>101</v>
      </c>
      <c r="GJ3" s="170" t="s">
        <v>102</v>
      </c>
      <c r="GK3" s="170" t="s">
        <v>103</v>
      </c>
      <c r="GL3" s="170" t="s">
        <v>109</v>
      </c>
      <c r="GM3" s="170" t="s">
        <v>198</v>
      </c>
      <c r="GN3" s="170" t="s">
        <v>227</v>
      </c>
      <c r="GO3" s="170" t="s">
        <v>308</v>
      </c>
      <c r="GP3" s="170" t="s">
        <v>19</v>
      </c>
      <c r="GQ3" s="170" t="s">
        <v>433</v>
      </c>
      <c r="GR3" s="170" t="s">
        <v>22</v>
      </c>
      <c r="GS3" s="170" t="s">
        <v>20</v>
      </c>
      <c r="GT3" s="170" t="s">
        <v>265</v>
      </c>
      <c r="GU3" s="170" t="s">
        <v>338</v>
      </c>
      <c r="GV3" s="170" t="s">
        <v>339</v>
      </c>
      <c r="GW3" s="170" t="s">
        <v>340</v>
      </c>
      <c r="GX3" s="170" t="s">
        <v>341</v>
      </c>
      <c r="GY3" s="170" t="s">
        <v>342</v>
      </c>
      <c r="GZ3" s="170" t="s">
        <v>343</v>
      </c>
      <c r="HA3" s="170" t="s">
        <v>344</v>
      </c>
      <c r="HB3" s="170" t="s">
        <v>436</v>
      </c>
      <c r="HC3" s="169" t="s">
        <v>151</v>
      </c>
      <c r="HD3" s="169" t="s">
        <v>148</v>
      </c>
      <c r="HE3" s="169" t="s">
        <v>149</v>
      </c>
      <c r="HF3" s="169" t="s">
        <v>150</v>
      </c>
      <c r="HG3" s="169" t="s">
        <v>158</v>
      </c>
      <c r="HH3" s="171" t="s">
        <v>447</v>
      </c>
      <c r="HI3" s="171" t="s">
        <v>452</v>
      </c>
      <c r="HJ3" s="171" t="s">
        <v>453</v>
      </c>
      <c r="HK3" s="198" t="s">
        <v>310</v>
      </c>
      <c r="HL3" s="168" t="s">
        <v>97</v>
      </c>
      <c r="HM3" s="168" t="s">
        <v>311</v>
      </c>
      <c r="HN3" s="168" t="s">
        <v>312</v>
      </c>
      <c r="HO3" s="168" t="s">
        <v>313</v>
      </c>
      <c r="HP3" s="168" t="s">
        <v>314</v>
      </c>
      <c r="HQ3" s="168" t="s">
        <v>315</v>
      </c>
      <c r="HR3" s="168" t="s">
        <v>316</v>
      </c>
      <c r="HS3" s="168" t="s">
        <v>319</v>
      </c>
      <c r="HT3" s="168" t="s">
        <v>317</v>
      </c>
      <c r="HU3" s="168" t="s">
        <v>320</v>
      </c>
      <c r="HV3" s="168" t="s">
        <v>321</v>
      </c>
      <c r="HW3" s="168" t="s">
        <v>325</v>
      </c>
      <c r="HX3" s="171" t="s">
        <v>454</v>
      </c>
      <c r="HY3" s="171" t="s">
        <v>328</v>
      </c>
      <c r="HZ3" s="171" t="s">
        <v>327</v>
      </c>
      <c r="IA3" s="171" t="s">
        <v>329</v>
      </c>
      <c r="IB3" s="171" t="s">
        <v>378</v>
      </c>
      <c r="IC3" s="171" t="s">
        <v>417</v>
      </c>
      <c r="ID3" s="171" t="s">
        <v>418</v>
      </c>
      <c r="IE3" s="169" t="s">
        <v>346</v>
      </c>
      <c r="IF3" s="169" t="s">
        <v>347</v>
      </c>
      <c r="IG3" s="169" t="s">
        <v>348</v>
      </c>
      <c r="IH3" s="169" t="s">
        <v>107</v>
      </c>
      <c r="II3" s="169" t="s">
        <v>377</v>
      </c>
      <c r="IJ3" s="169" t="s">
        <v>376</v>
      </c>
      <c r="IK3" s="190" t="s">
        <v>252</v>
      </c>
      <c r="IL3" s="190" t="s">
        <v>37</v>
      </c>
      <c r="IM3" s="190" t="s">
        <v>165</v>
      </c>
      <c r="IN3" s="190" t="s">
        <v>112</v>
      </c>
      <c r="IO3" s="190" t="s">
        <v>531</v>
      </c>
      <c r="IP3" s="190" t="s">
        <v>560</v>
      </c>
      <c r="IQ3" s="190" t="s">
        <v>254</v>
      </c>
      <c r="IR3" s="183" t="s">
        <v>204</v>
      </c>
      <c r="IS3" s="183" t="s">
        <v>111</v>
      </c>
      <c r="IT3" s="183" t="s">
        <v>164</v>
      </c>
      <c r="IU3" s="183" t="s">
        <v>358</v>
      </c>
      <c r="IV3" s="183" t="s">
        <v>203</v>
      </c>
      <c r="IW3" s="183" t="s">
        <v>360</v>
      </c>
      <c r="IX3" s="183" t="s">
        <v>528</v>
      </c>
      <c r="IY3" s="183" t="s">
        <v>218</v>
      </c>
      <c r="IZ3" s="183" t="s">
        <v>159</v>
      </c>
      <c r="JA3" s="183" t="s">
        <v>356</v>
      </c>
      <c r="JB3" s="183" t="s">
        <v>354</v>
      </c>
      <c r="JC3" s="183" t="s">
        <v>502</v>
      </c>
      <c r="JD3" s="183" t="s">
        <v>355</v>
      </c>
      <c r="JE3" s="183" t="s">
        <v>219</v>
      </c>
      <c r="JF3" s="183" t="s">
        <v>365</v>
      </c>
      <c r="JG3" s="183" t="s">
        <v>217</v>
      </c>
      <c r="JH3" s="183" t="s">
        <v>518</v>
      </c>
      <c r="JI3" s="183" t="s">
        <v>122</v>
      </c>
      <c r="JJ3" s="192" t="s">
        <v>470</v>
      </c>
      <c r="JK3" s="192" t="s">
        <v>247</v>
      </c>
      <c r="JL3" s="190" t="s">
        <v>519</v>
      </c>
      <c r="JM3" s="190" t="s">
        <v>527</v>
      </c>
      <c r="JN3" s="190" t="s">
        <v>361</v>
      </c>
      <c r="JO3" s="192" t="s">
        <v>362</v>
      </c>
      <c r="JP3" s="192" t="s">
        <v>363</v>
      </c>
      <c r="JQ3" s="192" t="s">
        <v>364</v>
      </c>
      <c r="JR3" s="192" t="s">
        <v>505</v>
      </c>
      <c r="JS3" s="192" t="s">
        <v>370</v>
      </c>
      <c r="JT3" s="183" t="s">
        <v>43</v>
      </c>
      <c r="JU3" s="183" t="s">
        <v>544</v>
      </c>
      <c r="JV3" s="183" t="s">
        <v>357</v>
      </c>
      <c r="JW3" s="183" t="s">
        <v>424</v>
      </c>
      <c r="JX3" s="183" t="s">
        <v>248</v>
      </c>
      <c r="JY3" s="164" t="s">
        <v>427</v>
      </c>
      <c r="JZ3" s="164" t="s">
        <v>550</v>
      </c>
      <c r="KA3" s="164" t="s">
        <v>429</v>
      </c>
      <c r="KB3" s="185" t="s">
        <v>14</v>
      </c>
      <c r="KC3" s="185" t="s">
        <v>36</v>
      </c>
      <c r="KD3" s="185" t="s">
        <v>445</v>
      </c>
      <c r="KE3" s="185" t="s">
        <v>529</v>
      </c>
      <c r="KF3" s="185" t="s">
        <v>185</v>
      </c>
      <c r="KG3" s="164" t="s">
        <v>307</v>
      </c>
      <c r="KH3" s="164" t="s">
        <v>293</v>
      </c>
      <c r="KI3" s="164" t="s">
        <v>284</v>
      </c>
      <c r="KJ3" s="164" t="s">
        <v>425</v>
      </c>
      <c r="KK3" s="164" t="s">
        <v>426</v>
      </c>
      <c r="KL3" s="164" t="s">
        <v>435</v>
      </c>
      <c r="KM3" s="164" t="s">
        <v>438</v>
      </c>
      <c r="KN3" s="164" t="s">
        <v>444</v>
      </c>
      <c r="KO3" s="164" t="s">
        <v>289</v>
      </c>
      <c r="KP3" s="164" t="s">
        <v>297</v>
      </c>
      <c r="KQ3" s="164" t="s">
        <v>288</v>
      </c>
      <c r="KR3" s="164" t="s">
        <v>287</v>
      </c>
      <c r="KS3" s="164" t="s">
        <v>298</v>
      </c>
      <c r="KT3" s="164" t="s">
        <v>295</v>
      </c>
      <c r="KU3" s="164" t="s">
        <v>292</v>
      </c>
      <c r="KV3" s="164" t="s">
        <v>285</v>
      </c>
      <c r="KW3" s="164" t="s">
        <v>291</v>
      </c>
      <c r="KX3" s="164" t="s">
        <v>294</v>
      </c>
      <c r="KY3" s="164" t="s">
        <v>296</v>
      </c>
      <c r="KZ3" s="164" t="s">
        <v>290</v>
      </c>
      <c r="LA3" s="164" t="s">
        <v>286</v>
      </c>
      <c r="LB3" s="164" t="s">
        <v>434</v>
      </c>
      <c r="LC3" s="154" t="s">
        <v>169</v>
      </c>
      <c r="LD3" s="154" t="s">
        <v>359</v>
      </c>
      <c r="LE3" s="154" t="s">
        <v>216</v>
      </c>
      <c r="LF3" s="154" t="s">
        <v>492</v>
      </c>
      <c r="LG3" s="154" t="s">
        <v>494</v>
      </c>
      <c r="LH3" s="154" t="s">
        <v>493</v>
      </c>
      <c r="LI3" s="154" t="s">
        <v>205</v>
      </c>
      <c r="LJ3" s="154" t="s">
        <v>210</v>
      </c>
      <c r="LK3" s="154" t="s">
        <v>548</v>
      </c>
      <c r="LL3" s="154" t="s">
        <v>501</v>
      </c>
      <c r="LM3" s="154" t="s">
        <v>439</v>
      </c>
      <c r="LN3" s="154" t="s">
        <v>469</v>
      </c>
      <c r="LO3" s="154" t="s">
        <v>350</v>
      </c>
      <c r="LP3" s="154" t="s">
        <v>351</v>
      </c>
      <c r="LQ3" s="187" t="s">
        <v>253</v>
      </c>
      <c r="LR3" s="187" t="s">
        <v>372</v>
      </c>
      <c r="LS3" s="187" t="s">
        <v>212</v>
      </c>
      <c r="LT3" s="187" t="s">
        <v>440</v>
      </c>
      <c r="LU3" s="154" t="s">
        <v>561</v>
      </c>
      <c r="LV3" s="154" t="s">
        <v>562</v>
      </c>
      <c r="LW3" s="154" t="s">
        <v>546</v>
      </c>
      <c r="LX3" s="187" t="s">
        <v>371</v>
      </c>
      <c r="LY3" s="187" t="s">
        <v>545</v>
      </c>
      <c r="LZ3" s="187" t="s">
        <v>547</v>
      </c>
      <c r="MA3" s="187" t="s">
        <v>352</v>
      </c>
      <c r="MB3" s="154" t="s">
        <v>211</v>
      </c>
      <c r="MC3" s="154" t="s">
        <v>183</v>
      </c>
      <c r="MD3" s="154" t="s">
        <v>175</v>
      </c>
      <c r="ME3" s="154" t="s">
        <v>187</v>
      </c>
      <c r="MF3" s="154" t="s">
        <v>419</v>
      </c>
      <c r="MG3" s="154" t="s">
        <v>420</v>
      </c>
      <c r="MH3" s="154" t="s">
        <v>495</v>
      </c>
      <c r="MI3" s="154" t="s">
        <v>460</v>
      </c>
    </row>
    <row r="4" spans="1:405" ht="15" customHeight="1" x14ac:dyDescent="0.25">
      <c r="A4" s="136"/>
      <c r="B4" s="130"/>
      <c r="C4" s="42"/>
      <c r="D4" s="42"/>
      <c r="E4" s="42"/>
      <c r="F4" s="42"/>
      <c r="G4" s="42"/>
      <c r="H4" s="42"/>
      <c r="I4" s="42"/>
      <c r="J4" s="42"/>
      <c r="K4" s="135"/>
      <c r="L4" s="207"/>
      <c r="M4" s="150"/>
      <c r="N4" s="166"/>
      <c r="O4" s="166"/>
      <c r="P4" s="166"/>
      <c r="Q4" s="166"/>
      <c r="R4" s="150"/>
      <c r="S4" s="150"/>
      <c r="T4" s="150"/>
      <c r="U4" s="150"/>
      <c r="V4" s="150"/>
      <c r="W4" s="150"/>
      <c r="X4" s="166"/>
      <c r="Y4" s="166"/>
      <c r="Z4" s="166"/>
      <c r="AA4" s="166"/>
      <c r="AB4" s="166"/>
      <c r="AC4" s="166"/>
      <c r="AD4" s="166"/>
      <c r="AE4" s="166"/>
      <c r="AF4" s="166"/>
      <c r="AG4" s="150"/>
      <c r="AH4" s="150"/>
      <c r="AI4" s="150"/>
      <c r="AJ4" s="166"/>
      <c r="AK4" s="166"/>
      <c r="AL4" s="166"/>
      <c r="AM4" s="166"/>
      <c r="AN4" s="166"/>
      <c r="AO4" s="150"/>
      <c r="AP4" s="150"/>
      <c r="AQ4" s="150"/>
      <c r="AR4" s="150"/>
      <c r="AS4" s="150"/>
      <c r="AT4" s="150"/>
      <c r="AU4" s="150"/>
      <c r="AV4" s="180"/>
      <c r="AW4" s="180"/>
      <c r="AX4" s="180"/>
      <c r="AY4" s="153"/>
      <c r="AZ4" s="153"/>
      <c r="BA4" s="153"/>
      <c r="BB4" s="153"/>
      <c r="BC4" s="153"/>
      <c r="BD4" s="153"/>
      <c r="BE4" s="153"/>
      <c r="BF4" s="153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3"/>
      <c r="BW4" s="153"/>
      <c r="BX4" s="153"/>
      <c r="BY4" s="153"/>
      <c r="BZ4" s="153"/>
      <c r="CA4" s="153"/>
      <c r="CB4" s="153"/>
      <c r="CC4" s="153"/>
      <c r="CD4" s="152"/>
      <c r="CE4" s="152"/>
      <c r="CF4" s="178"/>
      <c r="CG4" s="176"/>
      <c r="CH4" s="176"/>
      <c r="CI4" s="176"/>
      <c r="CJ4" s="176"/>
      <c r="CK4" s="176"/>
      <c r="CL4" s="176"/>
      <c r="CM4" s="176"/>
      <c r="CN4" s="176"/>
      <c r="CO4" s="176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62"/>
      <c r="DA4" s="162"/>
      <c r="DB4" s="162"/>
      <c r="DC4" s="181"/>
      <c r="DD4" s="181"/>
      <c r="DE4" s="181"/>
      <c r="DF4" s="162"/>
      <c r="DG4" s="162"/>
      <c r="DH4" s="162"/>
      <c r="DI4" s="162"/>
      <c r="DJ4" s="162"/>
      <c r="DK4" s="162"/>
      <c r="DL4" s="195"/>
      <c r="DM4" s="162"/>
      <c r="DN4" s="162"/>
      <c r="DO4" s="162"/>
      <c r="DP4" s="181"/>
      <c r="DQ4" s="181"/>
      <c r="DR4" s="181"/>
      <c r="DS4" s="181"/>
      <c r="DT4" s="181"/>
      <c r="DU4" s="181"/>
      <c r="DV4" s="181"/>
      <c r="DW4" s="197"/>
      <c r="DX4" s="197"/>
      <c r="DY4" s="196"/>
      <c r="DZ4" s="196"/>
      <c r="EA4" s="196"/>
      <c r="EB4" s="196"/>
      <c r="EC4" s="197"/>
      <c r="ED4" s="160"/>
      <c r="EE4" s="160"/>
      <c r="EF4" s="197"/>
      <c r="EG4" s="197"/>
      <c r="EH4" s="160"/>
      <c r="EI4" s="160"/>
      <c r="EJ4" s="197"/>
      <c r="EK4" s="197"/>
      <c r="EL4" s="168"/>
      <c r="EM4" s="198"/>
      <c r="EN4" s="168"/>
      <c r="EO4" s="168"/>
      <c r="EP4" s="201"/>
      <c r="EQ4" s="201"/>
      <c r="ER4" s="168"/>
      <c r="ES4" s="198"/>
      <c r="ET4" s="198"/>
      <c r="EU4" s="168"/>
      <c r="EV4" s="168"/>
      <c r="EW4" s="168"/>
      <c r="EX4" s="168"/>
      <c r="EY4" s="168"/>
      <c r="EZ4" s="168"/>
      <c r="FA4" s="168"/>
      <c r="FB4" s="171"/>
      <c r="FC4" s="171"/>
      <c r="FD4" s="171"/>
      <c r="FE4" s="171"/>
      <c r="FF4" s="171"/>
      <c r="FG4" s="171"/>
      <c r="FH4" s="171"/>
      <c r="FI4" s="171"/>
      <c r="FJ4" s="171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69"/>
      <c r="HD4" s="169"/>
      <c r="HE4" s="169"/>
      <c r="HF4" s="169"/>
      <c r="HG4" s="169"/>
      <c r="HH4" s="171"/>
      <c r="HI4" s="171"/>
      <c r="HJ4" s="171"/>
      <c r="HK4" s="19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68"/>
      <c r="HX4" s="171"/>
      <c r="HY4" s="171"/>
      <c r="HZ4" s="171"/>
      <c r="IA4" s="171"/>
      <c r="IB4" s="171"/>
      <c r="IC4" s="171"/>
      <c r="ID4" s="171"/>
      <c r="IE4" s="169"/>
      <c r="IF4" s="169"/>
      <c r="IG4" s="169"/>
      <c r="IH4" s="169"/>
      <c r="II4" s="169"/>
      <c r="IJ4" s="169"/>
      <c r="IK4" s="191"/>
      <c r="IL4" s="191"/>
      <c r="IM4" s="191"/>
      <c r="IN4" s="191"/>
      <c r="IO4" s="191"/>
      <c r="IP4" s="191"/>
      <c r="IQ4" s="191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183"/>
      <c r="JC4" s="183"/>
      <c r="JD4" s="183"/>
      <c r="JE4" s="183"/>
      <c r="JF4" s="183"/>
      <c r="JG4" s="183"/>
      <c r="JH4" s="183"/>
      <c r="JI4" s="183"/>
      <c r="JJ4" s="193"/>
      <c r="JK4" s="193"/>
      <c r="JL4" s="191"/>
      <c r="JM4" s="191"/>
      <c r="JN4" s="191"/>
      <c r="JO4" s="193"/>
      <c r="JP4" s="193"/>
      <c r="JQ4" s="193"/>
      <c r="JR4" s="193"/>
      <c r="JS4" s="193"/>
      <c r="JT4" s="183"/>
      <c r="JU4" s="183"/>
      <c r="JV4" s="183"/>
      <c r="JW4" s="183"/>
      <c r="JX4" s="183"/>
      <c r="JY4" s="164"/>
      <c r="JZ4" s="164"/>
      <c r="KA4" s="164"/>
      <c r="KB4" s="185"/>
      <c r="KC4" s="185"/>
      <c r="KD4" s="185"/>
      <c r="KE4" s="185"/>
      <c r="KF4" s="185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88"/>
      <c r="LR4" s="188"/>
      <c r="LS4" s="188"/>
      <c r="LT4" s="188"/>
      <c r="LU4" s="155"/>
      <c r="LV4" s="155"/>
      <c r="LW4" s="155"/>
      <c r="LX4" s="188"/>
      <c r="LY4" s="188"/>
      <c r="LZ4" s="188"/>
      <c r="MA4" s="188"/>
      <c r="MB4" s="155"/>
      <c r="MC4" s="155"/>
      <c r="MD4" s="155"/>
      <c r="ME4" s="155"/>
      <c r="MF4" s="155"/>
      <c r="MG4" s="155"/>
      <c r="MH4" s="155"/>
      <c r="MI4" s="155"/>
    </row>
    <row r="5" spans="1:405" ht="15" customHeight="1" x14ac:dyDescent="0.25">
      <c r="A5" s="136"/>
      <c r="B5" s="130"/>
      <c r="C5" s="42"/>
      <c r="D5" s="42"/>
      <c r="E5" s="42"/>
      <c r="F5" s="42"/>
      <c r="G5" s="42"/>
      <c r="H5" s="42"/>
      <c r="I5" s="82"/>
      <c r="J5" s="82"/>
      <c r="K5" s="137" t="s">
        <v>99</v>
      </c>
      <c r="L5" s="207"/>
      <c r="M5" s="150"/>
      <c r="N5" s="166"/>
      <c r="O5" s="166"/>
      <c r="P5" s="166"/>
      <c r="Q5" s="166"/>
      <c r="R5" s="150"/>
      <c r="S5" s="150"/>
      <c r="T5" s="150"/>
      <c r="U5" s="150"/>
      <c r="V5" s="150"/>
      <c r="W5" s="150"/>
      <c r="X5" s="166"/>
      <c r="Y5" s="166"/>
      <c r="Z5" s="166"/>
      <c r="AA5" s="166"/>
      <c r="AB5" s="166"/>
      <c r="AC5" s="166"/>
      <c r="AD5" s="166"/>
      <c r="AE5" s="166"/>
      <c r="AF5" s="166"/>
      <c r="AG5" s="150"/>
      <c r="AH5" s="150"/>
      <c r="AI5" s="150"/>
      <c r="AJ5" s="166"/>
      <c r="AK5" s="166"/>
      <c r="AL5" s="166"/>
      <c r="AM5" s="166"/>
      <c r="AN5" s="166"/>
      <c r="AO5" s="150"/>
      <c r="AP5" s="150"/>
      <c r="AQ5" s="150"/>
      <c r="AR5" s="150"/>
      <c r="AS5" s="150"/>
      <c r="AT5" s="150"/>
      <c r="AU5" s="150"/>
      <c r="AV5" s="180"/>
      <c r="AW5" s="180"/>
      <c r="AX5" s="180"/>
      <c r="AY5" s="153"/>
      <c r="AZ5" s="153"/>
      <c r="BA5" s="153"/>
      <c r="BB5" s="153"/>
      <c r="BC5" s="153"/>
      <c r="BD5" s="153"/>
      <c r="BE5" s="153"/>
      <c r="BF5" s="153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3"/>
      <c r="BW5" s="153"/>
      <c r="BX5" s="153"/>
      <c r="BY5" s="153"/>
      <c r="BZ5" s="153"/>
      <c r="CA5" s="153"/>
      <c r="CB5" s="153"/>
      <c r="CC5" s="153"/>
      <c r="CD5" s="152"/>
      <c r="CE5" s="152"/>
      <c r="CF5" s="178"/>
      <c r="CG5" s="176"/>
      <c r="CH5" s="176"/>
      <c r="CI5" s="176"/>
      <c r="CJ5" s="176"/>
      <c r="CK5" s="176"/>
      <c r="CL5" s="176"/>
      <c r="CM5" s="176"/>
      <c r="CN5" s="176"/>
      <c r="CO5" s="176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62"/>
      <c r="DA5" s="162"/>
      <c r="DB5" s="162"/>
      <c r="DC5" s="181"/>
      <c r="DD5" s="181"/>
      <c r="DE5" s="181"/>
      <c r="DF5" s="162"/>
      <c r="DG5" s="162"/>
      <c r="DH5" s="162"/>
      <c r="DI5" s="162"/>
      <c r="DJ5" s="162"/>
      <c r="DK5" s="162"/>
      <c r="DL5" s="195"/>
      <c r="DM5" s="162"/>
      <c r="DN5" s="162"/>
      <c r="DO5" s="162"/>
      <c r="DP5" s="181"/>
      <c r="DQ5" s="181"/>
      <c r="DR5" s="181"/>
      <c r="DS5" s="181"/>
      <c r="DT5" s="181"/>
      <c r="DU5" s="181"/>
      <c r="DV5" s="181"/>
      <c r="DW5" s="197"/>
      <c r="DX5" s="197"/>
      <c r="DY5" s="196"/>
      <c r="DZ5" s="196"/>
      <c r="EA5" s="196"/>
      <c r="EB5" s="196"/>
      <c r="EC5" s="197"/>
      <c r="ED5" s="160"/>
      <c r="EE5" s="160"/>
      <c r="EF5" s="197"/>
      <c r="EG5" s="197"/>
      <c r="EH5" s="160"/>
      <c r="EI5" s="160"/>
      <c r="EJ5" s="197"/>
      <c r="EK5" s="197"/>
      <c r="EL5" s="168"/>
      <c r="EM5" s="198"/>
      <c r="EN5" s="168"/>
      <c r="EO5" s="168"/>
      <c r="EP5" s="201"/>
      <c r="EQ5" s="201"/>
      <c r="ER5" s="168"/>
      <c r="ES5" s="198"/>
      <c r="ET5" s="198"/>
      <c r="EU5" s="168"/>
      <c r="EV5" s="168"/>
      <c r="EW5" s="168"/>
      <c r="EX5" s="168"/>
      <c r="EY5" s="168"/>
      <c r="EZ5" s="168"/>
      <c r="FA5" s="168"/>
      <c r="FB5" s="171"/>
      <c r="FC5" s="171"/>
      <c r="FD5" s="171"/>
      <c r="FE5" s="171"/>
      <c r="FF5" s="171"/>
      <c r="FG5" s="171"/>
      <c r="FH5" s="171"/>
      <c r="FI5" s="171"/>
      <c r="FJ5" s="171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69"/>
      <c r="HD5" s="169"/>
      <c r="HE5" s="169"/>
      <c r="HF5" s="169"/>
      <c r="HG5" s="169"/>
      <c r="HH5" s="171"/>
      <c r="HI5" s="171"/>
      <c r="HJ5" s="171"/>
      <c r="HK5" s="19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68"/>
      <c r="HX5" s="171"/>
      <c r="HY5" s="171"/>
      <c r="HZ5" s="171"/>
      <c r="IA5" s="171"/>
      <c r="IB5" s="171"/>
      <c r="IC5" s="171"/>
      <c r="ID5" s="171"/>
      <c r="IE5" s="169"/>
      <c r="IF5" s="169"/>
      <c r="IG5" s="169"/>
      <c r="IH5" s="169"/>
      <c r="II5" s="169"/>
      <c r="IJ5" s="169"/>
      <c r="IK5" s="191"/>
      <c r="IL5" s="191"/>
      <c r="IM5" s="191"/>
      <c r="IN5" s="191"/>
      <c r="IO5" s="191"/>
      <c r="IP5" s="191"/>
      <c r="IQ5" s="191"/>
      <c r="IR5" s="183"/>
      <c r="IS5" s="183"/>
      <c r="IT5" s="183"/>
      <c r="IU5" s="183"/>
      <c r="IV5" s="183"/>
      <c r="IW5" s="183"/>
      <c r="IX5" s="183"/>
      <c r="IY5" s="183"/>
      <c r="IZ5" s="183"/>
      <c r="JA5" s="183"/>
      <c r="JB5" s="183"/>
      <c r="JC5" s="183"/>
      <c r="JD5" s="183"/>
      <c r="JE5" s="183"/>
      <c r="JF5" s="183"/>
      <c r="JG5" s="183"/>
      <c r="JH5" s="183"/>
      <c r="JI5" s="183"/>
      <c r="JJ5" s="193"/>
      <c r="JK5" s="193"/>
      <c r="JL5" s="191"/>
      <c r="JM5" s="191"/>
      <c r="JN5" s="191"/>
      <c r="JO5" s="193"/>
      <c r="JP5" s="193"/>
      <c r="JQ5" s="193"/>
      <c r="JR5" s="193"/>
      <c r="JS5" s="193"/>
      <c r="JT5" s="183"/>
      <c r="JU5" s="183"/>
      <c r="JV5" s="183"/>
      <c r="JW5" s="183"/>
      <c r="JX5" s="183"/>
      <c r="JY5" s="164"/>
      <c r="JZ5" s="164"/>
      <c r="KA5" s="164"/>
      <c r="KB5" s="185"/>
      <c r="KC5" s="185"/>
      <c r="KD5" s="185"/>
      <c r="KE5" s="185"/>
      <c r="KF5" s="185"/>
      <c r="KG5" s="164"/>
      <c r="KH5" s="164"/>
      <c r="KI5" s="164"/>
      <c r="KJ5" s="164"/>
      <c r="KK5" s="164"/>
      <c r="KL5" s="164"/>
      <c r="KM5" s="164"/>
      <c r="KN5" s="164"/>
      <c r="KO5" s="164"/>
      <c r="KP5" s="164"/>
      <c r="KQ5" s="164"/>
      <c r="KR5" s="164"/>
      <c r="KS5" s="164"/>
      <c r="KT5" s="164"/>
      <c r="KU5" s="164"/>
      <c r="KV5" s="164"/>
      <c r="KW5" s="164"/>
      <c r="KX5" s="164"/>
      <c r="KY5" s="164"/>
      <c r="KZ5" s="164"/>
      <c r="LA5" s="164"/>
      <c r="LB5" s="16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88"/>
      <c r="LR5" s="188"/>
      <c r="LS5" s="188"/>
      <c r="LT5" s="188"/>
      <c r="LU5" s="155"/>
      <c r="LV5" s="155"/>
      <c r="LW5" s="155"/>
      <c r="LX5" s="188"/>
      <c r="LY5" s="188"/>
      <c r="LZ5" s="188"/>
      <c r="MA5" s="188"/>
      <c r="MB5" s="155"/>
      <c r="MC5" s="155"/>
      <c r="MD5" s="155"/>
      <c r="ME5" s="155"/>
      <c r="MF5" s="155"/>
      <c r="MG5" s="155"/>
      <c r="MH5" s="155"/>
      <c r="MI5" s="155"/>
    </row>
    <row r="6" spans="1:405" ht="15" customHeight="1" x14ac:dyDescent="0.25">
      <c r="A6" s="136"/>
      <c r="B6" s="130"/>
      <c r="C6" s="42"/>
      <c r="D6" s="42"/>
      <c r="E6" s="42"/>
      <c r="F6" s="42"/>
      <c r="G6" s="83"/>
      <c r="H6" s="83"/>
      <c r="I6" s="83"/>
      <c r="J6" s="83"/>
      <c r="K6" s="138" t="s">
        <v>13</v>
      </c>
      <c r="L6" s="206"/>
      <c r="M6" s="151"/>
      <c r="N6" s="167"/>
      <c r="O6" s="167"/>
      <c r="P6" s="167"/>
      <c r="Q6" s="167"/>
      <c r="R6" s="151"/>
      <c r="S6" s="151"/>
      <c r="T6" s="151"/>
      <c r="U6" s="151"/>
      <c r="V6" s="151"/>
      <c r="W6" s="151"/>
      <c r="X6" s="167"/>
      <c r="Y6" s="167"/>
      <c r="Z6" s="167"/>
      <c r="AA6" s="167"/>
      <c r="AB6" s="167"/>
      <c r="AC6" s="167"/>
      <c r="AD6" s="167"/>
      <c r="AE6" s="167"/>
      <c r="AF6" s="167"/>
      <c r="AG6" s="151"/>
      <c r="AH6" s="151"/>
      <c r="AI6" s="151"/>
      <c r="AJ6" s="167"/>
      <c r="AK6" s="167"/>
      <c r="AL6" s="167"/>
      <c r="AM6" s="167"/>
      <c r="AN6" s="167"/>
      <c r="AO6" s="151"/>
      <c r="AP6" s="151"/>
      <c r="AQ6" s="151"/>
      <c r="AR6" s="151"/>
      <c r="AS6" s="151"/>
      <c r="AT6" s="151"/>
      <c r="AU6" s="151"/>
      <c r="AV6" s="180"/>
      <c r="AW6" s="180"/>
      <c r="AX6" s="180"/>
      <c r="AY6" s="153"/>
      <c r="AZ6" s="153"/>
      <c r="BA6" s="153"/>
      <c r="BB6" s="153"/>
      <c r="BC6" s="153"/>
      <c r="BD6" s="153"/>
      <c r="BE6" s="153"/>
      <c r="BF6" s="153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3"/>
      <c r="BW6" s="153"/>
      <c r="BX6" s="153"/>
      <c r="BY6" s="153"/>
      <c r="BZ6" s="153"/>
      <c r="CA6" s="153"/>
      <c r="CB6" s="153"/>
      <c r="CC6" s="153"/>
      <c r="CD6" s="152"/>
      <c r="CE6" s="152"/>
      <c r="CF6" s="179"/>
      <c r="CG6" s="177"/>
      <c r="CH6" s="177"/>
      <c r="CI6" s="177"/>
      <c r="CJ6" s="177"/>
      <c r="CK6" s="177"/>
      <c r="CL6" s="177"/>
      <c r="CM6" s="177"/>
      <c r="CN6" s="177"/>
      <c r="CO6" s="177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63"/>
      <c r="DA6" s="163"/>
      <c r="DB6" s="163"/>
      <c r="DC6" s="182"/>
      <c r="DD6" s="182"/>
      <c r="DE6" s="182"/>
      <c r="DF6" s="163"/>
      <c r="DG6" s="163"/>
      <c r="DH6" s="163"/>
      <c r="DI6" s="163"/>
      <c r="DJ6" s="163"/>
      <c r="DK6" s="163"/>
      <c r="DL6" s="195"/>
      <c r="DM6" s="163"/>
      <c r="DN6" s="163"/>
      <c r="DO6" s="163"/>
      <c r="DP6" s="182"/>
      <c r="DQ6" s="182"/>
      <c r="DR6" s="182"/>
      <c r="DS6" s="182"/>
      <c r="DT6" s="182"/>
      <c r="DU6" s="182"/>
      <c r="DV6" s="182"/>
      <c r="DW6" s="197"/>
      <c r="DX6" s="197"/>
      <c r="DY6" s="196"/>
      <c r="DZ6" s="196"/>
      <c r="EA6" s="196"/>
      <c r="EB6" s="196"/>
      <c r="EC6" s="197"/>
      <c r="ED6" s="160"/>
      <c r="EE6" s="160"/>
      <c r="EF6" s="197"/>
      <c r="EG6" s="197"/>
      <c r="EH6" s="160"/>
      <c r="EI6" s="160"/>
      <c r="EJ6" s="197"/>
      <c r="EK6" s="197"/>
      <c r="EL6" s="169"/>
      <c r="EM6" s="198"/>
      <c r="EN6" s="169"/>
      <c r="EO6" s="169"/>
      <c r="EP6" s="202"/>
      <c r="EQ6" s="202"/>
      <c r="ER6" s="169"/>
      <c r="ES6" s="199"/>
      <c r="ET6" s="199"/>
      <c r="EU6" s="169"/>
      <c r="EV6" s="169"/>
      <c r="EW6" s="169"/>
      <c r="EX6" s="169"/>
      <c r="EY6" s="169"/>
      <c r="EZ6" s="169"/>
      <c r="FA6" s="169"/>
      <c r="FB6" s="171"/>
      <c r="FC6" s="171"/>
      <c r="FD6" s="171"/>
      <c r="FE6" s="171"/>
      <c r="FF6" s="171"/>
      <c r="FG6" s="171"/>
      <c r="FH6" s="171"/>
      <c r="FI6" s="171"/>
      <c r="FJ6" s="171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69"/>
      <c r="HD6" s="169"/>
      <c r="HE6" s="169"/>
      <c r="HF6" s="169"/>
      <c r="HG6" s="169"/>
      <c r="HH6" s="171"/>
      <c r="HI6" s="171"/>
      <c r="HJ6" s="171"/>
      <c r="HK6" s="198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71"/>
      <c r="HY6" s="171"/>
      <c r="HZ6" s="171"/>
      <c r="IA6" s="171"/>
      <c r="IB6" s="171"/>
      <c r="IC6" s="171"/>
      <c r="ID6" s="171"/>
      <c r="IE6" s="169"/>
      <c r="IF6" s="169"/>
      <c r="IG6" s="169"/>
      <c r="IH6" s="169"/>
      <c r="II6" s="169"/>
      <c r="IJ6" s="169"/>
      <c r="IK6" s="191"/>
      <c r="IL6" s="191"/>
      <c r="IM6" s="191"/>
      <c r="IN6" s="191"/>
      <c r="IO6" s="191"/>
      <c r="IP6" s="191"/>
      <c r="IQ6" s="191"/>
      <c r="IR6" s="184"/>
      <c r="IS6" s="184"/>
      <c r="IT6" s="184"/>
      <c r="IU6" s="184"/>
      <c r="IV6" s="184"/>
      <c r="IW6" s="184"/>
      <c r="IX6" s="184"/>
      <c r="IY6" s="184"/>
      <c r="IZ6" s="184"/>
      <c r="JA6" s="184"/>
      <c r="JB6" s="184"/>
      <c r="JC6" s="184"/>
      <c r="JD6" s="184"/>
      <c r="JE6" s="184"/>
      <c r="JF6" s="184"/>
      <c r="JG6" s="184"/>
      <c r="JH6" s="184"/>
      <c r="JI6" s="184"/>
      <c r="JJ6" s="193"/>
      <c r="JK6" s="193"/>
      <c r="JL6" s="191"/>
      <c r="JM6" s="191"/>
      <c r="JN6" s="191"/>
      <c r="JO6" s="193"/>
      <c r="JP6" s="193"/>
      <c r="JQ6" s="193"/>
      <c r="JR6" s="193"/>
      <c r="JS6" s="193"/>
      <c r="JT6" s="184"/>
      <c r="JU6" s="184"/>
      <c r="JV6" s="184"/>
      <c r="JW6" s="184"/>
      <c r="JX6" s="184"/>
      <c r="JY6" s="165"/>
      <c r="JZ6" s="165"/>
      <c r="KA6" s="165"/>
      <c r="KB6" s="186"/>
      <c r="KC6" s="186"/>
      <c r="KD6" s="186"/>
      <c r="KE6" s="186"/>
      <c r="KF6" s="186"/>
      <c r="KG6" s="165"/>
      <c r="KH6" s="165"/>
      <c r="KI6" s="165"/>
      <c r="KJ6" s="165"/>
      <c r="KK6" s="165"/>
      <c r="KL6" s="165"/>
      <c r="KM6" s="165"/>
      <c r="KN6" s="165"/>
      <c r="KO6" s="165"/>
      <c r="KP6" s="165"/>
      <c r="KQ6" s="165"/>
      <c r="KR6" s="165"/>
      <c r="KS6" s="165"/>
      <c r="KT6" s="165"/>
      <c r="KU6" s="165"/>
      <c r="KV6" s="165"/>
      <c r="KW6" s="165"/>
      <c r="KX6" s="165"/>
      <c r="KY6" s="165"/>
      <c r="KZ6" s="165"/>
      <c r="LA6" s="165"/>
      <c r="LB6" s="16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55"/>
      <c r="LQ6" s="188"/>
      <c r="LR6" s="188"/>
      <c r="LS6" s="188"/>
      <c r="LT6" s="188"/>
      <c r="LU6" s="155"/>
      <c r="LV6" s="155"/>
      <c r="LW6" s="155"/>
      <c r="LX6" s="188"/>
      <c r="LY6" s="188"/>
      <c r="LZ6" s="188"/>
      <c r="MA6" s="188"/>
      <c r="MB6" s="155"/>
      <c r="MC6" s="155"/>
      <c r="MD6" s="155"/>
      <c r="ME6" s="155"/>
      <c r="MF6" s="155"/>
      <c r="MG6" s="155"/>
      <c r="MH6" s="155"/>
      <c r="MI6" s="155"/>
    </row>
    <row r="7" spans="1:405" ht="15" customHeight="1" x14ac:dyDescent="0.25">
      <c r="A7" s="136"/>
      <c r="B7" s="130"/>
      <c r="C7" s="42"/>
      <c r="D7" s="42"/>
      <c r="E7" s="42"/>
      <c r="F7" s="42"/>
      <c r="G7" s="42"/>
      <c r="H7" s="85"/>
      <c r="I7" s="85"/>
      <c r="J7" s="85"/>
      <c r="K7" s="139" t="s">
        <v>243</v>
      </c>
      <c r="L7" s="206"/>
      <c r="M7" s="151"/>
      <c r="N7" s="167"/>
      <c r="O7" s="167"/>
      <c r="P7" s="167"/>
      <c r="Q7" s="167"/>
      <c r="R7" s="151"/>
      <c r="S7" s="151"/>
      <c r="T7" s="151"/>
      <c r="U7" s="151"/>
      <c r="V7" s="151"/>
      <c r="W7" s="151"/>
      <c r="X7" s="167"/>
      <c r="Y7" s="167"/>
      <c r="Z7" s="167"/>
      <c r="AA7" s="167"/>
      <c r="AB7" s="167"/>
      <c r="AC7" s="167"/>
      <c r="AD7" s="167"/>
      <c r="AE7" s="167"/>
      <c r="AF7" s="167"/>
      <c r="AG7" s="151"/>
      <c r="AH7" s="151"/>
      <c r="AI7" s="151"/>
      <c r="AJ7" s="167"/>
      <c r="AK7" s="167"/>
      <c r="AL7" s="167"/>
      <c r="AM7" s="167"/>
      <c r="AN7" s="167"/>
      <c r="AO7" s="151"/>
      <c r="AP7" s="151"/>
      <c r="AQ7" s="151"/>
      <c r="AR7" s="151"/>
      <c r="AS7" s="151"/>
      <c r="AT7" s="151"/>
      <c r="AU7" s="151"/>
      <c r="AV7" s="180"/>
      <c r="AW7" s="180"/>
      <c r="AX7" s="180"/>
      <c r="AY7" s="153"/>
      <c r="AZ7" s="153"/>
      <c r="BA7" s="153"/>
      <c r="BB7" s="153"/>
      <c r="BC7" s="153"/>
      <c r="BD7" s="153"/>
      <c r="BE7" s="153"/>
      <c r="BF7" s="153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3"/>
      <c r="BW7" s="153"/>
      <c r="BX7" s="153"/>
      <c r="BY7" s="153"/>
      <c r="BZ7" s="153"/>
      <c r="CA7" s="153"/>
      <c r="CB7" s="153"/>
      <c r="CC7" s="153"/>
      <c r="CD7" s="152"/>
      <c r="CE7" s="152"/>
      <c r="CF7" s="179"/>
      <c r="CG7" s="177"/>
      <c r="CH7" s="177"/>
      <c r="CI7" s="177"/>
      <c r="CJ7" s="177"/>
      <c r="CK7" s="177"/>
      <c r="CL7" s="177"/>
      <c r="CM7" s="177"/>
      <c r="CN7" s="177"/>
      <c r="CO7" s="177"/>
      <c r="CP7" s="179"/>
      <c r="CQ7" s="179"/>
      <c r="CR7" s="179"/>
      <c r="CS7" s="179"/>
      <c r="CT7" s="179"/>
      <c r="CU7" s="179"/>
      <c r="CV7" s="179"/>
      <c r="CW7" s="179"/>
      <c r="CX7" s="179"/>
      <c r="CY7" s="179"/>
      <c r="CZ7" s="163"/>
      <c r="DA7" s="163"/>
      <c r="DB7" s="163"/>
      <c r="DC7" s="182"/>
      <c r="DD7" s="182"/>
      <c r="DE7" s="182"/>
      <c r="DF7" s="163"/>
      <c r="DG7" s="163"/>
      <c r="DH7" s="163"/>
      <c r="DI7" s="163"/>
      <c r="DJ7" s="163"/>
      <c r="DK7" s="163"/>
      <c r="DL7" s="195"/>
      <c r="DM7" s="163"/>
      <c r="DN7" s="163"/>
      <c r="DO7" s="163"/>
      <c r="DP7" s="182"/>
      <c r="DQ7" s="182"/>
      <c r="DR7" s="182"/>
      <c r="DS7" s="182"/>
      <c r="DT7" s="182"/>
      <c r="DU7" s="182"/>
      <c r="DV7" s="182"/>
      <c r="DW7" s="197"/>
      <c r="DX7" s="197"/>
      <c r="DY7" s="196"/>
      <c r="DZ7" s="196"/>
      <c r="EA7" s="196"/>
      <c r="EB7" s="196"/>
      <c r="EC7" s="197"/>
      <c r="ED7" s="160"/>
      <c r="EE7" s="160"/>
      <c r="EF7" s="197"/>
      <c r="EG7" s="197"/>
      <c r="EH7" s="160"/>
      <c r="EI7" s="160"/>
      <c r="EJ7" s="197"/>
      <c r="EK7" s="197"/>
      <c r="EL7" s="169"/>
      <c r="EM7" s="198"/>
      <c r="EN7" s="169"/>
      <c r="EO7" s="169"/>
      <c r="EP7" s="202"/>
      <c r="EQ7" s="202"/>
      <c r="ER7" s="169"/>
      <c r="ES7" s="199"/>
      <c r="ET7" s="199"/>
      <c r="EU7" s="169"/>
      <c r="EV7" s="169"/>
      <c r="EW7" s="169"/>
      <c r="EX7" s="169"/>
      <c r="EY7" s="169"/>
      <c r="EZ7" s="169"/>
      <c r="FA7" s="169"/>
      <c r="FB7" s="171"/>
      <c r="FC7" s="171"/>
      <c r="FD7" s="171"/>
      <c r="FE7" s="171"/>
      <c r="FF7" s="171"/>
      <c r="FG7" s="171"/>
      <c r="FH7" s="171"/>
      <c r="FI7" s="171"/>
      <c r="FJ7" s="171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69"/>
      <c r="HD7" s="169"/>
      <c r="HE7" s="169"/>
      <c r="HF7" s="169"/>
      <c r="HG7" s="169"/>
      <c r="HH7" s="171"/>
      <c r="HI7" s="171"/>
      <c r="HJ7" s="171"/>
      <c r="HK7" s="198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71"/>
      <c r="HY7" s="171"/>
      <c r="HZ7" s="171"/>
      <c r="IA7" s="171"/>
      <c r="IB7" s="171"/>
      <c r="IC7" s="171"/>
      <c r="ID7" s="171"/>
      <c r="IE7" s="169"/>
      <c r="IF7" s="169"/>
      <c r="IG7" s="169"/>
      <c r="IH7" s="169"/>
      <c r="II7" s="169"/>
      <c r="IJ7" s="169"/>
      <c r="IK7" s="191"/>
      <c r="IL7" s="191"/>
      <c r="IM7" s="191"/>
      <c r="IN7" s="191"/>
      <c r="IO7" s="191"/>
      <c r="IP7" s="191"/>
      <c r="IQ7" s="191"/>
      <c r="IR7" s="184"/>
      <c r="IS7" s="184"/>
      <c r="IT7" s="184"/>
      <c r="IU7" s="184"/>
      <c r="IV7" s="184"/>
      <c r="IW7" s="184"/>
      <c r="IX7" s="184"/>
      <c r="IY7" s="184"/>
      <c r="IZ7" s="184"/>
      <c r="JA7" s="184"/>
      <c r="JB7" s="184"/>
      <c r="JC7" s="184"/>
      <c r="JD7" s="184"/>
      <c r="JE7" s="184"/>
      <c r="JF7" s="184"/>
      <c r="JG7" s="184"/>
      <c r="JH7" s="184"/>
      <c r="JI7" s="184"/>
      <c r="JJ7" s="193"/>
      <c r="JK7" s="193"/>
      <c r="JL7" s="191"/>
      <c r="JM7" s="191"/>
      <c r="JN7" s="191"/>
      <c r="JO7" s="193"/>
      <c r="JP7" s="193"/>
      <c r="JQ7" s="193"/>
      <c r="JR7" s="193"/>
      <c r="JS7" s="193"/>
      <c r="JT7" s="184"/>
      <c r="JU7" s="184"/>
      <c r="JV7" s="184"/>
      <c r="JW7" s="184"/>
      <c r="JX7" s="184"/>
      <c r="JY7" s="165"/>
      <c r="JZ7" s="165"/>
      <c r="KA7" s="165"/>
      <c r="KB7" s="186"/>
      <c r="KC7" s="186"/>
      <c r="KD7" s="186"/>
      <c r="KE7" s="186"/>
      <c r="KF7" s="186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55"/>
      <c r="LD7" s="155"/>
      <c r="LE7" s="155"/>
      <c r="LF7" s="155"/>
      <c r="LG7" s="155"/>
      <c r="LH7" s="155"/>
      <c r="LI7" s="155"/>
      <c r="LJ7" s="155"/>
      <c r="LK7" s="155"/>
      <c r="LL7" s="155"/>
      <c r="LM7" s="155"/>
      <c r="LN7" s="155"/>
      <c r="LO7" s="155"/>
      <c r="LP7" s="155"/>
      <c r="LQ7" s="188"/>
      <c r="LR7" s="188"/>
      <c r="LS7" s="188"/>
      <c r="LT7" s="188"/>
      <c r="LU7" s="155"/>
      <c r="LV7" s="155"/>
      <c r="LW7" s="155"/>
      <c r="LX7" s="188"/>
      <c r="LY7" s="188"/>
      <c r="LZ7" s="188"/>
      <c r="MA7" s="188"/>
      <c r="MB7" s="155"/>
      <c r="MC7" s="155"/>
      <c r="MD7" s="155"/>
      <c r="ME7" s="155"/>
      <c r="MF7" s="155"/>
      <c r="MG7" s="155"/>
      <c r="MH7" s="155"/>
      <c r="MI7" s="155"/>
    </row>
    <row r="8" spans="1:405" ht="15" customHeight="1" x14ac:dyDescent="0.25">
      <c r="A8" s="136"/>
      <c r="B8" s="130"/>
      <c r="C8" s="42"/>
      <c r="D8" s="42"/>
      <c r="E8" s="87"/>
      <c r="F8" s="87"/>
      <c r="G8" s="87"/>
      <c r="H8" s="87"/>
      <c r="I8" s="87"/>
      <c r="J8" s="87"/>
      <c r="K8" s="140" t="s">
        <v>466</v>
      </c>
      <c r="L8" s="206"/>
      <c r="M8" s="151"/>
      <c r="N8" s="167"/>
      <c r="O8" s="167"/>
      <c r="P8" s="167"/>
      <c r="Q8" s="167"/>
      <c r="R8" s="151"/>
      <c r="S8" s="151"/>
      <c r="T8" s="151"/>
      <c r="U8" s="151"/>
      <c r="V8" s="151"/>
      <c r="W8" s="151"/>
      <c r="X8" s="167"/>
      <c r="Y8" s="167"/>
      <c r="Z8" s="167"/>
      <c r="AA8" s="167"/>
      <c r="AB8" s="167"/>
      <c r="AC8" s="167"/>
      <c r="AD8" s="167"/>
      <c r="AE8" s="167"/>
      <c r="AF8" s="167"/>
      <c r="AG8" s="151"/>
      <c r="AH8" s="151"/>
      <c r="AI8" s="151"/>
      <c r="AJ8" s="167"/>
      <c r="AK8" s="167"/>
      <c r="AL8" s="167"/>
      <c r="AM8" s="167"/>
      <c r="AN8" s="167"/>
      <c r="AO8" s="151"/>
      <c r="AP8" s="151"/>
      <c r="AQ8" s="151"/>
      <c r="AR8" s="151"/>
      <c r="AS8" s="151"/>
      <c r="AT8" s="151"/>
      <c r="AU8" s="151"/>
      <c r="AV8" s="180"/>
      <c r="AW8" s="180"/>
      <c r="AX8" s="180"/>
      <c r="AY8" s="153"/>
      <c r="AZ8" s="153"/>
      <c r="BA8" s="153"/>
      <c r="BB8" s="153"/>
      <c r="BC8" s="153"/>
      <c r="BD8" s="153"/>
      <c r="BE8" s="153"/>
      <c r="BF8" s="153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3"/>
      <c r="BW8" s="153"/>
      <c r="BX8" s="153"/>
      <c r="BY8" s="153"/>
      <c r="BZ8" s="153"/>
      <c r="CA8" s="153"/>
      <c r="CB8" s="153"/>
      <c r="CC8" s="153"/>
      <c r="CD8" s="152"/>
      <c r="CE8" s="152"/>
      <c r="CF8" s="179"/>
      <c r="CG8" s="177"/>
      <c r="CH8" s="177"/>
      <c r="CI8" s="177"/>
      <c r="CJ8" s="177"/>
      <c r="CK8" s="177"/>
      <c r="CL8" s="177"/>
      <c r="CM8" s="177"/>
      <c r="CN8" s="177"/>
      <c r="CO8" s="177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63"/>
      <c r="DA8" s="163"/>
      <c r="DB8" s="163"/>
      <c r="DC8" s="182"/>
      <c r="DD8" s="182"/>
      <c r="DE8" s="182"/>
      <c r="DF8" s="163"/>
      <c r="DG8" s="163"/>
      <c r="DH8" s="163"/>
      <c r="DI8" s="163"/>
      <c r="DJ8" s="163"/>
      <c r="DK8" s="163"/>
      <c r="DL8" s="195"/>
      <c r="DM8" s="163"/>
      <c r="DN8" s="163"/>
      <c r="DO8" s="163"/>
      <c r="DP8" s="182"/>
      <c r="DQ8" s="182"/>
      <c r="DR8" s="182"/>
      <c r="DS8" s="182"/>
      <c r="DT8" s="182"/>
      <c r="DU8" s="182"/>
      <c r="DV8" s="182"/>
      <c r="DW8" s="197"/>
      <c r="DX8" s="197"/>
      <c r="DY8" s="196"/>
      <c r="DZ8" s="196"/>
      <c r="EA8" s="196"/>
      <c r="EB8" s="196"/>
      <c r="EC8" s="197"/>
      <c r="ED8" s="160"/>
      <c r="EE8" s="160"/>
      <c r="EF8" s="197"/>
      <c r="EG8" s="197"/>
      <c r="EH8" s="160"/>
      <c r="EI8" s="160"/>
      <c r="EJ8" s="197"/>
      <c r="EK8" s="197"/>
      <c r="EL8" s="169"/>
      <c r="EM8" s="198"/>
      <c r="EN8" s="169"/>
      <c r="EO8" s="169"/>
      <c r="EP8" s="202"/>
      <c r="EQ8" s="202"/>
      <c r="ER8" s="169"/>
      <c r="ES8" s="199"/>
      <c r="ET8" s="199"/>
      <c r="EU8" s="169"/>
      <c r="EV8" s="169"/>
      <c r="EW8" s="169"/>
      <c r="EX8" s="169"/>
      <c r="EY8" s="169"/>
      <c r="EZ8" s="169"/>
      <c r="FA8" s="169"/>
      <c r="FB8" s="171"/>
      <c r="FC8" s="171"/>
      <c r="FD8" s="171"/>
      <c r="FE8" s="171"/>
      <c r="FF8" s="171"/>
      <c r="FG8" s="171"/>
      <c r="FH8" s="171"/>
      <c r="FI8" s="171"/>
      <c r="FJ8" s="171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69"/>
      <c r="HD8" s="169"/>
      <c r="HE8" s="169"/>
      <c r="HF8" s="169"/>
      <c r="HG8" s="169"/>
      <c r="HH8" s="171"/>
      <c r="HI8" s="171"/>
      <c r="HJ8" s="171"/>
      <c r="HK8" s="198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71"/>
      <c r="HY8" s="171"/>
      <c r="HZ8" s="171"/>
      <c r="IA8" s="171"/>
      <c r="IB8" s="171"/>
      <c r="IC8" s="171"/>
      <c r="ID8" s="171"/>
      <c r="IE8" s="169"/>
      <c r="IF8" s="169"/>
      <c r="IG8" s="169"/>
      <c r="IH8" s="169"/>
      <c r="II8" s="169"/>
      <c r="IJ8" s="169"/>
      <c r="IK8" s="191"/>
      <c r="IL8" s="191"/>
      <c r="IM8" s="191"/>
      <c r="IN8" s="191"/>
      <c r="IO8" s="191"/>
      <c r="IP8" s="191"/>
      <c r="IQ8" s="191"/>
      <c r="IR8" s="184"/>
      <c r="IS8" s="184"/>
      <c r="IT8" s="184"/>
      <c r="IU8" s="184"/>
      <c r="IV8" s="184"/>
      <c r="IW8" s="184"/>
      <c r="IX8" s="184"/>
      <c r="IY8" s="184"/>
      <c r="IZ8" s="184"/>
      <c r="JA8" s="184"/>
      <c r="JB8" s="184"/>
      <c r="JC8" s="184"/>
      <c r="JD8" s="184"/>
      <c r="JE8" s="184"/>
      <c r="JF8" s="184"/>
      <c r="JG8" s="184"/>
      <c r="JH8" s="184"/>
      <c r="JI8" s="184"/>
      <c r="JJ8" s="193"/>
      <c r="JK8" s="193"/>
      <c r="JL8" s="191"/>
      <c r="JM8" s="191"/>
      <c r="JN8" s="191"/>
      <c r="JO8" s="193"/>
      <c r="JP8" s="193"/>
      <c r="JQ8" s="193"/>
      <c r="JR8" s="193"/>
      <c r="JS8" s="193"/>
      <c r="JT8" s="184"/>
      <c r="JU8" s="184"/>
      <c r="JV8" s="184"/>
      <c r="JW8" s="184"/>
      <c r="JX8" s="184"/>
      <c r="JY8" s="165"/>
      <c r="JZ8" s="165"/>
      <c r="KA8" s="165"/>
      <c r="KB8" s="186"/>
      <c r="KC8" s="186"/>
      <c r="KD8" s="186"/>
      <c r="KE8" s="186"/>
      <c r="KF8" s="186"/>
      <c r="KG8" s="165"/>
      <c r="KH8" s="165"/>
      <c r="KI8" s="165"/>
      <c r="KJ8" s="165"/>
      <c r="KK8" s="165"/>
      <c r="KL8" s="165"/>
      <c r="KM8" s="165"/>
      <c r="KN8" s="165"/>
      <c r="KO8" s="165"/>
      <c r="KP8" s="165"/>
      <c r="KQ8" s="165"/>
      <c r="KR8" s="165"/>
      <c r="KS8" s="165"/>
      <c r="KT8" s="165"/>
      <c r="KU8" s="165"/>
      <c r="KV8" s="165"/>
      <c r="KW8" s="165"/>
      <c r="KX8" s="165"/>
      <c r="KY8" s="165"/>
      <c r="KZ8" s="165"/>
      <c r="LA8" s="165"/>
      <c r="LB8" s="165"/>
      <c r="LC8" s="155"/>
      <c r="LD8" s="155"/>
      <c r="LE8" s="155"/>
      <c r="LF8" s="155"/>
      <c r="LG8" s="155"/>
      <c r="LH8" s="155"/>
      <c r="LI8" s="155"/>
      <c r="LJ8" s="155"/>
      <c r="LK8" s="155"/>
      <c r="LL8" s="155"/>
      <c r="LM8" s="155"/>
      <c r="LN8" s="155"/>
      <c r="LO8" s="155"/>
      <c r="LP8" s="155"/>
      <c r="LQ8" s="188"/>
      <c r="LR8" s="188"/>
      <c r="LS8" s="188"/>
      <c r="LT8" s="188"/>
      <c r="LU8" s="155"/>
      <c r="LV8" s="155"/>
      <c r="LW8" s="155"/>
      <c r="LX8" s="188"/>
      <c r="LY8" s="188"/>
      <c r="LZ8" s="188"/>
      <c r="MA8" s="188"/>
      <c r="MB8" s="155"/>
      <c r="MC8" s="155"/>
      <c r="MD8" s="155"/>
      <c r="ME8" s="155"/>
      <c r="MF8" s="155"/>
      <c r="MG8" s="155"/>
      <c r="MH8" s="155"/>
      <c r="MI8" s="155"/>
    </row>
    <row r="9" spans="1:405" ht="15" customHeight="1" x14ac:dyDescent="0.25">
      <c r="A9" s="136"/>
      <c r="B9" s="42"/>
      <c r="C9" s="89"/>
      <c r="D9" s="89"/>
      <c r="E9" s="89"/>
      <c r="F9" s="89"/>
      <c r="G9" s="89"/>
      <c r="H9" s="89"/>
      <c r="I9" s="89"/>
      <c r="J9" s="89"/>
      <c r="K9" s="141" t="s">
        <v>507</v>
      </c>
      <c r="L9" s="206"/>
      <c r="M9" s="151"/>
      <c r="N9" s="167"/>
      <c r="O9" s="167"/>
      <c r="P9" s="167"/>
      <c r="Q9" s="167"/>
      <c r="R9" s="151"/>
      <c r="S9" s="151"/>
      <c r="T9" s="151"/>
      <c r="U9" s="151"/>
      <c r="V9" s="151"/>
      <c r="W9" s="151"/>
      <c r="X9" s="167"/>
      <c r="Y9" s="167"/>
      <c r="Z9" s="167"/>
      <c r="AA9" s="167"/>
      <c r="AB9" s="167"/>
      <c r="AC9" s="167"/>
      <c r="AD9" s="167"/>
      <c r="AE9" s="167"/>
      <c r="AF9" s="167"/>
      <c r="AG9" s="151"/>
      <c r="AH9" s="151"/>
      <c r="AI9" s="151"/>
      <c r="AJ9" s="167"/>
      <c r="AK9" s="167"/>
      <c r="AL9" s="167"/>
      <c r="AM9" s="167"/>
      <c r="AN9" s="167"/>
      <c r="AO9" s="151"/>
      <c r="AP9" s="151"/>
      <c r="AQ9" s="151"/>
      <c r="AR9" s="151"/>
      <c r="AS9" s="151"/>
      <c r="AT9" s="151"/>
      <c r="AU9" s="151"/>
      <c r="AV9" s="180"/>
      <c r="AW9" s="180"/>
      <c r="AX9" s="180"/>
      <c r="AY9" s="153"/>
      <c r="AZ9" s="153"/>
      <c r="BA9" s="153"/>
      <c r="BB9" s="153"/>
      <c r="BC9" s="153"/>
      <c r="BD9" s="153"/>
      <c r="BE9" s="153"/>
      <c r="BF9" s="153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3"/>
      <c r="BW9" s="153"/>
      <c r="BX9" s="153"/>
      <c r="BY9" s="153"/>
      <c r="BZ9" s="153"/>
      <c r="CA9" s="153"/>
      <c r="CB9" s="153"/>
      <c r="CC9" s="153"/>
      <c r="CD9" s="152"/>
      <c r="CE9" s="152"/>
      <c r="CF9" s="179"/>
      <c r="CG9" s="177"/>
      <c r="CH9" s="177"/>
      <c r="CI9" s="177"/>
      <c r="CJ9" s="177"/>
      <c r="CK9" s="177"/>
      <c r="CL9" s="177"/>
      <c r="CM9" s="177"/>
      <c r="CN9" s="177"/>
      <c r="CO9" s="177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63"/>
      <c r="DA9" s="163"/>
      <c r="DB9" s="163"/>
      <c r="DC9" s="182"/>
      <c r="DD9" s="182"/>
      <c r="DE9" s="182"/>
      <c r="DF9" s="163"/>
      <c r="DG9" s="163"/>
      <c r="DH9" s="163"/>
      <c r="DI9" s="163"/>
      <c r="DJ9" s="163"/>
      <c r="DK9" s="163"/>
      <c r="DL9" s="195"/>
      <c r="DM9" s="163"/>
      <c r="DN9" s="163"/>
      <c r="DO9" s="163"/>
      <c r="DP9" s="182"/>
      <c r="DQ9" s="182"/>
      <c r="DR9" s="182"/>
      <c r="DS9" s="182"/>
      <c r="DT9" s="182"/>
      <c r="DU9" s="182"/>
      <c r="DV9" s="182"/>
      <c r="DW9" s="197"/>
      <c r="DX9" s="197"/>
      <c r="DY9" s="196"/>
      <c r="DZ9" s="196"/>
      <c r="EA9" s="196"/>
      <c r="EB9" s="196"/>
      <c r="EC9" s="197"/>
      <c r="ED9" s="160"/>
      <c r="EE9" s="160"/>
      <c r="EF9" s="197"/>
      <c r="EG9" s="197"/>
      <c r="EH9" s="160"/>
      <c r="EI9" s="160"/>
      <c r="EJ9" s="197"/>
      <c r="EK9" s="197"/>
      <c r="EL9" s="169"/>
      <c r="EM9" s="198"/>
      <c r="EN9" s="169"/>
      <c r="EO9" s="169"/>
      <c r="EP9" s="202"/>
      <c r="EQ9" s="202"/>
      <c r="ER9" s="169"/>
      <c r="ES9" s="199"/>
      <c r="ET9" s="199"/>
      <c r="EU9" s="169"/>
      <c r="EV9" s="169"/>
      <c r="EW9" s="169"/>
      <c r="EX9" s="169"/>
      <c r="EY9" s="169"/>
      <c r="EZ9" s="169"/>
      <c r="FA9" s="169"/>
      <c r="FB9" s="171"/>
      <c r="FC9" s="171"/>
      <c r="FD9" s="171"/>
      <c r="FE9" s="171"/>
      <c r="FF9" s="171"/>
      <c r="FG9" s="171"/>
      <c r="FH9" s="171"/>
      <c r="FI9" s="171"/>
      <c r="FJ9" s="171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71"/>
      <c r="HC9" s="169"/>
      <c r="HD9" s="169"/>
      <c r="HE9" s="169"/>
      <c r="HF9" s="169"/>
      <c r="HG9" s="169"/>
      <c r="HH9" s="171"/>
      <c r="HI9" s="171"/>
      <c r="HJ9" s="171"/>
      <c r="HK9" s="198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71"/>
      <c r="HY9" s="171"/>
      <c r="HZ9" s="171"/>
      <c r="IA9" s="171"/>
      <c r="IB9" s="171"/>
      <c r="IC9" s="171"/>
      <c r="ID9" s="171"/>
      <c r="IE9" s="169"/>
      <c r="IF9" s="169"/>
      <c r="IG9" s="169"/>
      <c r="IH9" s="169"/>
      <c r="II9" s="169"/>
      <c r="IJ9" s="169"/>
      <c r="IK9" s="191"/>
      <c r="IL9" s="191"/>
      <c r="IM9" s="191"/>
      <c r="IN9" s="191"/>
      <c r="IO9" s="191"/>
      <c r="IP9" s="191"/>
      <c r="IQ9" s="191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93"/>
      <c r="JK9" s="193"/>
      <c r="JL9" s="191"/>
      <c r="JM9" s="191"/>
      <c r="JN9" s="191"/>
      <c r="JO9" s="193"/>
      <c r="JP9" s="193"/>
      <c r="JQ9" s="193"/>
      <c r="JR9" s="193"/>
      <c r="JS9" s="193"/>
      <c r="JT9" s="184"/>
      <c r="JU9" s="184"/>
      <c r="JV9" s="184"/>
      <c r="JW9" s="184"/>
      <c r="JX9" s="184"/>
      <c r="JY9" s="165"/>
      <c r="JZ9" s="165"/>
      <c r="KA9" s="165"/>
      <c r="KB9" s="186"/>
      <c r="KC9" s="186"/>
      <c r="KD9" s="186"/>
      <c r="KE9" s="186"/>
      <c r="KF9" s="186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55"/>
      <c r="LD9" s="155"/>
      <c r="LE9" s="155"/>
      <c r="LF9" s="155"/>
      <c r="LG9" s="155"/>
      <c r="LH9" s="155"/>
      <c r="LI9" s="155"/>
      <c r="LJ9" s="155"/>
      <c r="LK9" s="155"/>
      <c r="LL9" s="155"/>
      <c r="LM9" s="155"/>
      <c r="LN9" s="155"/>
      <c r="LO9" s="155"/>
      <c r="LP9" s="155"/>
      <c r="LQ9" s="188"/>
      <c r="LR9" s="188"/>
      <c r="LS9" s="188"/>
      <c r="LT9" s="188"/>
      <c r="LU9" s="155"/>
      <c r="LV9" s="155"/>
      <c r="LW9" s="155"/>
      <c r="LX9" s="188"/>
      <c r="LY9" s="188"/>
      <c r="LZ9" s="188"/>
      <c r="MA9" s="188"/>
      <c r="MB9" s="155"/>
      <c r="MC9" s="155"/>
      <c r="MD9" s="155"/>
      <c r="ME9" s="155"/>
      <c r="MF9" s="155"/>
      <c r="MG9" s="155"/>
      <c r="MH9" s="155"/>
      <c r="MI9" s="155"/>
    </row>
    <row r="10" spans="1:405" ht="15" customHeight="1" x14ac:dyDescent="0.25">
      <c r="A10" s="142"/>
      <c r="B10" s="130"/>
      <c r="C10" s="88"/>
      <c r="D10" s="88"/>
      <c r="E10" s="88"/>
      <c r="F10" s="91"/>
      <c r="G10" s="91"/>
      <c r="H10" s="91"/>
      <c r="I10" s="91"/>
      <c r="J10" s="91"/>
      <c r="K10" s="143" t="s">
        <v>94</v>
      </c>
      <c r="L10" s="206"/>
      <c r="M10" s="151"/>
      <c r="N10" s="167"/>
      <c r="O10" s="167"/>
      <c r="P10" s="167"/>
      <c r="Q10" s="167"/>
      <c r="R10" s="151"/>
      <c r="S10" s="151"/>
      <c r="T10" s="151"/>
      <c r="U10" s="151"/>
      <c r="V10" s="151"/>
      <c r="W10" s="151"/>
      <c r="X10" s="167"/>
      <c r="Y10" s="167"/>
      <c r="Z10" s="167"/>
      <c r="AA10" s="167"/>
      <c r="AB10" s="167"/>
      <c r="AC10" s="167"/>
      <c r="AD10" s="167"/>
      <c r="AE10" s="167"/>
      <c r="AF10" s="167"/>
      <c r="AG10" s="151"/>
      <c r="AH10" s="151"/>
      <c r="AI10" s="151"/>
      <c r="AJ10" s="167"/>
      <c r="AK10" s="167"/>
      <c r="AL10" s="167"/>
      <c r="AM10" s="167"/>
      <c r="AN10" s="167"/>
      <c r="AO10" s="151"/>
      <c r="AP10" s="151"/>
      <c r="AQ10" s="151"/>
      <c r="AR10" s="151"/>
      <c r="AS10" s="151"/>
      <c r="AT10" s="151"/>
      <c r="AU10" s="151"/>
      <c r="AV10" s="180"/>
      <c r="AW10" s="180"/>
      <c r="AX10" s="180"/>
      <c r="AY10" s="153"/>
      <c r="AZ10" s="153"/>
      <c r="BA10" s="153"/>
      <c r="BB10" s="153"/>
      <c r="BC10" s="153"/>
      <c r="BD10" s="153"/>
      <c r="BE10" s="153"/>
      <c r="BF10" s="153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3"/>
      <c r="BW10" s="153"/>
      <c r="BX10" s="153"/>
      <c r="BY10" s="153"/>
      <c r="BZ10" s="153"/>
      <c r="CA10" s="153"/>
      <c r="CB10" s="153"/>
      <c r="CC10" s="153"/>
      <c r="CD10" s="152"/>
      <c r="CE10" s="152"/>
      <c r="CF10" s="179"/>
      <c r="CG10" s="177"/>
      <c r="CH10" s="177"/>
      <c r="CI10" s="177"/>
      <c r="CJ10" s="177"/>
      <c r="CK10" s="177"/>
      <c r="CL10" s="177"/>
      <c r="CM10" s="177"/>
      <c r="CN10" s="177"/>
      <c r="CO10" s="177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63"/>
      <c r="DA10" s="163"/>
      <c r="DB10" s="163"/>
      <c r="DC10" s="182"/>
      <c r="DD10" s="182"/>
      <c r="DE10" s="182"/>
      <c r="DF10" s="163"/>
      <c r="DG10" s="163"/>
      <c r="DH10" s="163"/>
      <c r="DI10" s="163"/>
      <c r="DJ10" s="163"/>
      <c r="DK10" s="163"/>
      <c r="DL10" s="195"/>
      <c r="DM10" s="163"/>
      <c r="DN10" s="163"/>
      <c r="DO10" s="163"/>
      <c r="DP10" s="182"/>
      <c r="DQ10" s="182"/>
      <c r="DR10" s="182"/>
      <c r="DS10" s="182"/>
      <c r="DT10" s="182"/>
      <c r="DU10" s="182"/>
      <c r="DV10" s="182"/>
      <c r="DW10" s="197"/>
      <c r="DX10" s="197"/>
      <c r="DY10" s="196"/>
      <c r="DZ10" s="196"/>
      <c r="EA10" s="196"/>
      <c r="EB10" s="196"/>
      <c r="EC10" s="197"/>
      <c r="ED10" s="160"/>
      <c r="EE10" s="160"/>
      <c r="EF10" s="197"/>
      <c r="EG10" s="197"/>
      <c r="EH10" s="160"/>
      <c r="EI10" s="160"/>
      <c r="EJ10" s="197"/>
      <c r="EK10" s="197"/>
      <c r="EL10" s="169"/>
      <c r="EM10" s="198"/>
      <c r="EN10" s="169"/>
      <c r="EO10" s="169"/>
      <c r="EP10" s="202"/>
      <c r="EQ10" s="202"/>
      <c r="ER10" s="169"/>
      <c r="ES10" s="199"/>
      <c r="ET10" s="199"/>
      <c r="EU10" s="169"/>
      <c r="EV10" s="169"/>
      <c r="EW10" s="169"/>
      <c r="EX10" s="169"/>
      <c r="EY10" s="169"/>
      <c r="EZ10" s="169"/>
      <c r="FA10" s="169"/>
      <c r="FB10" s="171"/>
      <c r="FC10" s="171"/>
      <c r="FD10" s="171"/>
      <c r="FE10" s="171"/>
      <c r="FF10" s="171"/>
      <c r="FG10" s="171"/>
      <c r="FH10" s="171"/>
      <c r="FI10" s="171"/>
      <c r="FJ10" s="171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69"/>
      <c r="HD10" s="169"/>
      <c r="HE10" s="169"/>
      <c r="HF10" s="169"/>
      <c r="HG10" s="169"/>
      <c r="HH10" s="171"/>
      <c r="HI10" s="171"/>
      <c r="HJ10" s="171"/>
      <c r="HK10" s="198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71"/>
      <c r="HY10" s="171"/>
      <c r="HZ10" s="171"/>
      <c r="IA10" s="171"/>
      <c r="IB10" s="171"/>
      <c r="IC10" s="171"/>
      <c r="ID10" s="171"/>
      <c r="IE10" s="169"/>
      <c r="IF10" s="169"/>
      <c r="IG10" s="169"/>
      <c r="IH10" s="169"/>
      <c r="II10" s="169"/>
      <c r="IJ10" s="169"/>
      <c r="IK10" s="191"/>
      <c r="IL10" s="191"/>
      <c r="IM10" s="191"/>
      <c r="IN10" s="191"/>
      <c r="IO10" s="191"/>
      <c r="IP10" s="191"/>
      <c r="IQ10" s="191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93"/>
      <c r="JK10" s="193"/>
      <c r="JL10" s="191"/>
      <c r="JM10" s="191"/>
      <c r="JN10" s="191"/>
      <c r="JO10" s="193"/>
      <c r="JP10" s="193"/>
      <c r="JQ10" s="193"/>
      <c r="JR10" s="193"/>
      <c r="JS10" s="193"/>
      <c r="JT10" s="184"/>
      <c r="JU10" s="184"/>
      <c r="JV10" s="184"/>
      <c r="JW10" s="184"/>
      <c r="JX10" s="184"/>
      <c r="JY10" s="165"/>
      <c r="JZ10" s="165"/>
      <c r="KA10" s="165"/>
      <c r="KB10" s="186"/>
      <c r="KC10" s="186"/>
      <c r="KD10" s="186"/>
      <c r="KE10" s="186"/>
      <c r="KF10" s="186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55"/>
      <c r="LD10" s="155"/>
      <c r="LE10" s="155"/>
      <c r="LF10" s="155"/>
      <c r="LG10" s="155"/>
      <c r="LH10" s="155"/>
      <c r="LI10" s="155"/>
      <c r="LJ10" s="155"/>
      <c r="LK10" s="155"/>
      <c r="LL10" s="155"/>
      <c r="LM10" s="155"/>
      <c r="LN10" s="155"/>
      <c r="LO10" s="155"/>
      <c r="LP10" s="155"/>
      <c r="LQ10" s="188"/>
      <c r="LR10" s="188"/>
      <c r="LS10" s="188"/>
      <c r="LT10" s="188"/>
      <c r="LU10" s="155"/>
      <c r="LV10" s="155"/>
      <c r="LW10" s="155"/>
      <c r="LX10" s="188"/>
      <c r="LY10" s="188"/>
      <c r="LZ10" s="188"/>
      <c r="MA10" s="188"/>
      <c r="MB10" s="155"/>
      <c r="MC10" s="155"/>
      <c r="MD10" s="155"/>
      <c r="ME10" s="155"/>
      <c r="MF10" s="155"/>
      <c r="MG10" s="155"/>
      <c r="MH10" s="155"/>
      <c r="MI10" s="155"/>
    </row>
    <row r="11" spans="1:405" ht="15" customHeight="1" x14ac:dyDescent="0.25">
      <c r="A11" s="136"/>
      <c r="B11" s="130"/>
      <c r="C11" s="42"/>
      <c r="D11" s="42"/>
      <c r="E11" s="42"/>
      <c r="F11" s="42"/>
      <c r="G11" s="42"/>
      <c r="H11" s="42"/>
      <c r="I11" s="93"/>
      <c r="J11" s="93"/>
      <c r="K11" s="144" t="s">
        <v>276</v>
      </c>
      <c r="L11" s="206"/>
      <c r="M11" s="151"/>
      <c r="N11" s="167"/>
      <c r="O11" s="167"/>
      <c r="P11" s="167"/>
      <c r="Q11" s="167"/>
      <c r="R11" s="151"/>
      <c r="S11" s="151"/>
      <c r="T11" s="151"/>
      <c r="U11" s="151"/>
      <c r="V11" s="151"/>
      <c r="W11" s="151"/>
      <c r="X11" s="167"/>
      <c r="Y11" s="167"/>
      <c r="Z11" s="167"/>
      <c r="AA11" s="167"/>
      <c r="AB11" s="167"/>
      <c r="AC11" s="167"/>
      <c r="AD11" s="167"/>
      <c r="AE11" s="167"/>
      <c r="AF11" s="167"/>
      <c r="AG11" s="151"/>
      <c r="AH11" s="151"/>
      <c r="AI11" s="151"/>
      <c r="AJ11" s="167"/>
      <c r="AK11" s="167"/>
      <c r="AL11" s="167"/>
      <c r="AM11" s="167"/>
      <c r="AN11" s="167"/>
      <c r="AO11" s="151"/>
      <c r="AP11" s="151"/>
      <c r="AQ11" s="151"/>
      <c r="AR11" s="151"/>
      <c r="AS11" s="151"/>
      <c r="AT11" s="151"/>
      <c r="AU11" s="151"/>
      <c r="AV11" s="180"/>
      <c r="AW11" s="180"/>
      <c r="AX11" s="180"/>
      <c r="AY11" s="153"/>
      <c r="AZ11" s="153"/>
      <c r="BA11" s="153"/>
      <c r="BB11" s="153"/>
      <c r="BC11" s="153"/>
      <c r="BD11" s="153"/>
      <c r="BE11" s="153"/>
      <c r="BF11" s="153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3"/>
      <c r="BW11" s="153"/>
      <c r="BX11" s="153"/>
      <c r="BY11" s="153"/>
      <c r="BZ11" s="153"/>
      <c r="CA11" s="153"/>
      <c r="CB11" s="153"/>
      <c r="CC11" s="153"/>
      <c r="CD11" s="152"/>
      <c r="CE11" s="152"/>
      <c r="CF11" s="179"/>
      <c r="CG11" s="177"/>
      <c r="CH11" s="177"/>
      <c r="CI11" s="177"/>
      <c r="CJ11" s="177"/>
      <c r="CK11" s="177"/>
      <c r="CL11" s="177"/>
      <c r="CM11" s="177"/>
      <c r="CN11" s="177"/>
      <c r="CO11" s="177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63"/>
      <c r="DA11" s="163"/>
      <c r="DB11" s="163"/>
      <c r="DC11" s="182"/>
      <c r="DD11" s="182"/>
      <c r="DE11" s="182"/>
      <c r="DF11" s="163"/>
      <c r="DG11" s="163"/>
      <c r="DH11" s="163"/>
      <c r="DI11" s="163"/>
      <c r="DJ11" s="163"/>
      <c r="DK11" s="163"/>
      <c r="DL11" s="195"/>
      <c r="DM11" s="163"/>
      <c r="DN11" s="163"/>
      <c r="DO11" s="163"/>
      <c r="DP11" s="182"/>
      <c r="DQ11" s="182"/>
      <c r="DR11" s="182"/>
      <c r="DS11" s="182"/>
      <c r="DT11" s="182"/>
      <c r="DU11" s="182"/>
      <c r="DV11" s="182"/>
      <c r="DW11" s="197"/>
      <c r="DX11" s="197"/>
      <c r="DY11" s="196"/>
      <c r="DZ11" s="196"/>
      <c r="EA11" s="196"/>
      <c r="EB11" s="196"/>
      <c r="EC11" s="197"/>
      <c r="ED11" s="160"/>
      <c r="EE11" s="160"/>
      <c r="EF11" s="197"/>
      <c r="EG11" s="197"/>
      <c r="EH11" s="160"/>
      <c r="EI11" s="160"/>
      <c r="EJ11" s="197"/>
      <c r="EK11" s="197"/>
      <c r="EL11" s="169"/>
      <c r="EM11" s="198"/>
      <c r="EN11" s="169"/>
      <c r="EO11" s="169"/>
      <c r="EP11" s="202"/>
      <c r="EQ11" s="202"/>
      <c r="ER11" s="169"/>
      <c r="ES11" s="199"/>
      <c r="ET11" s="199"/>
      <c r="EU11" s="169"/>
      <c r="EV11" s="169"/>
      <c r="EW11" s="169"/>
      <c r="EX11" s="169"/>
      <c r="EY11" s="169"/>
      <c r="EZ11" s="169"/>
      <c r="FA11" s="169"/>
      <c r="FB11" s="171"/>
      <c r="FC11" s="171"/>
      <c r="FD11" s="171"/>
      <c r="FE11" s="171"/>
      <c r="FF11" s="171"/>
      <c r="FG11" s="171"/>
      <c r="FH11" s="171"/>
      <c r="FI11" s="171"/>
      <c r="FJ11" s="171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69"/>
      <c r="HD11" s="169"/>
      <c r="HE11" s="169"/>
      <c r="HF11" s="169"/>
      <c r="HG11" s="169"/>
      <c r="HH11" s="171"/>
      <c r="HI11" s="171"/>
      <c r="HJ11" s="171"/>
      <c r="HK11" s="198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71"/>
      <c r="HY11" s="171"/>
      <c r="HZ11" s="171"/>
      <c r="IA11" s="171"/>
      <c r="IB11" s="171"/>
      <c r="IC11" s="171"/>
      <c r="ID11" s="171"/>
      <c r="IE11" s="169"/>
      <c r="IF11" s="169"/>
      <c r="IG11" s="169"/>
      <c r="IH11" s="169"/>
      <c r="II11" s="169"/>
      <c r="IJ11" s="169"/>
      <c r="IK11" s="191"/>
      <c r="IL11" s="191"/>
      <c r="IM11" s="191"/>
      <c r="IN11" s="191"/>
      <c r="IO11" s="191"/>
      <c r="IP11" s="191"/>
      <c r="IQ11" s="191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93"/>
      <c r="JK11" s="193"/>
      <c r="JL11" s="191"/>
      <c r="JM11" s="191"/>
      <c r="JN11" s="191"/>
      <c r="JO11" s="193"/>
      <c r="JP11" s="193"/>
      <c r="JQ11" s="193"/>
      <c r="JR11" s="193"/>
      <c r="JS11" s="193"/>
      <c r="JT11" s="184"/>
      <c r="JU11" s="184"/>
      <c r="JV11" s="184"/>
      <c r="JW11" s="184"/>
      <c r="JX11" s="184"/>
      <c r="JY11" s="165"/>
      <c r="JZ11" s="165"/>
      <c r="KA11" s="165"/>
      <c r="KB11" s="186"/>
      <c r="KC11" s="186"/>
      <c r="KD11" s="186"/>
      <c r="KE11" s="186"/>
      <c r="KF11" s="186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55"/>
      <c r="LD11" s="155"/>
      <c r="LE11" s="155"/>
      <c r="LF11" s="155"/>
      <c r="LG11" s="155"/>
      <c r="LH11" s="155"/>
      <c r="LI11" s="155"/>
      <c r="LJ11" s="155"/>
      <c r="LK11" s="155"/>
      <c r="LL11" s="155"/>
      <c r="LM11" s="155"/>
      <c r="LN11" s="155"/>
      <c r="LO11" s="155"/>
      <c r="LP11" s="155"/>
      <c r="LQ11" s="188"/>
      <c r="LR11" s="188"/>
      <c r="LS11" s="188"/>
      <c r="LT11" s="188"/>
      <c r="LU11" s="155"/>
      <c r="LV11" s="155"/>
      <c r="LW11" s="155"/>
      <c r="LX11" s="188"/>
      <c r="LY11" s="188"/>
      <c r="LZ11" s="188"/>
      <c r="MA11" s="188"/>
      <c r="MB11" s="155"/>
      <c r="MC11" s="155"/>
      <c r="MD11" s="155"/>
      <c r="ME11" s="155"/>
      <c r="MF11" s="155"/>
      <c r="MG11" s="155"/>
      <c r="MH11" s="155"/>
      <c r="MI11" s="155"/>
    </row>
    <row r="12" spans="1:405" ht="15" customHeight="1" x14ac:dyDescent="0.25">
      <c r="A12" s="142"/>
      <c r="B12" s="94"/>
      <c r="C12" s="94"/>
      <c r="D12" s="94"/>
      <c r="E12" s="94"/>
      <c r="F12" s="94"/>
      <c r="G12" s="94"/>
      <c r="H12" s="94"/>
      <c r="I12" s="94"/>
      <c r="J12" s="94"/>
      <c r="K12" s="145" t="s">
        <v>306</v>
      </c>
      <c r="L12" s="206"/>
      <c r="M12" s="151"/>
      <c r="N12" s="167"/>
      <c r="O12" s="167"/>
      <c r="P12" s="167"/>
      <c r="Q12" s="167"/>
      <c r="R12" s="151"/>
      <c r="S12" s="151"/>
      <c r="T12" s="151"/>
      <c r="U12" s="151"/>
      <c r="V12" s="151"/>
      <c r="W12" s="151"/>
      <c r="X12" s="167"/>
      <c r="Y12" s="167"/>
      <c r="Z12" s="167"/>
      <c r="AA12" s="167"/>
      <c r="AB12" s="167"/>
      <c r="AC12" s="167"/>
      <c r="AD12" s="167"/>
      <c r="AE12" s="167"/>
      <c r="AF12" s="167"/>
      <c r="AG12" s="151"/>
      <c r="AH12" s="151"/>
      <c r="AI12" s="151"/>
      <c r="AJ12" s="167"/>
      <c r="AK12" s="167"/>
      <c r="AL12" s="167"/>
      <c r="AM12" s="167"/>
      <c r="AN12" s="167"/>
      <c r="AO12" s="151"/>
      <c r="AP12" s="151"/>
      <c r="AQ12" s="151"/>
      <c r="AR12" s="151"/>
      <c r="AS12" s="151"/>
      <c r="AT12" s="151"/>
      <c r="AU12" s="151"/>
      <c r="AV12" s="180"/>
      <c r="AW12" s="180"/>
      <c r="AX12" s="180"/>
      <c r="AY12" s="153"/>
      <c r="AZ12" s="153"/>
      <c r="BA12" s="153"/>
      <c r="BB12" s="153"/>
      <c r="BC12" s="153"/>
      <c r="BD12" s="153"/>
      <c r="BE12" s="153"/>
      <c r="BF12" s="153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3"/>
      <c r="BW12" s="153"/>
      <c r="BX12" s="153"/>
      <c r="BY12" s="153"/>
      <c r="BZ12" s="153"/>
      <c r="CA12" s="153"/>
      <c r="CB12" s="153"/>
      <c r="CC12" s="153"/>
      <c r="CD12" s="152"/>
      <c r="CE12" s="152"/>
      <c r="CF12" s="179"/>
      <c r="CG12" s="177"/>
      <c r="CH12" s="177"/>
      <c r="CI12" s="177"/>
      <c r="CJ12" s="177"/>
      <c r="CK12" s="177"/>
      <c r="CL12" s="177"/>
      <c r="CM12" s="177"/>
      <c r="CN12" s="177"/>
      <c r="CO12" s="177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63"/>
      <c r="DA12" s="163"/>
      <c r="DB12" s="163"/>
      <c r="DC12" s="182"/>
      <c r="DD12" s="182"/>
      <c r="DE12" s="182"/>
      <c r="DF12" s="163"/>
      <c r="DG12" s="163"/>
      <c r="DH12" s="163"/>
      <c r="DI12" s="163"/>
      <c r="DJ12" s="163"/>
      <c r="DK12" s="163"/>
      <c r="DL12" s="195"/>
      <c r="DM12" s="163"/>
      <c r="DN12" s="163"/>
      <c r="DO12" s="163"/>
      <c r="DP12" s="182"/>
      <c r="DQ12" s="182"/>
      <c r="DR12" s="182"/>
      <c r="DS12" s="182"/>
      <c r="DT12" s="182"/>
      <c r="DU12" s="182"/>
      <c r="DV12" s="182"/>
      <c r="DW12" s="197"/>
      <c r="DX12" s="197"/>
      <c r="DY12" s="196"/>
      <c r="DZ12" s="196"/>
      <c r="EA12" s="196"/>
      <c r="EB12" s="196"/>
      <c r="EC12" s="197"/>
      <c r="ED12" s="160"/>
      <c r="EE12" s="160"/>
      <c r="EF12" s="197"/>
      <c r="EG12" s="197"/>
      <c r="EH12" s="160"/>
      <c r="EI12" s="160"/>
      <c r="EJ12" s="197"/>
      <c r="EK12" s="197"/>
      <c r="EL12" s="169"/>
      <c r="EM12" s="198"/>
      <c r="EN12" s="169"/>
      <c r="EO12" s="169"/>
      <c r="EP12" s="202"/>
      <c r="EQ12" s="202"/>
      <c r="ER12" s="169"/>
      <c r="ES12" s="199"/>
      <c r="ET12" s="199"/>
      <c r="EU12" s="169"/>
      <c r="EV12" s="169"/>
      <c r="EW12" s="169"/>
      <c r="EX12" s="169"/>
      <c r="EY12" s="169"/>
      <c r="EZ12" s="169"/>
      <c r="FA12" s="169"/>
      <c r="FB12" s="171"/>
      <c r="FC12" s="171"/>
      <c r="FD12" s="171"/>
      <c r="FE12" s="171"/>
      <c r="FF12" s="171"/>
      <c r="FG12" s="171"/>
      <c r="FH12" s="171"/>
      <c r="FI12" s="171"/>
      <c r="FJ12" s="171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69"/>
      <c r="HD12" s="169"/>
      <c r="HE12" s="169"/>
      <c r="HF12" s="169"/>
      <c r="HG12" s="169"/>
      <c r="HH12" s="171"/>
      <c r="HI12" s="171"/>
      <c r="HJ12" s="171"/>
      <c r="HK12" s="198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71"/>
      <c r="HY12" s="171"/>
      <c r="HZ12" s="171"/>
      <c r="IA12" s="171"/>
      <c r="IB12" s="171"/>
      <c r="IC12" s="171"/>
      <c r="ID12" s="171"/>
      <c r="IE12" s="169"/>
      <c r="IF12" s="169"/>
      <c r="IG12" s="169"/>
      <c r="IH12" s="169"/>
      <c r="II12" s="169"/>
      <c r="IJ12" s="169"/>
      <c r="IK12" s="191"/>
      <c r="IL12" s="191"/>
      <c r="IM12" s="191"/>
      <c r="IN12" s="191"/>
      <c r="IO12" s="191"/>
      <c r="IP12" s="191"/>
      <c r="IQ12" s="191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93"/>
      <c r="JK12" s="193"/>
      <c r="JL12" s="191"/>
      <c r="JM12" s="191"/>
      <c r="JN12" s="191"/>
      <c r="JO12" s="193"/>
      <c r="JP12" s="193"/>
      <c r="JQ12" s="193"/>
      <c r="JR12" s="193"/>
      <c r="JS12" s="193"/>
      <c r="JT12" s="184"/>
      <c r="JU12" s="184"/>
      <c r="JV12" s="184"/>
      <c r="JW12" s="184"/>
      <c r="JX12" s="184"/>
      <c r="JY12" s="165"/>
      <c r="JZ12" s="165"/>
      <c r="KA12" s="165"/>
      <c r="KB12" s="186"/>
      <c r="KC12" s="186"/>
      <c r="KD12" s="186"/>
      <c r="KE12" s="186"/>
      <c r="KF12" s="186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55"/>
      <c r="LD12" s="155"/>
      <c r="LE12" s="155"/>
      <c r="LF12" s="155"/>
      <c r="LG12" s="155"/>
      <c r="LH12" s="155"/>
      <c r="LI12" s="155"/>
      <c r="LJ12" s="155"/>
      <c r="LK12" s="155"/>
      <c r="LL12" s="155"/>
      <c r="LM12" s="155"/>
      <c r="LN12" s="155"/>
      <c r="LO12" s="155"/>
      <c r="LP12" s="155"/>
      <c r="LQ12" s="188"/>
      <c r="LR12" s="188"/>
      <c r="LS12" s="188"/>
      <c r="LT12" s="188"/>
      <c r="LU12" s="155"/>
      <c r="LV12" s="155"/>
      <c r="LW12" s="155"/>
      <c r="LX12" s="188"/>
      <c r="LY12" s="188"/>
      <c r="LZ12" s="188"/>
      <c r="MA12" s="188"/>
      <c r="MB12" s="155"/>
      <c r="MC12" s="155"/>
      <c r="MD12" s="155"/>
      <c r="ME12" s="155"/>
      <c r="MF12" s="155"/>
      <c r="MG12" s="155"/>
      <c r="MH12" s="155"/>
      <c r="MI12" s="155"/>
    </row>
    <row r="13" spans="1:405" s="99" customFormat="1" ht="15" customHeight="1" x14ac:dyDescent="0.25">
      <c r="A13" s="146"/>
      <c r="B13" s="147"/>
      <c r="C13" s="97"/>
      <c r="D13" s="97"/>
      <c r="E13" s="97"/>
      <c r="F13" s="148"/>
      <c r="G13" s="148"/>
      <c r="H13" s="148"/>
      <c r="I13" s="148"/>
      <c r="J13" s="148"/>
      <c r="K13" s="149" t="s">
        <v>182</v>
      </c>
      <c r="L13" s="206"/>
      <c r="M13" s="151"/>
      <c r="N13" s="167"/>
      <c r="O13" s="167"/>
      <c r="P13" s="167"/>
      <c r="Q13" s="167"/>
      <c r="R13" s="151"/>
      <c r="S13" s="151"/>
      <c r="T13" s="151"/>
      <c r="U13" s="151"/>
      <c r="V13" s="151"/>
      <c r="W13" s="151"/>
      <c r="X13" s="167"/>
      <c r="Y13" s="167"/>
      <c r="Z13" s="167"/>
      <c r="AA13" s="167"/>
      <c r="AB13" s="167"/>
      <c r="AC13" s="167"/>
      <c r="AD13" s="167"/>
      <c r="AE13" s="167"/>
      <c r="AF13" s="167"/>
      <c r="AG13" s="151"/>
      <c r="AH13" s="151"/>
      <c r="AI13" s="151"/>
      <c r="AJ13" s="167"/>
      <c r="AK13" s="167"/>
      <c r="AL13" s="167"/>
      <c r="AM13" s="167"/>
      <c r="AN13" s="167"/>
      <c r="AO13" s="151"/>
      <c r="AP13" s="151"/>
      <c r="AQ13" s="151"/>
      <c r="AR13" s="151"/>
      <c r="AS13" s="151"/>
      <c r="AT13" s="151"/>
      <c r="AU13" s="151"/>
      <c r="AV13" s="180"/>
      <c r="AW13" s="180"/>
      <c r="AX13" s="180"/>
      <c r="AY13" s="153"/>
      <c r="AZ13" s="153"/>
      <c r="BA13" s="153"/>
      <c r="BB13" s="153"/>
      <c r="BC13" s="153"/>
      <c r="BD13" s="153"/>
      <c r="BE13" s="153"/>
      <c r="BF13" s="153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3"/>
      <c r="BW13" s="153"/>
      <c r="BX13" s="153"/>
      <c r="BY13" s="153"/>
      <c r="BZ13" s="153"/>
      <c r="CA13" s="153"/>
      <c r="CB13" s="153"/>
      <c r="CC13" s="153"/>
      <c r="CD13" s="152"/>
      <c r="CE13" s="152"/>
      <c r="CF13" s="179"/>
      <c r="CG13" s="177"/>
      <c r="CH13" s="177"/>
      <c r="CI13" s="177"/>
      <c r="CJ13" s="177"/>
      <c r="CK13" s="177"/>
      <c r="CL13" s="177"/>
      <c r="CM13" s="177"/>
      <c r="CN13" s="177"/>
      <c r="CO13" s="177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63"/>
      <c r="DA13" s="163"/>
      <c r="DB13" s="163"/>
      <c r="DC13" s="182"/>
      <c r="DD13" s="182"/>
      <c r="DE13" s="182"/>
      <c r="DF13" s="163"/>
      <c r="DG13" s="163"/>
      <c r="DH13" s="163"/>
      <c r="DI13" s="163"/>
      <c r="DJ13" s="163"/>
      <c r="DK13" s="163"/>
      <c r="DL13" s="162"/>
      <c r="DM13" s="163"/>
      <c r="DN13" s="163"/>
      <c r="DO13" s="163"/>
      <c r="DP13" s="182"/>
      <c r="DQ13" s="182"/>
      <c r="DR13" s="182"/>
      <c r="DS13" s="182"/>
      <c r="DT13" s="182"/>
      <c r="DU13" s="182"/>
      <c r="DV13" s="182"/>
      <c r="DW13" s="197"/>
      <c r="DX13" s="197"/>
      <c r="DY13" s="196"/>
      <c r="DZ13" s="196"/>
      <c r="EA13" s="196"/>
      <c r="EB13" s="196"/>
      <c r="EC13" s="197"/>
      <c r="ED13" s="161"/>
      <c r="EE13" s="161"/>
      <c r="EF13" s="197"/>
      <c r="EG13" s="197"/>
      <c r="EH13" s="161"/>
      <c r="EI13" s="161"/>
      <c r="EJ13" s="197"/>
      <c r="EK13" s="197"/>
      <c r="EL13" s="169"/>
      <c r="EM13" s="168"/>
      <c r="EN13" s="169"/>
      <c r="EO13" s="169"/>
      <c r="EP13" s="203"/>
      <c r="EQ13" s="203"/>
      <c r="ER13" s="189"/>
      <c r="ES13" s="200"/>
      <c r="ET13" s="200"/>
      <c r="EU13" s="169"/>
      <c r="EV13" s="169"/>
      <c r="EW13" s="169"/>
      <c r="EX13" s="169"/>
      <c r="EY13" s="169"/>
      <c r="EZ13" s="169"/>
      <c r="FA13" s="169"/>
      <c r="FB13" s="171"/>
      <c r="FC13" s="171"/>
      <c r="FD13" s="171"/>
      <c r="FE13" s="171"/>
      <c r="FF13" s="171"/>
      <c r="FG13" s="171"/>
      <c r="FH13" s="171"/>
      <c r="FI13" s="171"/>
      <c r="FJ13" s="171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69"/>
      <c r="HD13" s="169"/>
      <c r="HE13" s="169"/>
      <c r="HF13" s="169"/>
      <c r="HG13" s="169"/>
      <c r="HH13" s="171"/>
      <c r="HI13" s="171"/>
      <c r="HJ13" s="171"/>
      <c r="HK13" s="168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71"/>
      <c r="HY13" s="171"/>
      <c r="HZ13" s="171"/>
      <c r="IA13" s="171"/>
      <c r="IB13" s="171"/>
      <c r="IC13" s="171"/>
      <c r="ID13" s="171"/>
      <c r="IE13" s="169"/>
      <c r="IF13" s="169"/>
      <c r="IG13" s="169"/>
      <c r="IH13" s="169"/>
      <c r="II13" s="169"/>
      <c r="IJ13" s="169"/>
      <c r="IK13" s="192"/>
      <c r="IL13" s="192"/>
      <c r="IM13" s="192"/>
      <c r="IN13" s="192"/>
      <c r="IO13" s="192"/>
      <c r="IP13" s="192"/>
      <c r="IQ13" s="192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93"/>
      <c r="JK13" s="193"/>
      <c r="JL13" s="192"/>
      <c r="JM13" s="192"/>
      <c r="JN13" s="192"/>
      <c r="JO13" s="193"/>
      <c r="JP13" s="193"/>
      <c r="JQ13" s="193"/>
      <c r="JR13" s="193"/>
      <c r="JS13" s="193"/>
      <c r="JT13" s="184"/>
      <c r="JU13" s="184"/>
      <c r="JV13" s="184"/>
      <c r="JW13" s="184"/>
      <c r="JX13" s="184"/>
      <c r="JY13" s="165"/>
      <c r="JZ13" s="165"/>
      <c r="KA13" s="165"/>
      <c r="KB13" s="186"/>
      <c r="KC13" s="186"/>
      <c r="KD13" s="186"/>
      <c r="KE13" s="186"/>
      <c r="KF13" s="186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55"/>
      <c r="LD13" s="155"/>
      <c r="LE13" s="155"/>
      <c r="LF13" s="155"/>
      <c r="LG13" s="155"/>
      <c r="LH13" s="155"/>
      <c r="LI13" s="155"/>
      <c r="LJ13" s="155"/>
      <c r="LK13" s="155"/>
      <c r="LL13" s="155"/>
      <c r="LM13" s="155"/>
      <c r="LN13" s="155"/>
      <c r="LO13" s="155"/>
      <c r="LP13" s="155"/>
      <c r="LQ13" s="188"/>
      <c r="LR13" s="188"/>
      <c r="LS13" s="188"/>
      <c r="LT13" s="188"/>
      <c r="LU13" s="155"/>
      <c r="LV13" s="155"/>
      <c r="LW13" s="155"/>
      <c r="LX13" s="188"/>
      <c r="LY13" s="188"/>
      <c r="LZ13" s="188"/>
      <c r="MA13" s="188"/>
      <c r="MB13" s="155"/>
      <c r="MC13" s="155"/>
      <c r="MD13" s="155"/>
      <c r="ME13" s="155"/>
      <c r="MF13" s="155"/>
      <c r="MG13" s="155"/>
      <c r="MH13" s="155"/>
      <c r="MI13" s="155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</row>
    <row r="14" spans="1:405" x14ac:dyDescent="0.25">
      <c r="A14" s="120" t="s">
        <v>26</v>
      </c>
      <c r="B14" s="131" t="s">
        <v>2</v>
      </c>
      <c r="C14" s="120"/>
      <c r="D14" s="120"/>
      <c r="E14" s="120"/>
      <c r="F14" s="120"/>
      <c r="G14" s="120"/>
      <c r="H14" s="120"/>
      <c r="I14" s="120"/>
      <c r="J14" s="120"/>
      <c r="K14" s="121"/>
      <c r="L14" s="118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3"/>
      <c r="AW14" s="114" t="str">
        <f t="shared" ref="AW14:AW77" si="0">HYPERLINK("http://sab.landtag.sachsen.de/dokumente/landtagskurier/SAB_DeutschLernen_DinA5_WEB141115.pdf","x")</f>
        <v>x</v>
      </c>
      <c r="AX14" s="114" t="str">
        <f t="shared" ref="AX14:AX77" si="1">HYPERLINK("http://sab.landtag.sachsen.de/dokumente/landtagskurier/SAB_PL_Lernposter_WEB091115.pdf","x")</f>
        <v>x</v>
      </c>
      <c r="AY14" s="111"/>
      <c r="AZ14" s="111"/>
      <c r="BA14" s="112" t="str">
        <f t="shared" ref="BA14:BA77" si="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14" s="112" t="str">
        <f t="shared" ref="BB14:BB77" si="3">HYPERLINK("http://wie-kann-ich-helfen.info/WoerterbuchAnalphabet_innen_%28c%29_Dagmar_Schmeelcke.pdf","x")</f>
        <v>x</v>
      </c>
      <c r="BC14" s="111"/>
      <c r="BD14" s="111"/>
      <c r="BE14" s="111"/>
      <c r="BF14" s="111"/>
      <c r="BG14" s="111"/>
      <c r="BH14" s="112" t="str">
        <f>HYPERLINK("http://www.refugeephrasebook.de/pdf/germany150920.pdf","x")</f>
        <v>x</v>
      </c>
      <c r="BI14" s="112" t="str">
        <f>HYPERLINK("https://www.advanced-online.eu/downloads/RefugeePhrasebookCards_German-Dari.pdf","x")</f>
        <v>x</v>
      </c>
      <c r="BJ14" s="111"/>
      <c r="BK14" s="111"/>
      <c r="BL14" s="112" t="str">
        <f>HYPERLINK("http://www.bundessprachenamt.de/deutsch/wir_ueber_uns/nachrichten/2015/20151103/Verständigungshilfe_Dari_07_12_2015.pdf","x")</f>
        <v>x</v>
      </c>
      <c r="BM14" s="112" t="str">
        <f>HYPERLINK("http://www.frnrw.de/images/Aus_den_Initiativen/Ehrenamtler/2015/Dictionary_x10_print-2.pdf","x")</f>
        <v>x</v>
      </c>
      <c r="BN14" s="111"/>
      <c r="BO14" s="112" t="str">
        <f>HYPERLINK("http://mylanguages.org/dari_phrases.php","x")</f>
        <v>x</v>
      </c>
      <c r="BP14" s="112" t="str">
        <f>HYPERLINK("https://www.friedensdorf.de/documents/Woerterbuch_Dari.pdf","x")</f>
        <v>x</v>
      </c>
      <c r="BQ14" s="111"/>
      <c r="BR14" s="111"/>
      <c r="BS14" s="112" t="str">
        <f t="shared" ref="BS14:BS77" si="4">HYPERLINK("http://www.goethe.de/lrn/prj/wnd/deu/lti/deindex.htm#13322010","x")</f>
        <v>x</v>
      </c>
      <c r="BT14" s="112"/>
      <c r="BU14" s="111"/>
      <c r="BV14" s="112" t="str">
        <f t="shared" ref="BV14:BV77" si="5">HYPERLINK("https://s3-eu-west-1.amazonaws.com/lingolia/download/lingolia_daf.pdf","x")</f>
        <v>x</v>
      </c>
      <c r="BW14" s="112"/>
      <c r="BX14" s="112"/>
      <c r="BY14" s="112"/>
      <c r="BZ14" s="112"/>
      <c r="CA14" s="112" t="str">
        <f t="shared" ref="CA14:CA77" si="6">HYPERLINK("http://www.hueber.de/shared/uebungen/schritte-plus","x")</f>
        <v>x</v>
      </c>
      <c r="CB14" s="112" t="str">
        <f t="shared" ref="CB14:CB77" si="7">HYPERLINK("https://www.hueber.de/shared/uebungen/menschen-hier/ab/a1-1/menu.html","x")</f>
        <v>x</v>
      </c>
      <c r="CC14" s="112" t="str">
        <f t="shared" ref="CC14:CC77" si="8">HYPERLINK("http://www.goethe-verlag.com/DE/","x")</f>
        <v>x</v>
      </c>
      <c r="CD14" s="112"/>
      <c r="CE14" s="112"/>
      <c r="CF14" s="126"/>
      <c r="CG14" s="111"/>
      <c r="CH14" s="111"/>
      <c r="CI14" s="111"/>
      <c r="CJ14" s="111"/>
      <c r="CK14" s="112" t="str">
        <f t="shared" ref="CK14:CK77" si="9">HYPERLINK("http://www.e-migrantinnen.de/index.php?de_wichtige-links","x")</f>
        <v>x</v>
      </c>
      <c r="CL14" s="112"/>
      <c r="CM14" s="112"/>
      <c r="CN14" s="112"/>
      <c r="CO14" s="112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2"/>
      <c r="DA14" s="112"/>
      <c r="DB14" s="112"/>
      <c r="DC14" s="115"/>
      <c r="DD14" s="112"/>
      <c r="DE14" s="112"/>
      <c r="DF14" s="112" t="str">
        <f t="shared" ref="DF14:DF77" si="10">HYPERLINK("http://fi-lohmar-siegburg.de/data/documents/130-37_Inklusion_im_Anfangsunterricht_-_Poster_mit_Situationsbildern.pdf","x")</f>
        <v>x</v>
      </c>
      <c r="DG14" s="115" t="str">
        <f t="shared" ref="DG14:DG77" si="11">HYPERLINK("http://s3-eu-west-1.amazonaws.com/lingolia/calendar/2016/lingolia_2016_de.pdf","x")</f>
        <v>x</v>
      </c>
      <c r="DH14" s="112" t="str">
        <f t="shared" ref="DH14:DH77" si="12">HYPERLINK("http://www.bibliomedia.ch/de/angebote/img/Wimmelbild.jpg","x")</f>
        <v>x</v>
      </c>
      <c r="DI14" s="112" t="str">
        <f t="shared" ref="DI14:DI77" si="13">HYPERLINK("http://www.bibliomedia.ch/de/angebote/dokumente/Wimmelbild_Fehler.jpg","x")</f>
        <v>x</v>
      </c>
      <c r="DJ14" s="111"/>
      <c r="DK14" s="111"/>
      <c r="DL14" s="111"/>
      <c r="DM14" s="111"/>
      <c r="DN14" s="111"/>
      <c r="DO14" s="112" t="str">
        <f>HYPERLINK("http://www.wdrmaus.de/sachgeschichten/maus-international/","x")</f>
        <v>x</v>
      </c>
      <c r="DP14" s="111"/>
      <c r="DQ14" s="111"/>
      <c r="DR14" s="111"/>
      <c r="DS14" s="111"/>
      <c r="DT14" s="111"/>
      <c r="DU14" s="111"/>
      <c r="DV14" s="112" t="str">
        <f>HYPERLINK("https://www.bmbf.de/pub/KAUSA_Elternratgeber_deutsch_persisch_bf.pdf","x")</f>
        <v>x</v>
      </c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2" t="str">
        <f>HYPERLINK("http://www.kvs-sachsen.de/fileadmin/img/Mitglieder/Asylbewerber/Allg-Informationen/Anlage_1_Dari_LEK.pdf","x")</f>
        <v>x</v>
      </c>
      <c r="EN14" s="112" t="str">
        <f>HYPERLINK("http://www.medizin-hilft-fluechtlingen.de/images/Dokumente/gSch/gSch_dar.pdf","x")</f>
        <v>x</v>
      </c>
      <c r="EO14" s="112"/>
      <c r="EP14" s="118"/>
      <c r="EQ14" s="118"/>
      <c r="ER14" s="112" t="str">
        <f>HYPERLINK("http://www.kvs-sachsen.de/fileadmin/img/Mitglieder/Asylbewerber/Allg-Informationen/151124_Anlage2__1_Erwachsene-DAR.pdf","x")</f>
        <v>x</v>
      </c>
      <c r="ES14" s="112" t="str">
        <f>HYPERLINK("http://www.kvs-sachsen.de/fileadmin/img/Mitglieder/Asylbewerber/Allg-Informationen/151124_Anlage2_2_Kinder-DAR.pdf","x")</f>
        <v>x</v>
      </c>
      <c r="ET14" s="112"/>
      <c r="EU14" s="112" t="str">
        <f>HYPERLINK("http://www.medizin-hilft-fluechtlingen.de/images/Dokumente/ein/ein_far.pdf","x")</f>
        <v>x</v>
      </c>
      <c r="EV14" s="112"/>
      <c r="EW14" s="112" t="str">
        <f t="shared" ref="EW14:EW77" si="14">HYPERLINK("http://www.lak-rlp.de/fileadmin/redakteure/pdf/download/Piktogramme_Dosieretiketten_AoG.pdf","x")</f>
        <v>x</v>
      </c>
      <c r="EX14" s="111"/>
      <c r="EY14" s="111"/>
      <c r="EZ14" s="111"/>
      <c r="FA14" s="111"/>
      <c r="FB14" s="111"/>
      <c r="FC14" s="111"/>
      <c r="FD14" s="112" t="str">
        <f t="shared" ref="FD14:FD77" si="15">HYPERLINK("http://mige.ix-tech.de/index.php?id=241","x")</f>
        <v>x</v>
      </c>
      <c r="FE14" s="112" t="str">
        <f>HYPERLINK("http://sghanstedt.elbnetz.com/ueber-uns/","x")</f>
        <v>x</v>
      </c>
      <c r="FF14" s="111"/>
      <c r="FG14" s="112" t="str">
        <f>HYPERLINK("http://www.tipdoc.de/grafik/asyl/Gesundheitsheft_Asyl.pdf","x")</f>
        <v>x</v>
      </c>
      <c r="FH14" s="111"/>
      <c r="FI14" s="111"/>
      <c r="FJ14" s="112"/>
      <c r="FK14" s="112" t="str">
        <f>HYPERLINK("http://www.rki.de/DE/Content/Infekt/Impfen/Materialien/Downloads-Impfkalender/Impfkalender_Dari.pdf?__blob=publicationFile","x")</f>
        <v>x</v>
      </c>
      <c r="FL14" s="111"/>
      <c r="FM14" s="111"/>
      <c r="FN14" s="112"/>
      <c r="FO14" s="112"/>
      <c r="FP14" s="112" t="str">
        <f>HYPERLINK("http://www.rki.de/DE/Content/Infekt/Impfen/Materialien/Downloads-MMR/MMR-Impfinfo-dari.pdf?__blob=publicationFile","x")</f>
        <v>x</v>
      </c>
      <c r="FQ14" s="111"/>
      <c r="FR14" s="112" t="str">
        <f>HYPERLINK("http://www.rki.de/DE/Content/Infekt/Impfen/Materialien/Downloads_HepA/Aufklaerung_HAV-Impfung_dari.pdf?__blob=publicationFile","x")</f>
        <v>x</v>
      </c>
      <c r="FS14" s="112" t="str">
        <f>HYPERLINK("http://www.rki.de/DE/Content/Infekt/Impfen/Materialien/Downloads_Pneumokokken/Aufklaerung_Pneumo-Impfung_Dari.pdf?__blob=publicationFile","x")</f>
        <v>x</v>
      </c>
      <c r="FT14" s="112" t="str">
        <f>HYPERLINK("http://www.rki.de/DE/Content/Infekt/Impfen/Materialien/Downloads-DTaPIPVHibHepB/DTaPIPVHibHepB_dari.pdf?__blob=publicationFile","x")</f>
        <v>x</v>
      </c>
      <c r="FU14" s="112" t="str">
        <f>HYPERLINK("http://www.rki.de/DE/Content/Infekt/Impfen/Materialien/Downloads-Varizellen/Varizellen-Impfinfo-dari.pdf;jsessionid=65B697F4EE7EDA8A1ED9E2C4CD6C74EC.2_cid363?__blob=publicationFile","x")</f>
        <v>x</v>
      </c>
      <c r="FV14" s="112" t="str">
        <f>HYPERLINK("http://www.rki.de/DE/Content/Infekt/Impfen/Materialien/Downloads-Tdap-IPV/Tdap-IPV-dari.pdf?__blob=publicationFile","x")</f>
        <v>x</v>
      </c>
      <c r="FW14" s="112" t="str">
        <f>HYPERLINK("http://www.rki.de/DE/Content/Infekt/Impfen/Materialien/Downloads-Influenza_nasal/Influenza_nasal-dari.pdf?__blob=publicationFile","x")</f>
        <v>x</v>
      </c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2"/>
      <c r="GI14" s="111"/>
      <c r="GJ14" s="111"/>
      <c r="GK14" s="111"/>
      <c r="GL14" s="111"/>
      <c r="GM14" s="112" t="str">
        <f>HYPERLINK("http://www.rki.de/DE/Content/Infekt/Impfen/Materialien/Downloads-Influenza/Influenza-dari.pdf?__blob=publicationFile","x")</f>
        <v>x</v>
      </c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2" t="str">
        <f t="shared" ref="HC14:HC77" si="16">HYPERLINK("https://www.zahnaerzte-wl.de/images/_PDF-suche/KZV_ZÄK/piktogrammheft.pdf","x")</f>
        <v>x</v>
      </c>
      <c r="HD14" s="111"/>
      <c r="HE14" s="111"/>
      <c r="HF14" s="111"/>
      <c r="HG14" s="111"/>
      <c r="HH14" s="111"/>
      <c r="HI14" s="111"/>
      <c r="HJ14" s="111"/>
      <c r="HK14" s="112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2" t="str">
        <f t="shared" ref="HY14:HY77" si="17">HYPERLINK("http://www.selfhelpfortrauma.org/","x")</f>
        <v>x</v>
      </c>
      <c r="HZ14" s="112" t="str">
        <f t="shared" ref="HZ14:HZ77" si="18">HYPERLINK("http://peacefulheart.se/wp-content/uploads/2014/12/Resolving-Yesterday-20141201-Self-Tapping.pdf","x")</f>
        <v>x</v>
      </c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5" t="str">
        <f>HYPERLINK("http://www.bamf.de/SharedDocs/Anlagen/DE/Publikationen/Flyer/flyer-erstorientierung-asylsuchende_dari.pdf?__blob=publicationFile","x")</f>
        <v>x</v>
      </c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2" t="str">
        <f>HYPERLINK("http://www.b-umf.de/images/willkommen/willkommensbroschuredari-web.pdf","x")</f>
        <v>x</v>
      </c>
      <c r="JU14" s="111"/>
      <c r="JV14" s="111"/>
      <c r="JW14" s="111"/>
      <c r="JX14" s="111"/>
      <c r="JY14" s="112"/>
      <c r="JZ14" s="112"/>
      <c r="KA14" s="112"/>
      <c r="KB14" s="112" t="str">
        <f>HYPERLINK("http://www.refugeeguide.de/dl/RefugeeGuide_fd_1019.pdf","x")</f>
        <v>x</v>
      </c>
      <c r="KC14" s="111"/>
      <c r="KD14" s="111"/>
      <c r="KE14" s="111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</row>
    <row r="15" spans="1:405" x14ac:dyDescent="0.25">
      <c r="A15" s="102" t="s">
        <v>26</v>
      </c>
      <c r="B15" s="128" t="s">
        <v>27</v>
      </c>
      <c r="C15" s="120"/>
      <c r="D15" s="120"/>
      <c r="E15" s="120"/>
      <c r="F15" s="120"/>
      <c r="G15" s="120"/>
      <c r="H15" s="120"/>
      <c r="I15" s="120"/>
      <c r="J15" s="120"/>
      <c r="K15" s="12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2" t="str">
        <f>HYPERLINK("http://sghanstedt.elbnetz.com/ueber-uns/","x")</f>
        <v>x</v>
      </c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3"/>
      <c r="AW15" s="114" t="str">
        <f t="shared" si="0"/>
        <v>x</v>
      </c>
      <c r="AX15" s="114" t="str">
        <f t="shared" si="1"/>
        <v>x</v>
      </c>
      <c r="AY15" s="111"/>
      <c r="AZ15" s="111"/>
      <c r="BA15" s="112" t="str">
        <f t="shared" si="2"/>
        <v>x</v>
      </c>
      <c r="BB15" s="112" t="str">
        <f t="shared" si="3"/>
        <v>x</v>
      </c>
      <c r="BC15" s="111"/>
      <c r="BD15" s="111"/>
      <c r="BE15" s="111"/>
      <c r="BF15" s="111"/>
      <c r="BG15" s="111"/>
      <c r="BH15" s="111"/>
      <c r="BI15" s="111"/>
      <c r="BJ15" s="111"/>
      <c r="BK15" s="111"/>
      <c r="BL15" s="112" t="str">
        <f>HYPERLINK("http://www.bundessprachenamt.de/deutsch/wir_ueber_uns/nachrichten/2015/20151103/Verständigungshilfe_Paschtu_07_12_2015.pdf","x")</f>
        <v>x</v>
      </c>
      <c r="BM15" s="111"/>
      <c r="BN15" s="111"/>
      <c r="BO15" s="111"/>
      <c r="BP15" s="111"/>
      <c r="BQ15" s="111"/>
      <c r="BR15" s="112" t="str">
        <f>HYPERLINK("http://www.friedensdorf.de/documents/Woerterbuch_Pashtu.pdf","x")</f>
        <v>x</v>
      </c>
      <c r="BS15" s="112" t="str">
        <f t="shared" si="4"/>
        <v>x</v>
      </c>
      <c r="BT15" s="112"/>
      <c r="BU15" s="111"/>
      <c r="BV15" s="112" t="str">
        <f t="shared" si="5"/>
        <v>x</v>
      </c>
      <c r="BW15" s="112" t="str">
        <f>HYPERLINK("http://www.welcomegrooves.de/wp-content/uploads/2015/10/welcomegrooves_DE-PASCHTO.pdf","x")</f>
        <v>x</v>
      </c>
      <c r="BX15" s="112"/>
      <c r="BY15" s="112"/>
      <c r="BZ15" s="112"/>
      <c r="CA15" s="112" t="str">
        <f t="shared" si="6"/>
        <v>x</v>
      </c>
      <c r="CB15" s="112" t="str">
        <f t="shared" si="7"/>
        <v>x</v>
      </c>
      <c r="CC15" s="112" t="str">
        <f t="shared" si="8"/>
        <v>x</v>
      </c>
      <c r="CD15" s="112"/>
      <c r="CE15" s="112"/>
      <c r="CF15" s="111"/>
      <c r="CG15" s="111"/>
      <c r="CH15" s="111"/>
      <c r="CI15" s="111"/>
      <c r="CJ15" s="111"/>
      <c r="CK15" s="112" t="str">
        <f t="shared" si="9"/>
        <v>x</v>
      </c>
      <c r="CL15" s="112"/>
      <c r="CM15" s="112"/>
      <c r="CN15" s="112"/>
      <c r="CO15" s="112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2"/>
      <c r="DA15" s="112" t="str">
        <f>HYPERLINK("http://sichere-orte-schaffen.de/wp-content/uploads/Minibrosch_Fluechtlinge_multilang.pdf","x")</f>
        <v>x</v>
      </c>
      <c r="DB15" s="112"/>
      <c r="DC15" s="115"/>
      <c r="DD15" s="112"/>
      <c r="DE15" s="112"/>
      <c r="DF15" s="112" t="str">
        <f t="shared" si="10"/>
        <v>x</v>
      </c>
      <c r="DG15" s="115" t="str">
        <f t="shared" si="11"/>
        <v>x</v>
      </c>
      <c r="DH15" s="112" t="str">
        <f t="shared" si="12"/>
        <v>x</v>
      </c>
      <c r="DI15" s="112" t="str">
        <f t="shared" si="13"/>
        <v>x</v>
      </c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2" t="str">
        <f>HYPERLINK("http://www.kvs-sachsen.de/fileadmin/img/Mitglieder/Asylbewerber/Allg-Informationen/Anlage_1_Paschtu_LEK.pdf","x")</f>
        <v>x</v>
      </c>
      <c r="EN15" s="111"/>
      <c r="EO15" s="111"/>
      <c r="EP15" s="118"/>
      <c r="EQ15" s="118"/>
      <c r="ER15" s="112" t="str">
        <f>HYPERLINK("http://www.kvs-sachsen.de/fileadmin/img/Mitglieder/Asylbewerber/Allg-Informationen/Anlagen_2-1_2-2_Paschtu_LEK.pdf","x")</f>
        <v>x</v>
      </c>
      <c r="ES15" s="111"/>
      <c r="ET15" s="111"/>
      <c r="EU15" s="111"/>
      <c r="EV15" s="111"/>
      <c r="EW15" s="112" t="str">
        <f t="shared" si="14"/>
        <v>x</v>
      </c>
      <c r="EX15" s="111"/>
      <c r="EY15" s="111"/>
      <c r="EZ15" s="111"/>
      <c r="FA15" s="111"/>
      <c r="FB15" s="111"/>
      <c r="FC15" s="111"/>
      <c r="FD15" s="112" t="str">
        <f t="shared" si="15"/>
        <v>x</v>
      </c>
      <c r="FE15" s="112" t="str">
        <f>HYPERLINK("http://sghanstedt.elbnetz.com/ueber-uns/","x")</f>
        <v>x</v>
      </c>
      <c r="FF15" s="111"/>
      <c r="FG15" s="111"/>
      <c r="FH15" s="111"/>
      <c r="FI15" s="111"/>
      <c r="FJ15" s="112" t="str">
        <f>HYPERLINK("http://www.bundesgesundheitsministerium.de/fileadmin/dateien/Publikationen/Gesundheit/Broschueren/Ratgeber_Asylsuchende/Ratgeber_Asylsuchende_paschto.pdf","x")</f>
        <v>x</v>
      </c>
      <c r="FK15" s="112" t="str">
        <f>HYPERLINK("http://www.rki.de/DE/Content/Infekt/Impfen/Materialien/Downloads-Impfkalender/Impfkalender_Pashto.pdf?__blob=publicationFile","x")</f>
        <v>x</v>
      </c>
      <c r="FL15" s="111"/>
      <c r="FM15" s="111"/>
      <c r="FN15" s="111"/>
      <c r="FO15" s="111"/>
      <c r="FP15" s="112" t="str">
        <f>HYPERLINK("http://www.rki.de/DE/Content/Infekt/Impfen/Materialien/Downloads-MMR/MMR-Impfinfo-pashto.pdf?__blob=publicationFile","x")</f>
        <v>x</v>
      </c>
      <c r="FQ15" s="111"/>
      <c r="FR15" s="112" t="str">
        <f>HYPERLINK("http://www.rki.de/DE/Content/Infekt/Impfen/Materialien/Downloads_HepA/Aufklaerung_HAV-Impfung_Pashto.pdf?__blob=publicationFile","x")</f>
        <v>x</v>
      </c>
      <c r="FS15" s="112" t="str">
        <f>HYPERLINK("http://www.rki.de/DE/Content/Infekt/Impfen/Materialien/Downloads_Pneumokokken/Aufklaerung_Pneumo-Impfung_Pashto.pdf?__blob=publicationFile","x")</f>
        <v>x</v>
      </c>
      <c r="FT15" s="112" t="str">
        <f>HYPERLINK("http://www.rki.de/DE/Content/Infekt/Impfen/Materialien/Downloads-DTaPIPVHibHepB/DTaPIPVHibHepB_pashto.pdf?__blob=publicationFile","x")</f>
        <v>x</v>
      </c>
      <c r="FU15" s="112" t="str">
        <f>HYPERLINK("http://www.rki.de/DE/Content/Infekt/Impfen/Materialien/Downloads-Varizellen/Varizellen-Impfinfo-pashto.pdf;jsessionid=65B697F4EE7EDA8A1ED9E2C4CD6C74EC.2_cid363?__blob=publicationFile","x")</f>
        <v>x</v>
      </c>
      <c r="FV15" s="112" t="str">
        <f>HYPERLINK("http://www.rki.de/DE/Content/Infekt/Impfen/Materialien/Downloads-Tdap-IPV/Tdap-IPV-pashto.pdf?__blob=publicationFile","x")</f>
        <v>x</v>
      </c>
      <c r="FW15" s="112" t="str">
        <f>HYPERLINK("http://www.rki.de/DE/Content/Infekt/Impfen/Materialien/Downloads-Influenza_nasal/Influenza_nasal_pashto.pdf?__blob=publicationFile","x")</f>
        <v>x</v>
      </c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2" t="str">
        <f>HYPERLINK("http://www.rki.de/DE/Content/Infekt/Impfen/Materialien/Downloads-Influenza/Influenza_Pashto.pdf?__blob=publicationFile","x")</f>
        <v>x</v>
      </c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2" t="str">
        <f t="shared" si="16"/>
        <v>x</v>
      </c>
      <c r="HD15" s="111"/>
      <c r="HE15" s="111"/>
      <c r="HF15" s="111"/>
      <c r="HG15" s="111"/>
      <c r="HH15" s="111"/>
      <c r="HI15" s="111"/>
      <c r="HJ15" s="111"/>
      <c r="HK15" s="112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2" t="str">
        <f t="shared" si="17"/>
        <v>x</v>
      </c>
      <c r="HZ15" s="112" t="str">
        <f t="shared" si="18"/>
        <v>x</v>
      </c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2" t="str">
        <f>HYPERLINK("http://www.bamf.de/SharedDocs/Anlagen/DE/Publikationen/Flyer/flyer-erstorientierung-asylsuchende_pashtu.pdf?__blob=publicationFile","x")</f>
        <v>x</v>
      </c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2"/>
      <c r="JZ15" s="112"/>
      <c r="KA15" s="112"/>
      <c r="KB15" s="112" t="str">
        <f>HYPERLINK("http://www.refugeeguide.de/dl/RefugeeGuide_ps_1021.pdf","x")</f>
        <v>x</v>
      </c>
      <c r="KC15" s="111"/>
      <c r="KD15" s="111"/>
      <c r="KE15" s="112" t="str">
        <f>HYPERLINK("http://www.frauenrechte.de/online/images/downloads/allgemein/TDF_Flyer_Women_Men.pdf","x")</f>
        <v>x</v>
      </c>
      <c r="KF15" s="111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</row>
    <row r="16" spans="1:405" x14ac:dyDescent="0.25">
      <c r="A16" s="102" t="s">
        <v>26</v>
      </c>
      <c r="B16" s="127" t="s">
        <v>154</v>
      </c>
      <c r="C16" s="102"/>
      <c r="D16" s="102"/>
      <c r="E16" s="102"/>
      <c r="F16" s="102"/>
      <c r="G16" s="102"/>
      <c r="H16" s="102"/>
      <c r="I16" s="102"/>
      <c r="J16" s="102"/>
      <c r="K16" s="103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3"/>
      <c r="AW16" s="114" t="str">
        <f t="shared" si="0"/>
        <v>x</v>
      </c>
      <c r="AX16" s="114" t="str">
        <f t="shared" si="1"/>
        <v>x</v>
      </c>
      <c r="AY16" s="111"/>
      <c r="AZ16" s="111"/>
      <c r="BA16" s="112" t="str">
        <f t="shared" si="2"/>
        <v>x</v>
      </c>
      <c r="BB16" s="112" t="str">
        <f t="shared" si="3"/>
        <v>x</v>
      </c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2" t="str">
        <f t="shared" si="4"/>
        <v>x</v>
      </c>
      <c r="BT16" s="112"/>
      <c r="BU16" s="111"/>
      <c r="BV16" s="112" t="str">
        <f t="shared" si="5"/>
        <v>x</v>
      </c>
      <c r="BW16" s="112"/>
      <c r="BX16" s="112"/>
      <c r="BY16" s="112"/>
      <c r="BZ16" s="112"/>
      <c r="CA16" s="112" t="str">
        <f t="shared" si="6"/>
        <v>x</v>
      </c>
      <c r="CB16" s="112" t="str">
        <f t="shared" si="7"/>
        <v>x</v>
      </c>
      <c r="CC16" s="112" t="str">
        <f t="shared" si="8"/>
        <v>x</v>
      </c>
      <c r="CD16" s="112"/>
      <c r="CE16" s="112"/>
      <c r="CF16" s="111"/>
      <c r="CG16" s="111"/>
      <c r="CH16" s="111"/>
      <c r="CI16" s="111"/>
      <c r="CJ16" s="111"/>
      <c r="CK16" s="112" t="str">
        <f t="shared" si="9"/>
        <v>x</v>
      </c>
      <c r="CL16" s="112"/>
      <c r="CM16" s="112"/>
      <c r="CN16" s="112"/>
      <c r="CO16" s="112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2"/>
      <c r="DA16" s="112"/>
      <c r="DB16" s="112"/>
      <c r="DC16" s="115"/>
      <c r="DD16" s="112"/>
      <c r="DE16" s="112"/>
      <c r="DF16" s="112" t="str">
        <f t="shared" si="10"/>
        <v>x</v>
      </c>
      <c r="DG16" s="115" t="str">
        <f t="shared" si="11"/>
        <v>x</v>
      </c>
      <c r="DH16" s="112" t="str">
        <f t="shared" si="12"/>
        <v>x</v>
      </c>
      <c r="DI16" s="112" t="str">
        <f t="shared" si="13"/>
        <v>x</v>
      </c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8"/>
      <c r="EQ16" s="118"/>
      <c r="ER16" s="111"/>
      <c r="ES16" s="111"/>
      <c r="ET16" s="111"/>
      <c r="EU16" s="111"/>
      <c r="EV16" s="111"/>
      <c r="EW16" s="112" t="str">
        <f t="shared" si="14"/>
        <v>x</v>
      </c>
      <c r="EX16" s="111"/>
      <c r="EY16" s="111"/>
      <c r="EZ16" s="111"/>
      <c r="FA16" s="111"/>
      <c r="FB16" s="111"/>
      <c r="FC16" s="111"/>
      <c r="FD16" s="112" t="str">
        <f t="shared" si="15"/>
        <v>x</v>
      </c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2" t="str">
        <f t="shared" si="16"/>
        <v>x</v>
      </c>
      <c r="HD16" s="112" t="str">
        <f>HYPERLINK("https://www.zahnaerzte-wl.de/images/_PDF-suche/KZV_ZÄK/ENDSTAND_Ankreuzbogen_Ich_verstehe.pdf","x")</f>
        <v>x</v>
      </c>
      <c r="HE16" s="112" t="str">
        <f>HYPERLINK("https://www.zahnaerzte-wl.de/images/_PDF-suche/KZV_ZÄK/Anschreiben_Patienten_usbekisch.pdf","x")</f>
        <v>x</v>
      </c>
      <c r="HF16" s="112" t="str">
        <f>HYPERLINK("https://www.zahnaerzte-wl.de/images/_PDF-suche/KZV_ZÄK/Fragebogen_usbekisch.pdf","x")</f>
        <v>x</v>
      </c>
      <c r="HG16" s="112" t="str">
        <f>HYPERLINK("https://www.zahnaerzte-wl.de/images/_PDF-suche/KZV_ZÄK/Patientenerhebungsbogen_usbekisch.pdf","x")</f>
        <v>x</v>
      </c>
      <c r="HH16" s="112"/>
      <c r="HI16" s="112"/>
      <c r="HJ16" s="112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2" t="str">
        <f t="shared" si="17"/>
        <v>x</v>
      </c>
      <c r="HZ16" s="112" t="str">
        <f t="shared" si="18"/>
        <v>x</v>
      </c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</row>
    <row r="17" spans="1:347" ht="15" customHeight="1" x14ac:dyDescent="0.25">
      <c r="A17" s="102" t="s">
        <v>28</v>
      </c>
      <c r="B17" s="127" t="s">
        <v>1</v>
      </c>
      <c r="C17" s="102"/>
      <c r="D17" s="102"/>
      <c r="E17" s="102"/>
      <c r="F17" s="102"/>
      <c r="G17" s="102"/>
      <c r="H17" s="102"/>
      <c r="I17" s="102"/>
      <c r="J17" s="102"/>
      <c r="K17" s="103"/>
      <c r="L17" s="112" t="str">
        <f>HYPERLINK("http://sghanstedt.elbnetz.com/ueber-uns/","x")</f>
        <v>x</v>
      </c>
      <c r="M17" s="111"/>
      <c r="N17" s="112" t="str">
        <f>HYPERLINK("http://www.ag-fluechtlingshilfe-wetterau.de/uploads/infos/170.pdf","x")</f>
        <v>x</v>
      </c>
      <c r="O17" s="112" t="str">
        <f>HYPERLINK("http://www.ag-fluechtlingshilfe-wetterau.de/uploads/infos/220.pdf","x")</f>
        <v>x</v>
      </c>
      <c r="P17" s="112" t="str">
        <f>HYPERLINK("http://www.awb-ahrweiler.de/admin/data/ddownload/Abfall%20Sonderhinweise-Arabisch%202015.pdf","x")</f>
        <v>x</v>
      </c>
      <c r="Q17" s="112" t="str">
        <f>HYPERLINK("http://www.ag-fluechtlingshilfe-wetterau.de/uploads/infos/221.pdf","x")</f>
        <v>x</v>
      </c>
      <c r="R17" s="112" t="str">
        <f>HYPERLINK("http://www.konto.org/download/merkblatt-basiskonto-asylbewerber-arabisch.pdf","x")</f>
        <v>x</v>
      </c>
      <c r="S17" s="112"/>
      <c r="T17" s="112" t="str">
        <f>HYPERLINK("https://antworten.sparkasse.de/wp-content/uploads/2015/10/Arabisch.pdf","x")</f>
        <v>x</v>
      </c>
      <c r="U17" s="112" t="str">
        <f>HYPERLINK("http://www.ag-fluechtlingshilfe-wetterau.de/uploads/infos/191.pdf","x")</f>
        <v>x</v>
      </c>
      <c r="V17" s="112"/>
      <c r="W17" s="112"/>
      <c r="X1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7" s="112"/>
      <c r="AA17" s="112"/>
      <c r="AB17" s="112"/>
      <c r="AC17" s="112"/>
      <c r="AD17" s="112" t="str">
        <f>HYPERLINK("http://www.rundfunkbeitrag.de/e175/e1629/Informationsflyer_Buergerinnen_und_Buerger_arabisch.pdf","x")</f>
        <v>x</v>
      </c>
      <c r="AE17" s="112"/>
      <c r="AF17" s="112" t="str">
        <f>HYPERLINK("http://www.kub-berlin.org/formularprojekt/de/arabisch-antraege-und-anlagen/","x")</f>
        <v>x</v>
      </c>
      <c r="AG17" s="112" t="str">
        <f>HYPERLINK("http://asyl-in-moenchengladbach.de/wp-content/uploads/2015/11/100711-Flyer_arab.pdf","x")</f>
        <v>x</v>
      </c>
      <c r="AH17" s="111"/>
      <c r="AI17" s="112" t="str">
        <f>HYPERLINK("https://www.adac.de/sp/stiftung/_mmm/pdf/SGE_FOL_Verkehrssicherheit_Fl%C3%BCchtlinge_A3_01_16_Internet_250277.pdf","x")</f>
        <v>x</v>
      </c>
      <c r="AJ17" s="112" t="str">
        <f>HYPERLINK("http://www.stadt-koeln.de/mediaasset/content/العربية_kvb_kinderleicht_und_spielend_einfach__arabisch_.pdf","x")</f>
        <v>x</v>
      </c>
      <c r="AK17" s="112" t="str">
        <f>HYPERLINK("https://www.vrsinfo.de/fileadmin/Dateien/downloadcenter/Folder_MobilPassTicket_Refugees01012016.pdf","x")</f>
        <v>x</v>
      </c>
      <c r="AL17" s="112" t="str">
        <f>HYPERLINK("https://www.vrsinfo.de/fileadmin/Dateien/downloadcenter/Willkommen_im_VRS2016_Druck.pdf","x")</f>
        <v>x</v>
      </c>
      <c r="AM17" s="112"/>
      <c r="AN17" s="112" t="str">
        <f>HYPERLINK("https://www.deutschebahn.com/file/de/2191748/eYdgZpqGpp5sMJ2KMKtg2r8aE4Q/10123812/data/infos_fuer_fluechtlinge.pdf","x")</f>
        <v>x</v>
      </c>
      <c r="AO17" s="112"/>
      <c r="AP17" s="112"/>
      <c r="AQ17" s="112"/>
      <c r="AR17" s="112"/>
      <c r="AS17" s="112"/>
      <c r="AT17" s="112" t="str">
        <f>HYPERLINK("http://www.koelnerkarneval.de/fileadmin/content/images/news/Festkomitee_Flyer_DE_AR.pdf","x")</f>
        <v>x</v>
      </c>
      <c r="AU17" s="112"/>
      <c r="AV17" s="114" t="str">
        <f>HYPERLINK("http://www.studentenwerke.de/de/content/illustriertes-wohnheimw%C3%B6rterbuch-1","x")</f>
        <v>x</v>
      </c>
      <c r="AW17" s="114" t="str">
        <f t="shared" si="0"/>
        <v>x</v>
      </c>
      <c r="AX17" s="114" t="str">
        <f t="shared" si="1"/>
        <v>x</v>
      </c>
      <c r="AY17" s="112" t="str">
        <f>HYPERLINK("http://fi-lohmar-siegburg.de/data/documents/Findefix_arabisch-Bildwoerterbuch.pdf","x")</f>
        <v>x</v>
      </c>
      <c r="AZ17" s="111"/>
      <c r="BA17" s="112" t="str">
        <f t="shared" si="2"/>
        <v>x</v>
      </c>
      <c r="BB17" s="112" t="str">
        <f t="shared" si="3"/>
        <v>x</v>
      </c>
      <c r="BC17" s="112"/>
      <c r="BD17" s="112" t="str">
        <f>HYPERLINK("http://www.rehavista.de/?at=Mat_Boardmaker&amp;d=1&amp;dtype=mat&amp;id=1014","x")</f>
        <v>x</v>
      </c>
      <c r="BE17" s="112" t="str">
        <f>HYPERLINK("http://fi-lohmar-siegburg.de/data/documents/communicationboard-arabic-english.pdf","x")</f>
        <v>x</v>
      </c>
      <c r="BF17" s="112" t="str">
        <f>HYPERLINK("http://fi-lohmar-siegburg.de/data/documents/communicationboard-arabic-french.pdf","x")</f>
        <v>x</v>
      </c>
      <c r="BG17" s="111"/>
      <c r="BH17" s="112" t="str">
        <f>HYPERLINK("http://www.refugeephrasebook.de/pdf/germany150920.pdf","x")</f>
        <v>x</v>
      </c>
      <c r="BI17" s="112" t="str">
        <f>HYPERLINK("https://www.advanced-online.eu/downloads/RefugeePhrasebookCards_German-Arabic.pdf","x")</f>
        <v>x</v>
      </c>
      <c r="BJ17" s="112" t="str">
        <f>HYPERLINK("http://www.klett-sprachen.de/download/8638/W100255_Refugees_Welcome_Wortschatz.pdf","x")</f>
        <v>x</v>
      </c>
      <c r="BK17" s="112" t="str">
        <f>HYPERLINK("http://www.agf-trier.de/sites/default/files/bersetzungshilfe%20allgemein%20Arab..pdf","x")</f>
        <v>x</v>
      </c>
      <c r="BL17" s="112" t="str">
        <f>HYPERLINK("http://www.bundessprachenamt.de/deutsch/wir_ueber_uns/nachrichten/2015/20151103/Verständigungshilfe_Syrisch-Arabisch_07_12_2015.pdf","x")</f>
        <v>x</v>
      </c>
      <c r="BM17" s="112" t="str">
        <f>HYPERLINK("http://www.frnrw.de/images/Aus_den_Initiativen/Ehrenamtler/2015/Dictionary_x10_print-2.pdf","x")</f>
        <v>x</v>
      </c>
      <c r="BN17" s="112" t="str">
        <f>HYPERLINK("http://www.medbox.org/toolboxes/kleines-worterbuch-little-dictionary-deutsch-englisch-arabisch/preview","x")</f>
        <v>x</v>
      </c>
      <c r="BO17" s="111"/>
      <c r="BP17" s="111"/>
      <c r="BQ17" s="112" t="str">
        <f>HYPERLINK("https://www.friedensdorf.de/documents/Woerterbuch_Arabisch.pdf","x")</f>
        <v>x</v>
      </c>
      <c r="BR17" s="111"/>
      <c r="BS17" s="112" t="str">
        <f t="shared" si="4"/>
        <v>x</v>
      </c>
      <c r="BT17" s="112" t="str">
        <f>HYPERLINK("http://de.langenscheidt.com/doc/arabisch-deutsch-sprachfuehrer.pdf","x")</f>
        <v>x</v>
      </c>
      <c r="BU17" s="111"/>
      <c r="BV17" s="112" t="str">
        <f t="shared" si="5"/>
        <v>x</v>
      </c>
      <c r="BW17" s="112" t="str">
        <f>HYPERLINK("http://www.welcomegrooves.de/wp-content/uploads/2015/10/welcomegrooves_DE-ARABISCH.pdf","x")</f>
        <v>x</v>
      </c>
      <c r="BX17" s="112"/>
      <c r="BY17" s="112"/>
      <c r="BZ17" s="112" t="str">
        <f>HYPERLINK("http://fluechtlingshilfe-nettetal.de/ausbildung/video-sprachkurse-deutsch-fuer-fluechtlinge/video-sprachkurs-syrisch-deutsch/","x")</f>
        <v>x</v>
      </c>
      <c r="CA17" s="112" t="str">
        <f t="shared" si="6"/>
        <v>x</v>
      </c>
      <c r="CB17" s="112" t="str">
        <f t="shared" si="7"/>
        <v>x</v>
      </c>
      <c r="CC17" s="112" t="str">
        <f t="shared" si="8"/>
        <v>x</v>
      </c>
      <c r="CD17" s="112"/>
      <c r="CE17" s="112"/>
      <c r="CF17" s="112" t="str">
        <f>HYPERLINK("http://www.agf-trier.de/sites/default/files/bersetzungshilfe%20%20f%C3%BCr%20Frauen%20Arab..pdf","x")</f>
        <v>x</v>
      </c>
      <c r="CG17" s="112" t="str">
        <f>HYPERLINK("http://www.braunschweig.de/leben/frauen/hilfe/Ohne-Gewalt-leben.pdf","x")</f>
        <v>x</v>
      </c>
      <c r="CH17" s="112" t="str">
        <f>HYPERLINK("http://mifkjf.rlp.de/fileadmin/mifkjf/Frauen/Gewalt_gegen_Frauen/Downloads/Broschueren_Flyer/Flyer_Gewalt_arabisch_fuer_ANSICHT.pdf","x")</f>
        <v>x</v>
      </c>
      <c r="CI17" s="112"/>
      <c r="CJ17" s="112" t="str">
        <f>HYPERLINK("https://www.hilfetelefon.de/fileadmin/hilfetelefon_de/Materialien/weitere_werbemittel/Klappflyer_Vorder-_und_Rueckseite_opt2.pdf","x")</f>
        <v>x</v>
      </c>
      <c r="CK17" s="112" t="str">
        <f t="shared" si="9"/>
        <v>x</v>
      </c>
      <c r="CL17" s="112" t="str">
        <f>HYPERLINK("http://www.frauenberatungsstelle.de/pdf/Migrantinnen-beraten-Migrantinnen.pdf","x")</f>
        <v>x</v>
      </c>
      <c r="CM17" s="112"/>
      <c r="CN17" s="112"/>
      <c r="CO17" s="112"/>
      <c r="CP17" s="112" t="str">
        <f>HYPERLINK("http://www.schwanger-und-viele-fragen.de/ar/","x")</f>
        <v>x</v>
      </c>
      <c r="CQ17" s="112"/>
      <c r="CR1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7" s="112"/>
      <c r="CT17" s="112"/>
      <c r="CU17" s="112" t="str">
        <f>HYPERLINK("http://www.profamilia.de/fileadmin/publikationen/Erwachsene/mehrsprachig/verhuetung_arabisch.pdf","x")</f>
        <v>x</v>
      </c>
      <c r="CV17" s="112"/>
      <c r="CW17" s="112"/>
      <c r="CX17" s="112"/>
      <c r="CY17" s="112" t="str">
        <f>HYPERLINK("http://www.caritas-schwarzwald-alb-donau.de/68854.html","x")</f>
        <v>x</v>
      </c>
      <c r="CZ17" s="112"/>
      <c r="DA17" s="112" t="str">
        <f>HYPERLINK("http://sichere-orte-schaffen.de/wp-content/uploads/Minibrosch_Fluechtlinge_multilang.pdf","x")</f>
        <v>x</v>
      </c>
      <c r="DB17" s="112"/>
      <c r="DC17" s="115" t="str">
        <f>HYPERLINK("http://www.kindersicherheit.de/pdf/2012_Bilderbuch-Gift-Arabisch.pdf","x")</f>
        <v>x</v>
      </c>
      <c r="DD17" s="112"/>
      <c r="DE17" s="112"/>
      <c r="DF17" s="112" t="str">
        <f t="shared" si="10"/>
        <v>x</v>
      </c>
      <c r="DG17" s="115" t="str">
        <f t="shared" si="11"/>
        <v>x</v>
      </c>
      <c r="DH17" s="112" t="str">
        <f t="shared" si="12"/>
        <v>x</v>
      </c>
      <c r="DI17" s="112" t="str">
        <f t="shared" si="13"/>
        <v>x</v>
      </c>
      <c r="DJ17" s="112" t="str">
        <f>HYPERLINK("http://www.bibliomedia.ch/de/angebote/dokumente/Glossar_arabisch.pdf","x")</f>
        <v>x</v>
      </c>
      <c r="DK17" s="112"/>
      <c r="DL17" s="112" t="str">
        <f>HYPERLINK("http://www.carlsen.de/sites/default/files/Walter-ebook_arabisch_klein.pdf","x")</f>
        <v>x</v>
      </c>
      <c r="DM17" s="112"/>
      <c r="DN17" s="112"/>
      <c r="DO17" s="112" t="str">
        <f>HYPERLINK("http://www.wdrmaus.de/sachgeschichten/maus-international/","x")</f>
        <v>x</v>
      </c>
      <c r="DP17" s="111"/>
      <c r="DQ17" s="112" t="str">
        <f>HYPERLINK("http://tipdoc.de/bus/grafik/kinder-tip/SCHULTIP_give_didacta.pdf","x")</f>
        <v>x</v>
      </c>
      <c r="DR17" s="112" t="str">
        <f>HYPERLINK("https://broschueren.nordrheinwestfalendirekt.de/broschuerenservice/msw/ar-das-schulsystem-in-nordrhein-westfalen-einfach-und-schnell-erklaert/1901","x")</f>
        <v>x</v>
      </c>
      <c r="DS17" s="112" t="str">
        <f>HYPERLINK("http://bildung.koeln.de/materialbibliothek/download.php?idx=7479da9798519efb4e1944d46a76011b","x")</f>
        <v>x</v>
      </c>
      <c r="DT17" s="112" t="str">
        <f>HYPERLINK("http://bildung.koeln.de/materialbibliothek/download.php?idx=dd3a964c240308ea1c8e0d161e49e314","x")</f>
        <v>x</v>
      </c>
      <c r="DU17" s="112"/>
      <c r="DV17" s="112" t="str">
        <f>HYPERLINK("https://www.bmbf.de/pub/Kausa_Elternbroschuere_arabisch.pdf","x")</f>
        <v>x</v>
      </c>
      <c r="DW17" s="112"/>
      <c r="DX17" s="112" t="str">
        <f>HYPERLINK("http://www.wissenschaft.nrw.de/studium/informieren/informationen-fuer-fluechtlinge-die-in-nrw-studieren-moechten/","x")</f>
        <v>x</v>
      </c>
      <c r="DY17" s="112" t="str">
        <f>HYPERLINK("http://www.bamf.de/SharedDocs/Anlagen/DE/Publikationen/Flyer/AnerkennungBerufsabschluss/berufliche_anerkennung_akademische-heilberufe_ar.pdf?__blob=publicationFile","x")</f>
        <v>x</v>
      </c>
      <c r="DZ17" s="112" t="str">
        <f>HYPERLINK("http://www.bamf.de/SharedDocs/Anlagen/DE/Publikationen/Flyer/AnerkennungBerufsabschluss/anerkennung-berufsabschluss_ar.pdf?__blob=publicationFile","x")</f>
        <v>x</v>
      </c>
      <c r="EA17" s="112" t="str">
        <f>HYPERLINK("http://www.bamf.de/SharedDocs/Anlagen/DE/Publikationen/Flyer/AnerkennungBerufsabschluss/anerkennung-berufsabschluss_ausland_ar.pdf?__blob=publicationFile","x")</f>
        <v>x</v>
      </c>
      <c r="EB17" s="112" t="str">
        <f>HYPERLINK("http://www.bamf.de/SharedDocs/Anlagen/DE/Publikationen/Broschueren/willkommen-in-deutschland-info-blaue-karte-eu_ar.pdf?__blob=publicationFile","x")</f>
        <v>x</v>
      </c>
      <c r="EC17" s="112" t="str">
        <f>HYPERLINK("http://www.bamf.de/SharedDocs/Anlagen/DE/Publikationen/Flyer/Berufsbezsprachf-ESF-BAMF/berufsbezsprachf-esf-bamf_ar.pdf?__blob=publicationFile","x")</f>
        <v>x</v>
      </c>
      <c r="ED17" s="111"/>
      <c r="EE17" s="111"/>
      <c r="EF17" s="111"/>
      <c r="EG17" s="111"/>
      <c r="EH17" s="111"/>
      <c r="EI17" s="111"/>
      <c r="EJ17" s="112"/>
      <c r="EK17" s="112" t="str">
        <f>HYPERLINK("http://fluechtlingsrat-bw.de/files/Dateien/Dokumente/Materialbestellung/2014-12-flyer%20arbeitserlaubnis%20AR%20WEB_final.pdf","x")</f>
        <v>x</v>
      </c>
      <c r="EL17" s="112" t="str">
        <f>HYPERLINK("http://www.aponet.de/arabisch/20151019-fuer-den-notfall-wichtige-rufnummern-im-ueberblick.html","x")</f>
        <v>x</v>
      </c>
      <c r="EM17" s="112" t="str">
        <f>HYPERLINK("http://www.kvs-sachsen.de/fileadmin/img/Mitglieder/Asylbewerber/Allg-Informationen/Anlage_1_Arabisch_LEK.pdf","x")</f>
        <v>x</v>
      </c>
      <c r="EN17" s="112" t="str">
        <f>HYPERLINK("http://www.medizin-hilft-fluechtlingen.de/images/Dokumente/gSch/gSch_arab.pdf","x")</f>
        <v>x</v>
      </c>
      <c r="EO17" s="112" t="str">
        <f>HYPERLINK("http://www.aponet.de/arabisch/20151016-medizinische-leistungen-fuer-asylbewerber.html","x")</f>
        <v>x</v>
      </c>
      <c r="EP17" s="117" t="str">
        <f>HYPERLINK("http://www.medi-bild.de/pdf/anamnese/Welche_Sprache.pdf","x")</f>
        <v>x</v>
      </c>
      <c r="EQ17" s="117" t="str">
        <f>HYPERLINK("http://www.armut-gesundheit.de/fileadmin/redakteur/dokumente/Anamnesebogen%20-%20Arabischnew.pdf","x")</f>
        <v>x</v>
      </c>
      <c r="ER17" s="112" t="str">
        <f>HYPERLINK("http://www.kvs-sachsen.de/fileadmin/img/Mitglieder/Asylbewerber/Allg-Informationen/Anlagen_2-1_2-2_Arabisch_LEK.pdf","x")</f>
        <v>x</v>
      </c>
      <c r="ES17" s="112"/>
      <c r="ET17" s="112" t="str">
        <f>HYPERLINK("http://www.pharmazeutische-zeitung.de/fileadmin/pdf/Fragebogen_PZ_43_2015.pdf","x")</f>
        <v>x</v>
      </c>
      <c r="EU17" s="112" t="str">
        <f>HYPERLINK("http://www.medizin-hilft-fluechtlingen.de/images/Dokumente/ein/ein_arab.pdf","x")</f>
        <v>x</v>
      </c>
      <c r="EV17" s="112" t="str">
        <f>HYPERLINK("http://www.adler-apotheke-hh.de/fileadmin/user_upload/PDF-Dateien/Dosierzettel_mehrsprachig_AUF_0_.pdf","x")</f>
        <v>x</v>
      </c>
      <c r="EW17" s="112" t="str">
        <f t="shared" si="14"/>
        <v>x</v>
      </c>
      <c r="EX17" s="112" t="str">
        <f>HYPERLINK("http://www.rki.de/DE/Content/Infekt/IfSG/Belehrungsbogen/belehrungsbogen_eltern_arabisch.pdf?__blob=publicationFile","x")</f>
        <v>x</v>
      </c>
      <c r="EY17" s="112" t="str">
        <f>HYPERLINK("http://www.bzga.de/infomaterialien/?sid=236","x")</f>
        <v>x</v>
      </c>
      <c r="EZ17" s="112" t="str">
        <f>HYPERLINK("https://www.mh-hannover.de/fileadmin/mhh/bilder/aktuelles_presse/presseinformationen_news/150921_Pilz_Vergif_Arab_3.pdf","x")</f>
        <v>x</v>
      </c>
      <c r="FA17" s="112"/>
      <c r="FB17" s="112" t="str">
        <f>HYPERLINK("http://static.apotheken-umschau.de/media/gp/article_506373/bildwoerterbuch.pdf","x")</f>
        <v>x</v>
      </c>
      <c r="FC17" s="111"/>
      <c r="FD17" s="112" t="str">
        <f t="shared" si="15"/>
        <v>x</v>
      </c>
      <c r="FE17" s="112" t="str">
        <f>HYPERLINK("http://sghanstedt.elbnetz.com/ueber-uns/","x")</f>
        <v>x</v>
      </c>
      <c r="FF17" s="112" t="str">
        <f>HYPERLINK("http://www.fuhlenhagen.com/pdf_dateien/uebertzungshilfe_aerzte_mehrsprachig.pdf","x")</f>
        <v>x</v>
      </c>
      <c r="FG17" s="112" t="str">
        <f>HYPERLINK("http://www.tipdoc.de/grafik/asyl/Gesundheitsheft_Asyl.pdf","x")</f>
        <v>x</v>
      </c>
      <c r="FH17" s="111"/>
      <c r="FI17" s="111"/>
      <c r="FJ17" s="112" t="str">
        <f>HYPERLINK("http://www.bundesgesundheitsministerium.de/fileadmin/dateien/Publikationen/Gesundheit/Broschueren/Ratgeber_Asylsuchende/Ratgeber_Asylsuchende_arab.PDF","x")</f>
        <v>x</v>
      </c>
      <c r="FK17" s="112" t="str">
        <f>HYPERLINK("http://www.rki.de/DE/Content/Infekt/Impfen/Materialien/Downloads-Impfkalender/Impfkalender_Arabisch.pdf?__blob=publicationFile","x")</f>
        <v>x</v>
      </c>
      <c r="FL17" s="112" t="str">
        <f>HYPERLINK("http://www.ethno-medizinisches-zentrum.de/images/PDF-Files/impfwegweiser_arabbisch_2013_online.pdf","x")</f>
        <v>x</v>
      </c>
      <c r="FM17" s="112"/>
      <c r="FN17" s="112" t="str">
        <f>HYPERLINK("http://www.rki.de/DE/Content/Infekt/Impfen/Materialien/Glossar-Downloads/glossar-de-arabisch.pdf?__blob=publicationFile","x")</f>
        <v>x</v>
      </c>
      <c r="FO17" s="112"/>
      <c r="FP17" s="112" t="str">
        <f>HYPERLINK("http://www.rki.de/DE/Content/Infekt/Impfen/Materialien/Downloads-MMR/MMR-Impfinfo-arabisch.pdf?__blob=publicationFile","x")</f>
        <v>x</v>
      </c>
      <c r="FQ17" s="112" t="str">
        <f>HYPERLINK("http://www.rki.de/DE/Content/InfAZ/P/Polio/Ausbruch_Syrien/Informationsblatt_Polio_Arabisch.pdf?__blob=publicationFile","x")</f>
        <v>x</v>
      </c>
      <c r="FR17" s="112" t="str">
        <f>HYPERLINK("http://www.rki.de/DE/Content/Infekt/Impfen/Materialien/Downloads_HepA/Aufklaerung_HAV-Impfung_arabisch.pdf?__blob=publicationFile","x")</f>
        <v>x</v>
      </c>
      <c r="FS17" s="112" t="str">
        <f>HYPERLINK("http://www.rki.de/DE/Content/Infekt/Impfen/Materialien/Downloads_Pneumokokken/Aufklaerung_Pneumo-Impfung_Arabisch.pdf?__blob=publicationFile","x")</f>
        <v>x</v>
      </c>
      <c r="FT17" s="112" t="str">
        <f>HYPERLINK("http://www.rki.de/DE/Content/Infekt/Impfen/Materialien/Downloads-DTaPIPVHibHepB/DTaPIPVHibHepB_arabisch.pdf?__blob=publicationFile","x")</f>
        <v>x</v>
      </c>
      <c r="FU1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7" s="112" t="str">
        <f>HYPERLINK("http://www.rki.de/DE/Content/Infekt/Impfen/Materialien/Downloads-Tdap-IPV/Tdap-IPV-arabisch.pdf?__blob=publicationFile","x")</f>
        <v>x</v>
      </c>
      <c r="FW17" s="112" t="str">
        <f>HYPERLINK("http://www.rki.de/DE/Content/Infekt/Impfen/Materialien/Downloads-Influenza_nasal/Influenza_nasal-arabisch.pdf?__blob=publicationFile","x")</f>
        <v>x</v>
      </c>
      <c r="FX17" s="112" t="str">
        <f>HYPERLINK("http://www.medical-tribune.de/fileadmin/PDF/Arthrose_arabisch.pdf","x")</f>
        <v>x</v>
      </c>
      <c r="FY17" s="112" t="str">
        <f>HYPERLINK("http://www.medical-tribune.de/fileadmin/PDF/Asthma_arabisch.pdf","x")</f>
        <v>x</v>
      </c>
      <c r="FZ17" s="112" t="str">
        <f>HYPERLINK("http://www.medical-tribune.de/fileadmin/PDF/Bluthochdruck_arabisch.pdf","x")</f>
        <v>x</v>
      </c>
      <c r="GA17" s="112"/>
      <c r="GB17" s="112" t="str">
        <f>HYPERLINK("http://www.medical-tribune.de/fileadmin/PDF/COPD_arabisch.pdf","x")</f>
        <v>x</v>
      </c>
      <c r="GC17" s="112"/>
      <c r="GD17" s="112" t="str">
        <f>HYPERLINK("http://www.ethno-medizinisches-zentrum.de/images/PDF-Files/lf_diabete_arab.pdf","x")</f>
        <v>x</v>
      </c>
      <c r="GE17" s="112"/>
      <c r="GF17" s="112"/>
      <c r="GG17" s="112"/>
      <c r="GH17" s="112"/>
      <c r="GI17" s="112" t="str">
        <f>HYPERLINK("http://www.tipdoc.de/bus/pdf/hepatitis/Hep_B_Webseite.pdf","x")</f>
        <v>x</v>
      </c>
      <c r="GJ17" s="112" t="str">
        <f>HYPERLINK("http://www.tipdoc.de/bus/pdf/hepatitis/Hep_C_Webseite.pdf","x")</f>
        <v>x</v>
      </c>
      <c r="GK17" s="111"/>
      <c r="GL17" s="111"/>
      <c r="GM17" s="112" t="str">
        <f>HYPERLINK("http://www.rki.de/DE/Content/Infekt/Impfen/Materialien/Downloads-Influenza/Influenza-arabisch.pdf?__blob=publicationFile","x")</f>
        <v>x</v>
      </c>
      <c r="GN17" s="112"/>
      <c r="GO17" s="112" t="str">
        <f>HYPERLINK("http://www.aponet.de/arabisch/20151111-so-unterscheiden-sich-grippe-und-erkaeltung.html","x")</f>
        <v>x</v>
      </c>
      <c r="GP17" s="112" t="str">
        <f>HYPERLINK("http://www.tipdoc.de/grafik/pdf/kopflaeuse/Kopflaeuse_ARAB.pdf","x")</f>
        <v>x</v>
      </c>
      <c r="GQ17" s="112"/>
      <c r="GR17" s="112" t="str">
        <f>HYPERLINK("http://www.tipdoc.com/bus/pdf/kraetze/tipdoc_Scabies_ARAB.pdf","x")</f>
        <v>x</v>
      </c>
      <c r="GS17" s="112" t="str">
        <f>HYPERLINK("http://www.tipdoc.com/bus/pdf/MagenDarmHaende/MagenDarmHaende_Arab.pdf","x")</f>
        <v>x</v>
      </c>
      <c r="GT17" s="112"/>
      <c r="GU17" s="112" t="str">
        <f>HYPERLINK("http://www.medical-tribune.de/fileadmin/PDF/Rueckenschmerzen_arabisch.pdf","x")</f>
        <v>x</v>
      </c>
      <c r="GV17" s="112"/>
      <c r="GW17" s="112"/>
      <c r="GX17" s="112" t="str">
        <f>HYPERLINK("http://www.medical-tribune.de/fileadmin/PDF/Schwindel_arabisch.pdf","x")</f>
        <v>x</v>
      </c>
      <c r="GY17" s="112"/>
      <c r="GZ17" s="112"/>
      <c r="HA17" s="112"/>
      <c r="HB17" s="112"/>
      <c r="HC17" s="112" t="str">
        <f t="shared" si="16"/>
        <v>x</v>
      </c>
      <c r="HD17" s="112" t="str">
        <f>HYPERLINK("https://www.zahnaerzte-wl.de/images/_PDF-suche/KZV_ZÄK/ENDSTAND_Ankreuzbogen_Ich_verstehe.pdf","x")</f>
        <v>x</v>
      </c>
      <c r="HE17" s="112" t="str">
        <f>HYPERLINK("https://www.zahnaerzte-wl.de/images/_PDF-suche/KZV_ZÄK/Anschreiben_Patienten_arabisch.pdf","x")</f>
        <v>x</v>
      </c>
      <c r="HF17" s="112" t="str">
        <f>HYPERLINK("https://www.zahnaerzte-wl.de/images/_PDF-suche/KZV_ZÄK/Fragebogen_arabisch.pdf","x")</f>
        <v>x</v>
      </c>
      <c r="HG17" s="112" t="str">
        <f>HYPERLINK("https://www.zahnaerzte-wl.de/images/_PDF-suche/KZV_ZÄK/Patientenerhebungsbogen_arabisch.pdf","x")</f>
        <v>x</v>
      </c>
      <c r="HH17" s="112"/>
      <c r="HI17" s="112"/>
      <c r="HJ17" s="112" t="str">
        <f>HYPERLINK("http://www.ibbc-berlin.de/media/Bro_de-arab.pdf","x")</f>
        <v>x</v>
      </c>
      <c r="HK17" s="112"/>
      <c r="HL17" s="112" t="str">
        <f>HYPERLINK("http://www.ethno-medizinisches-zentrum.de/images/PDF-Files/lf_depression__arab.pdf","x")</f>
        <v>x</v>
      </c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 t="str">
        <f>HYPERLINK("http://www.bkk-psychisch-gesund.de/fileadmin/user_upload/Dokumente/Versicherte/Broschueren/Wegweiser_Psychotherapie_arabisch.pdf","x")</f>
        <v>x</v>
      </c>
      <c r="HY17" s="112" t="str">
        <f t="shared" si="17"/>
        <v>x</v>
      </c>
      <c r="HZ17" s="112" t="str">
        <f t="shared" si="18"/>
        <v>x</v>
      </c>
      <c r="IA17" s="112"/>
      <c r="IB17" s="112"/>
      <c r="IC17" s="112"/>
      <c r="ID17" s="112" t="str">
        <f>HYPERLINK("http://www.susannestein.de/VIA-online/trauma-bilderbuch-arabisch.pdf","x")</f>
        <v>x</v>
      </c>
      <c r="IE17" s="112"/>
      <c r="IF17" s="112"/>
      <c r="IG17" s="112"/>
      <c r="IH17" s="111"/>
      <c r="II17" s="112"/>
      <c r="IJ17" s="112"/>
      <c r="IK17" s="112" t="str">
        <f>HYPERLINK("http://www.bamf.de/SharedDocs/Anlagen/DE/Publikationen/Flyer/Lassen-Sie-Sich-Beraten/lassen-sie-sich-beraten_ar.pdf?__blob=publicationFile","x")</f>
        <v>x</v>
      </c>
      <c r="IL17" s="112" t="str">
        <f>HYPERLINK("http://www.bamf.de/SharedDocs/Anlagen/DE/Publikationen/Flyer/flyer-erstorientierung-asylsuchende_arabisch.pdf?__blob=publicationFile","x")</f>
        <v>x</v>
      </c>
      <c r="IM17" s="111"/>
      <c r="IN17" s="112" t="str">
        <f>HYPERLINK("https://www.bamf.de/SharedDocs/Anlagen/DE/Publikationen/Broschueren/willkommen-in-deutschland_ar.pdf?__blob=publicationFile","x")</f>
        <v>x</v>
      </c>
      <c r="IO17" s="112"/>
      <c r="IP17" s="111"/>
      <c r="IQ17" s="112" t="str">
        <f>HYPERLINK("http://www.bamf.de/SharedDocs/Anlagen/DE/Publikationen/Flyer/Lernen-Sie-Deutsch/lernen-sie-deutsch_ar.pdf?__blob=publicationFile","x")</f>
        <v>x</v>
      </c>
      <c r="IR17" s="112" t="str">
        <f>HYPERLINK("http://www.asyl.net/fileadmin/user_upload/redaktion/Dokumente/Arbeitshilfen/150910_Wie_l%C3%A4uft_ein_Asylverfahren_ab_%C3%9Cberblickstext_Arabisch.pdf","x")</f>
        <v>x</v>
      </c>
      <c r="IS17" s="111"/>
      <c r="IT17" s="111"/>
      <c r="IU17" s="111"/>
      <c r="IV17" s="112" t="str">
        <f>HYPERLINK("http://www.asyl.net/fileadmin/user_upload/infoblatt_anhoerung/Infoblatt_2015_ar_fin.pdf","x")</f>
        <v>x</v>
      </c>
      <c r="IW17" s="112" t="str">
        <f>HYPERLINK("http://efi-landsberg.de/asyl/wp-content/uploads/2014/04/Merkblatt-Asylbewerber-Fluechtlinge.pdf","x")</f>
        <v>x</v>
      </c>
      <c r="IX17" s="112"/>
      <c r="IY17" s="112" t="str">
        <f>HYPERLINK("http://www.bamf.de/SharedDocs/Anlagen/DE/Publikationen/Broschueren/broschuere-eat-a4-ar-arabisch.pdf?__blob=publicationFile","x")</f>
        <v>x</v>
      </c>
      <c r="IZ17" s="111"/>
      <c r="JA17" s="112" t="str">
        <f>HYPERLINK("http://fluechtlingsrat-bw.de/informationen-fuer-fluechtlinge.html","x")</f>
        <v>x</v>
      </c>
      <c r="JB17" s="111"/>
      <c r="JC17" s="112"/>
      <c r="JD17" s="111"/>
      <c r="JE17" s="112"/>
      <c r="JF17" s="112"/>
      <c r="JG17" s="112" t="str">
        <f>HYPERLINK("http://www.bamf.de/SharedDocs/Anlagen/DE/Publikationen/Flyer/Ehegattennachzug/ehegattennachzug-ar.pdf?__blob=publicationFile","x")</f>
        <v>x</v>
      </c>
      <c r="JH17" s="112" t="str">
        <f>HYPERLINK("https://familyreunion-syria.diplo.de/webportal/index.html#start","x")</f>
        <v>x</v>
      </c>
      <c r="JI17" s="111"/>
      <c r="JJ17" s="112"/>
      <c r="JK17" s="112" t="str">
        <f>HYPERLINK("https://www.arbeitsagentur.de/web/wcm/idc/groups/public/documents/webdatei/mdaw/mjgz/~edisp/l6019022dstbai784629.pdf?_ba.sid=L6019022DSTBAI788745","x")</f>
        <v>x</v>
      </c>
      <c r="JL17" s="112" t="str">
        <f>HYPERLINK("http://www.kub-berlin.org/formularprojekt/de/arabisch-antraege-und-anlagen/","x")</f>
        <v>x</v>
      </c>
      <c r="JM17" s="112" t="str">
        <f>HYPERLINK("https://www.arbeitsagentur.de/web/content/DE/Formulare/Detail/index.htm?dfContentId=L6019022DSTBAI485740","x")</f>
        <v>x</v>
      </c>
      <c r="JN17" s="112"/>
      <c r="JO17" s="112"/>
      <c r="JP17" s="112"/>
      <c r="JQ17" s="112"/>
      <c r="JR17" s="112" t="str">
        <f>HYPERLINK("http://www.ibla-germany.de/merkblaetter.php","x")</f>
        <v>x</v>
      </c>
      <c r="JS17" s="112"/>
      <c r="JT17" s="112" t="str">
        <f>HYPERLINK("http://www.b-umf.de/images/willkommen/willkommensbroschurearabisch-web.pdf","x")</f>
        <v>x</v>
      </c>
      <c r="JU17" s="111"/>
      <c r="JV17" s="111"/>
      <c r="JW17" s="112"/>
      <c r="JX17" s="112"/>
      <c r="JY17" s="112"/>
      <c r="JZ17" s="112"/>
      <c r="KA17" s="112" t="str">
        <f>HYPERLINK("http://www.kas.de/wf/de/33.43117/","x")</f>
        <v>x</v>
      </c>
      <c r="KB17" s="112" t="str">
        <f>HYPERLINK("http://www.refugeeguide.de/dl/RefugeeGuide_ar_930.pdf","x")</f>
        <v>x</v>
      </c>
      <c r="KC17" s="112" t="str">
        <f>HYPERLINK("http://www.bpb.de/shop/buecher/grundgesetz/215136/grundgesetz-auf-arabisch","x")</f>
        <v>x</v>
      </c>
      <c r="KD17" s="112" t="str">
        <f>HYPERLINK("http://www.wedel.de/fileadmin/user_upload/media/pdf/Rathaus_und_Politik/20160118_PM_Broschuere.pdf","x")</f>
        <v>x</v>
      </c>
      <c r="KE17" s="112" t="str">
        <f>HYPERLINK("http://www.frauenrechte.de/online/images/downloads/allgemein/TDF_Flyer_Women_Men.pdf","x")</f>
        <v>x</v>
      </c>
      <c r="KF17" s="112" t="str">
        <f>HYPERLINK("http://sab.landtag.sachsen.de/dokumente/landtagskurier/Grundwerte-A5-international_web_08012016.pdf","x")</f>
        <v>x</v>
      </c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1"/>
      <c r="LD17" s="111"/>
      <c r="LE17" s="111"/>
      <c r="LF17" s="111"/>
      <c r="LG17" s="112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2"/>
      <c r="LU17" s="111"/>
      <c r="LV17" s="111"/>
      <c r="LW17" s="111"/>
      <c r="LX17" s="111"/>
      <c r="LY17" s="111"/>
      <c r="LZ17" s="112" t="str">
        <f>HYPERLINK("http://www.bjf.info/projekte/cinemanya","x")</f>
        <v>x</v>
      </c>
      <c r="MA17" s="111"/>
      <c r="MB17" s="111"/>
      <c r="MC17" s="111"/>
      <c r="MD17" s="112" t="str">
        <f>HYPERLINK("http://www.rki.de/DE/Content/Infekt/IfSG/Belehrungsbogen/belehrungsbogen_lebensmittel_arabisch.pdf?__blob=publicationFile","x")</f>
        <v>x</v>
      </c>
      <c r="ME17" s="111"/>
      <c r="MF17" s="112" t="str">
        <f>HYPERLINK("http://www.gdv.de/wp-content/uploads/2016/01/Information_Brandschutz_Fluechtlingsheim_-Sicherheit_mehrsprachig.pdf","x")</f>
        <v>x</v>
      </c>
      <c r="MG17" s="112" t="str">
        <f>HYPERLINK("http://www.gdv.de/wp-content/uploads/2016/01/Information_Verhalten-im-Brandfall_mehrsprachig.pdf","x")</f>
        <v>x</v>
      </c>
      <c r="MH17" s="112" t="str">
        <f>HYPERLINK("http://www.aha-region.de/fileadmin/Download/pdf/aha_Plakat_Muelltrennung_ar.pdf","x")</f>
        <v>x</v>
      </c>
      <c r="MI17" s="112" t="str">
        <f>HYPERLINK("http://www.kindersicherheit.de/pdf/2012_poster_achtunggiftig_8sprachig.pdf","x")</f>
        <v>x</v>
      </c>
    </row>
    <row r="18" spans="1:347" x14ac:dyDescent="0.25">
      <c r="A18" s="102" t="s">
        <v>28</v>
      </c>
      <c r="B18" s="127" t="s">
        <v>4</v>
      </c>
      <c r="C18" s="102"/>
      <c r="D18" s="102"/>
      <c r="E18" s="102"/>
      <c r="F18" s="102"/>
      <c r="G18" s="102"/>
      <c r="H18" s="102"/>
      <c r="I18" s="102"/>
      <c r="J18" s="102"/>
      <c r="K18" s="103"/>
      <c r="L18" s="111"/>
      <c r="M18" s="111"/>
      <c r="N18" s="112" t="str">
        <f>HYPERLINK("http://www.ag-fluechtlingshilfe-wetterau.de/uploads/infos/170.pdf","x")</f>
        <v>x</v>
      </c>
      <c r="O18" s="112" t="str">
        <f>HYPERLINK("http://www.ag-fluechtlingshilfe-wetterau.de/uploads/infos/220.pdf","x")</f>
        <v>x</v>
      </c>
      <c r="P18" s="112" t="str">
        <f>HYPERLINK("http://www.awb-ahrweiler.de/admin/data/ddownload/Abfall%20Sonderhinweise-englisch_2014.pdf","x")</f>
        <v>x</v>
      </c>
      <c r="Q18" s="112" t="str">
        <f>HYPERLINK("http://www.ag-fluechtlingshilfe-wetterau.de/uploads/infos/221.pdf","x")</f>
        <v>x</v>
      </c>
      <c r="R18" s="112" t="str">
        <f>HYPERLINK("http://www.konto.org/download/merkblatt-basiskonto-asylbewerber-english.pdf","x")</f>
        <v>x</v>
      </c>
      <c r="S18" s="112"/>
      <c r="T18" s="112" t="str">
        <f>HYPERLINK("https://antworten.sparkasse.de/wp-content/uploads/2015/10/English.pdf","x")</f>
        <v>x</v>
      </c>
      <c r="U18" s="112" t="str">
        <f>HYPERLINK("http://www.ag-fluechtlingshilfe-wetterau.de/uploads/infos/191.pdf","x")</f>
        <v>x</v>
      </c>
      <c r="V18" s="112"/>
      <c r="W18" s="112"/>
      <c r="X18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8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8" s="112"/>
      <c r="AA18" s="112"/>
      <c r="AB18" s="112"/>
      <c r="AC18" s="112" t="str">
        <f>HYPERLINK("http://www.vzhh.de/vzhh/409638/vzhh_refugees_telephone_internet.pdf","x")</f>
        <v>x</v>
      </c>
      <c r="AD18" s="112" t="str">
        <f>HYPERLINK("http://www.vzhh.de/vzhh/410647/vzhh_refugees_rundfunk.pdf","x")</f>
        <v>x</v>
      </c>
      <c r="AE18" s="112" t="str">
        <f>HYPERLINK("http://www.vzhh.de/vzhh/411476/vzhh_refugees_rundfunk_befreiung.pdf","x")</f>
        <v>x</v>
      </c>
      <c r="AF18" s="112" t="str">
        <f>HYPERLINK("http://www.kub-berlin.org/formularprojekt/de/englisch-antraege-und-anlagen-uebersetzungshilfen/","x")</f>
        <v>x</v>
      </c>
      <c r="AG18" s="112" t="str">
        <f>HYPERLINK("http://asyl-in-moenchengladbach.de/wp-content/uploads/2015/11/100711-Flyer_GB.pdf","x")</f>
        <v>x</v>
      </c>
      <c r="AH18" s="112" t="str">
        <f>HYPERLINK("http://sghanstedt.elbnetz.com/ueber-uns/","x")</f>
        <v>x</v>
      </c>
      <c r="AI18" s="112" t="str">
        <f>HYPERLINK("https://www.adac.de/sp/stiftung/_mmm/pdf/SGE_FOL_Verkehrssicherheit_Fl%C3%BCchtlinge_A3_01_16_Internet_250277.pdf","x")</f>
        <v>x</v>
      </c>
      <c r="AJ18" s="112" t="str">
        <f>HYPERLINK("http://www.stadt-koeln.de/mediaasset/content/kvb_kinderleicht_und_spielend_einfach__englisch_.pdf","x")</f>
        <v>x</v>
      </c>
      <c r="AK18" s="112" t="str">
        <f>HYPERLINK("https://www.vrsinfo.de/fileadmin/Dateien/downloadcenter/Folder_MobilPassTicket_Refugees01012016.pdf","x")</f>
        <v>x</v>
      </c>
      <c r="AL18" s="112" t="str">
        <f>HYPERLINK("https://www.vrsinfo.de/fileadmin/Dateien/downloadcenter/Willkommen_im_VRS2016_Druck.pdf","x")</f>
        <v>x</v>
      </c>
      <c r="AM18" s="112"/>
      <c r="AN18" s="112" t="str">
        <f>HYPERLINK("https://www.deutschebahn.com/file/de/2191748/eYdgZpqGpp5sMJ2KMKtg2r8aE4Q/10123812/data/infos_fuer_fluechtlinge.pdf","x")</f>
        <v>x</v>
      </c>
      <c r="AO18" s="112"/>
      <c r="AP18" s="112"/>
      <c r="AQ18" s="112"/>
      <c r="AR18" s="112"/>
      <c r="AS18" s="112"/>
      <c r="AT18" s="112"/>
      <c r="AU18" s="112" t="str">
        <f>HYPERLINK("http://www.stadt-koeln.de/mediaasset/content/festkomitee_flyer_2016_d_gb.pdf","x")</f>
        <v>x</v>
      </c>
      <c r="AV18" s="113"/>
      <c r="AW18" s="114" t="str">
        <f t="shared" si="0"/>
        <v>x</v>
      </c>
      <c r="AX18" s="114" t="str">
        <f t="shared" si="1"/>
        <v>x</v>
      </c>
      <c r="AY18" s="112" t="str">
        <f>HYPERLINK("http://fi-lohmar-siegburg.de/data/documents/Findefix_arabisch-Bildwoerterbuch.pdf","x")</f>
        <v>x</v>
      </c>
      <c r="AZ18" s="111"/>
      <c r="BA18" s="112" t="str">
        <f t="shared" si="2"/>
        <v>x</v>
      </c>
      <c r="BB18" s="112" t="str">
        <f t="shared" si="3"/>
        <v>x</v>
      </c>
      <c r="BC18" s="111"/>
      <c r="BD18" s="111"/>
      <c r="BE18" s="112" t="str">
        <f>HYPERLINK("http://fi-lohmar-siegburg.de/data/documents/communicationboard-arabic-english.pdf","x")</f>
        <v>x</v>
      </c>
      <c r="BF18" s="112"/>
      <c r="BG18" s="111"/>
      <c r="BH18" s="112" t="str">
        <f>HYPERLINK("http://www.refugeephrasebook.de/pdf/germany150920.pdf","x")</f>
        <v>x</v>
      </c>
      <c r="BI18" s="112" t="str">
        <f>HYPERLINK("https://www.advanced-online.eu/downloads/RefugeePhrasebookCards_German-English.pdf","x")</f>
        <v>x</v>
      </c>
      <c r="BJ18" s="112" t="str">
        <f>HYPERLINK("http://www.klett-sprachen.de/download/8638/W100255_Refugees_Welcome_Wortschatz.pdf","x")</f>
        <v>x</v>
      </c>
      <c r="BK18" s="111"/>
      <c r="BL18" s="112" t="str">
        <f>HYPERLINK("http://www.bundessprachenamt.de/deutsch/wir_ueber_uns/nachrichten/2015/20151103/Verständigungshilfe_Englisch_26_11_2015.pdf","x")</f>
        <v>x</v>
      </c>
      <c r="BM18" s="112" t="str">
        <f>HYPERLINK("http://www.frnrw.de/images/Aus_den_Initiativen/Ehrenamtler/2015/Dictionary_x10_print-2.pdf","x")</f>
        <v>x</v>
      </c>
      <c r="BN18" s="112" t="str">
        <f>HYPERLINK("http://www.medbox.org/toolboxes/kleines-worterbuch-little-dictionary-deutsch-englisch-arabisch/preview","x")</f>
        <v>x</v>
      </c>
      <c r="BO18" s="112" t="str">
        <f>HYPERLINK("http://mylanguages.org/dari_phrases.php","x")</f>
        <v>x</v>
      </c>
      <c r="BP18" s="111"/>
      <c r="BQ18" s="111"/>
      <c r="BR18" s="111"/>
      <c r="BS18" s="112" t="str">
        <f t="shared" si="4"/>
        <v>x</v>
      </c>
      <c r="BT18" s="112"/>
      <c r="BU18" s="111"/>
      <c r="BV18" s="112" t="str">
        <f t="shared" si="5"/>
        <v>x</v>
      </c>
      <c r="BW18" s="112" t="str">
        <f>HYPERLINK("http://www.welcomegrooves.de/wp-content/uploads/2015/10/welcomegrooves_DE-ENGLISH1.pdf","x")</f>
        <v>x</v>
      </c>
      <c r="BX18" s="112"/>
      <c r="BY18" s="112"/>
      <c r="BZ18" s="112"/>
      <c r="CA18" s="112" t="str">
        <f t="shared" si="6"/>
        <v>x</v>
      </c>
      <c r="CB18" s="112" t="str">
        <f t="shared" si="7"/>
        <v>x</v>
      </c>
      <c r="CC18" s="112" t="str">
        <f t="shared" si="8"/>
        <v>x</v>
      </c>
      <c r="CD18" s="112"/>
      <c r="CE18" s="112"/>
      <c r="CF18" s="111"/>
      <c r="CG18" s="112" t="str">
        <f>HYPERLINK("http://www.braunschweig.de/leben/frauen/hilfe/Ohne-Gewalt-leben.pdf","x")</f>
        <v>x</v>
      </c>
      <c r="CH18" s="112" t="str">
        <f>HYPERLINK("http://mifkjf.rlp.de/fileadmin/mifkjf/Frauen/Gewalt_gegen_Frauen/Downloads/Broschueren_Flyer/Flyer_Gewalt_englisch.pdf","x")</f>
        <v>x</v>
      </c>
      <c r="CI18" s="112" t="str">
        <f>HYPERLINK("https://www.hilfetelefon.de/fileadmin/hilfetelefon_de/Materialien/Flyer/Infoflyer_Hilfetelefon_Gewalt_gegen_Frauen141105_b2.pdf","x")</f>
        <v>x</v>
      </c>
      <c r="CJ18" s="112" t="str">
        <f>HYPERLINK("https://www.hilfetelefon.de/fileadmin/hilfetelefon_de/Materialien/weitere_werbemittel/Klappflyer_Vorder-_und_Rueckseite_opt2.pdf","x")</f>
        <v>x</v>
      </c>
      <c r="CK18" s="112" t="str">
        <f t="shared" si="9"/>
        <v>x</v>
      </c>
      <c r="CL18" s="112" t="str">
        <f>HYPERLINK("http://www.frauenberatungsstelle.de/pdf/Migrantinnen-beraten-Migrantinnen.pdf","x")</f>
        <v>x</v>
      </c>
      <c r="CM18" s="112" t="str">
        <f>HYPERLINK("http://www.frauenleben.org/spezielle_beratungsangebote/sexualisierte_gewalt.htm","x")</f>
        <v>x</v>
      </c>
      <c r="CN18" s="112"/>
      <c r="CO18" s="112"/>
      <c r="CP18" s="112" t="str">
        <f>HYPERLINK("http://www.schwanger-und-viele-fragen.de/en/","x")</f>
        <v>x</v>
      </c>
      <c r="CQ18" s="112"/>
      <c r="CR18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8" s="112" t="str">
        <f>HYPERLINK("http://en.beststart.org/for_parents/are-you-looking-resources-languages-other-english-and-french","x")</f>
        <v>x</v>
      </c>
      <c r="CT18" s="112"/>
      <c r="CU18" s="112" t="str">
        <f>HYPERLINK("http://www.profamilia.de/fileadmin/publikationen/Erwachsene/mehrsprachig/Bro_Verhuetung_engl_2013.pdf","x")</f>
        <v>x</v>
      </c>
      <c r="CV18" s="112" t="str">
        <f>HYPERLINK("http://www.profamilia.de/fileadmin/publikationen/Erwachsene/mehrsprachig/Bro_Pille_danach_Faltblatt_140122_RZ.pdf","x")</f>
        <v>x</v>
      </c>
      <c r="CW18" s="112" t="str">
        <f>HYPERLINK("http://www.profamilia.de/fileadmin/publikationen/Reihe_Verhuetungsmethoden/Einleger_englisch.pdf","x")</f>
        <v>x</v>
      </c>
      <c r="CX18" s="112" t="str">
        <f>HYPERLINK("http://www.profamilia.de/fileadmin/publikationen/Reihe_Koerper_und_Sexualtitaet/Schwangerschaftsabbruch_englisch_2010.pdf","x")</f>
        <v>x</v>
      </c>
      <c r="CY18" s="112" t="str">
        <f>HYPERLINK("http://www.caritas-schwarzwald-alb-donau.de/68854.html","x")</f>
        <v>x</v>
      </c>
      <c r="CZ18" s="112" t="str">
        <f>HYPERLINK("http://www.dgfpi.de/tl_files/download/medien/unwissen-macht-en.pdf","x")</f>
        <v>x</v>
      </c>
      <c r="DA18" s="112"/>
      <c r="DB18" s="112"/>
      <c r="DC18" s="115" t="str">
        <f>HYPERLINK("http://www.kindersicherheit.de/pdf/2013_BAG_Tomi_and_Mila_Deutsch_English.pdf","x")</f>
        <v>x</v>
      </c>
      <c r="DD18" s="112"/>
      <c r="DE18" s="112"/>
      <c r="DF18" s="112" t="str">
        <f t="shared" si="10"/>
        <v>x</v>
      </c>
      <c r="DG18" s="115" t="str">
        <f t="shared" si="11"/>
        <v>x</v>
      </c>
      <c r="DH18" s="112" t="str">
        <f t="shared" si="12"/>
        <v>x</v>
      </c>
      <c r="DI18" s="112" t="str">
        <f t="shared" si="13"/>
        <v>x</v>
      </c>
      <c r="DJ18" s="112"/>
      <c r="DK18" s="112"/>
      <c r="DL18" s="112"/>
      <c r="DM18" s="112"/>
      <c r="DN18" s="112"/>
      <c r="DO18" s="112" t="str">
        <f>HYPERLINK("http://www.wdrmaus.de/sachgeschichten/maus-international/","x")</f>
        <v>x</v>
      </c>
      <c r="DP18" s="111"/>
      <c r="DQ18" s="111"/>
      <c r="DR18" s="112" t="str">
        <f>HYPERLINK("https://broschueren.nordrheinwestfalendirekt.de/broschuerenservice/msw/eng-das-schulsystem-in-nordrhein-westfalen-einfach-und-schnell-erklaert/1902","x")</f>
        <v>x</v>
      </c>
      <c r="DS18" s="112" t="str">
        <f>HYPERLINK("http://bildung.koeln.de/materialbibliothek/download.php?idx=8e2a9f658e9fa830ce17dc18f0fb0268","x")</f>
        <v>x</v>
      </c>
      <c r="DT18" s="112" t="str">
        <f>HYPERLINK("http://bildung.koeln.de/materialbibliothek/download.php?idx=90aff7e7259385cadb46c517317f1446","x")</f>
        <v>x</v>
      </c>
      <c r="DU18" s="112"/>
      <c r="DV18" s="112" t="str">
        <f>HYPERLINK("https://www.bmbf.de/pub/Kausa_Elternbroschuere_englisch.pdf","x")</f>
        <v>x</v>
      </c>
      <c r="DW18" s="112"/>
      <c r="DX18" s="112" t="str">
        <f>HYPERLINK("http://www.wissenschaft.nrw.de/studium/informieren/informationen-fuer-fluechtlinge-die-in-nrw-studieren-moechten/","x")</f>
        <v>x</v>
      </c>
      <c r="DY18" s="112" t="str">
        <f>HYPERLINK("http://www.bamf.de/SharedDocs/Anlagen/DE/Publikationen/Flyer/AnerkennungBerufsabschluss/berufliche_anerkennung_akademische-heilberufe_en.pdf?__blob=publicationFile","x")</f>
        <v>x</v>
      </c>
      <c r="DZ18" s="112" t="str">
        <f>HYPERLINK("http://www.bamf.de/SharedDocs/Anlagen/EN/Publikationen/Flyer/AnerkennungBerufsabschluss/anerkennung-berufsabschluss.pdf?__blob=publicationFile","x")</f>
        <v>x</v>
      </c>
      <c r="EA18" s="112" t="str">
        <f>HYPERLINK("http://www.bamf.de/SharedDocs/Anlagen/EN/Publikationen/Flyer/AnerkennungBerufsabschluss/anerkennung-berufsabschluss_ausland.pdf?__blob=publicationFile","x")</f>
        <v>x</v>
      </c>
      <c r="EB18" s="112" t="str">
        <f>HYPERLINK("http://www.bamf.de/SharedDocs/Anlagen/EN/Publikationen/Broschueren/willkommen-in-deutschland-info-blaue-karte-eu_en.pdf?__blob=publicationFile","x")</f>
        <v>x</v>
      </c>
      <c r="EC18" s="112" t="str">
        <f>HYPERLINK("http://www.bamf.de/SharedDocs/Anlagen/EN/Publikationen/Flyer/Berufsbezsprachf-ESF-BAMF/berufsbezsprachf-esf-bamf.pdf?__blob=publicationFile","x")</f>
        <v>x</v>
      </c>
      <c r="ED18" s="111"/>
      <c r="EE18" s="111"/>
      <c r="EF18" s="111"/>
      <c r="EG18" s="111"/>
      <c r="EH18" s="111"/>
      <c r="EI18" s="111"/>
      <c r="EJ18" s="112"/>
      <c r="EK18" s="112" t="str">
        <f>HYPERLINK("http://fluechtlingsrat-bw.de/files/Dateien/Dokumente/Materialbestellung/2014-12-flyer%20arbeitserlaubnis%20EN%20WEB.pdf","x")</f>
        <v>x</v>
      </c>
      <c r="EL18" s="112" t="str">
        <f>HYPERLINK("http://www.aponet.de/englisch/20151019-fuer-den-notfall-wichtige-rufnummern-im-ueberblick.html","x")</f>
        <v>x</v>
      </c>
      <c r="EM18" s="112" t="str">
        <f>HYPERLINK("http://www.kvs-sachsen.de/fileadmin/img/Mitglieder/Asylbewerber/Allg-Informationen/Anlage_1_Englisch_LEK.pdf","x")</f>
        <v>x</v>
      </c>
      <c r="EN18" s="112" t="str">
        <f>HYPERLINK("http://www.medizin-hilft-fluechtlingen.de/images/Dokumente/gSch/gSch_eng.pdf","x")</f>
        <v>x</v>
      </c>
      <c r="EO18" s="112" t="str">
        <f>HYPERLINK("http://www.aponet.de/englisch/medical-care-for-asylum-seekers.html","x")</f>
        <v>x</v>
      </c>
      <c r="EP18" s="117" t="str">
        <f>HYPERLINK("http://www.medi-bild.de/pdf/anamnese/Welche_Sprache.pdf","x")</f>
        <v>x</v>
      </c>
      <c r="EQ18" s="117" t="str">
        <f>HYPERLINK("http://www.armut-gesundheit.de/fileadmin/redakteur/dokumente/Anamnesebogen%20-%20englischnew.pdf","x")</f>
        <v>x</v>
      </c>
      <c r="ER18" s="112" t="str">
        <f>HYPERLINK("http://www.kvs-sachsen.de/fileadmin/img/Mitglieder/Asylbewerber/Allg-Informationen/Anlagen_2-1_2-2_Englisch_LEK.pdf","x")</f>
        <v>x</v>
      </c>
      <c r="ES18" s="111"/>
      <c r="ET18" s="111"/>
      <c r="EU18" s="112" t="str">
        <f>HYPERLINK("http://www.medizin-hilft-fluechtlingen.de/images/Dokumente/ein/ein_engl.pdf","x")</f>
        <v>x</v>
      </c>
      <c r="EV18" s="112" t="str">
        <f>HYPERLINK("http://www.adler-apotheke-hh.de/fileadmin/user_upload/PDF-Dateien/Dosierzettel_mehrsprachig_AUF_0_.pdf","x")</f>
        <v>x</v>
      </c>
      <c r="EW18" s="112" t="str">
        <f t="shared" si="14"/>
        <v>x</v>
      </c>
      <c r="EX18" s="112" t="str">
        <f>HYPERLINK("http://www.rki.de/DE/Content/Infekt/IfSG/Belehrungsbogen/belehrungsbogen_eltern_englisch.pdf?__blob=publicationFile","x")</f>
        <v>x</v>
      </c>
      <c r="EY18" s="112" t="str">
        <f>HYPERLINK("http://www.bzga.de/infomaterialien/?sid=236","x")</f>
        <v>x</v>
      </c>
      <c r="EZ18" s="112" t="str">
        <f>HYPERLINK("https://www.mh-hannover.de/fileadmin/mhh/bilder/aktuelles_presse/pressestelle/bilder/Pilzvergif_English.pdf","x")</f>
        <v>x</v>
      </c>
      <c r="FA18" s="112"/>
      <c r="FB18" s="112" t="str">
        <f>HYPERLINK("http://static.apotheken-umschau.de/media/gp/article_506373/bildwoerterbuch.pdf","x")</f>
        <v>x</v>
      </c>
      <c r="FC18" s="112" t="str">
        <f>HYPERLINK("https://www.studentenwerke.de/sites/default/files/gesundheitswoerterbuch.pdf","x")</f>
        <v>x</v>
      </c>
      <c r="FD18" s="112" t="str">
        <f t="shared" si="15"/>
        <v>x</v>
      </c>
      <c r="FE18" s="112" t="str">
        <f>HYPERLINK("http://sghanstedt.elbnetz.com/ueber-uns/","x")</f>
        <v>x</v>
      </c>
      <c r="FF18" s="112" t="str">
        <f>HYPERLINK("http://www.fuhlenhagen.com/pdf_dateien/uebertzungshilfe_aerzte_mehrsprachig.pdf","x")</f>
        <v>x</v>
      </c>
      <c r="FG18" s="112" t="str">
        <f>HYPERLINK("http://www.tipdoc.de/grafik/asyl/Gesundheitsheft_Asyl.pdf","x")</f>
        <v>x</v>
      </c>
      <c r="FH18" s="111"/>
      <c r="FI18" s="111"/>
      <c r="FJ18" s="112" t="str">
        <f>HYPERLINK("http://www.bundesgesundheitsministerium.de/fileadmin/dateien/Publikationen/Gesundheit/Broschueren/Ratgeber_Asylsuchende/Ratgeber_Asylsuchende_engl.pdf","x")</f>
        <v>x</v>
      </c>
      <c r="FK18" s="112" t="str">
        <f>HYPERLINK("http://www.rki.de/DE/Content/Infekt/Impfen/Materialien/Downloads-Impfkalender/Impfkalender_Englisch.pdf?__blob=publicationFile","x")</f>
        <v>x</v>
      </c>
      <c r="FL18" s="112" t="str">
        <f>HYPERLINK("http://www.ethno-medizinisches-zentrum.de/images/PDF-Files/impfwegweiser_englisch_2013_online.pdf","x")</f>
        <v>x</v>
      </c>
      <c r="FM18" s="112"/>
      <c r="FN18" s="112" t="str">
        <f>HYPERLINK("http://www.rki.de/DE/Content/Infekt/Impfen/Materialien/Glossar-Downloads/glossar-de-englisch.pdf?__blob=publicationFile","x")</f>
        <v>x</v>
      </c>
      <c r="FO18" s="112" t="str">
        <f>HYPERLINK("http://www.euro.who.int/__data/assets/pdf_file/0005/160754/VPDs_Signs-symptoms-complications.pdf?ua=1","x")</f>
        <v>x</v>
      </c>
      <c r="FP18" s="112" t="str">
        <f>HYPERLINK("http://www.rki.de/DE/Content/Infekt/Impfen/Materialien/Downloads-MMR/MMR-Impfinfo-englisch.pdf?__blob=publicationFile","x")</f>
        <v>x</v>
      </c>
      <c r="FQ18" s="112" t="str">
        <f>HYPERLINK("http://www.rki.de/DE/Content/InfAZ/P/Polio/Ausbruch_Syrien/Informationsblatt_Polio_Englisch.pdf?__blob=publicationFile","x")</f>
        <v>x</v>
      </c>
      <c r="FR18" s="112" t="str">
        <f>HYPERLINK("http://www.rki.de/DE/Content/Infekt/Impfen/Materialien/Downloads_HepA/Aufklaerung_HAV-Impfung_Englisch.pdf?__blob=publicationFile","x")</f>
        <v>x</v>
      </c>
      <c r="FS18" s="112" t="str">
        <f>HYPERLINK("http://www.rki.de/DE/Content/Infekt/Impfen/Materialien/Downloads_Pneumokokken/Aufklaerung_Pneumo-Impfung_Englisch.pdf?__blob=publicationFile","x")</f>
        <v>x</v>
      </c>
      <c r="FT18" s="112" t="str">
        <f>HYPERLINK("http://www.rki.de/DE/Content/Infekt/Impfen/Materialien/Downloads-DTaPIPVHibHepB/DTaPIPVHibHepB-englisch.pdf?__blob=publicationFile","x")</f>
        <v>x</v>
      </c>
      <c r="FU18" s="112" t="str">
        <f>HYPERLINK("http://www.rki.de/DE/Content/Infekt/Impfen/Materialien/Downloads-Varizellen/Varizellen-Impfinfo-englisch.pdf;jsessionid=65B697F4EE7EDA8A1ED9E2C4CD6C74EC.2_cid363?__blob=publicationFile","x")</f>
        <v>x</v>
      </c>
      <c r="FV18" s="112" t="str">
        <f>HYPERLINK("http://www.rki.de/DE/Content/Infekt/Impfen/Materialien/Downloads-Tdap-IPV/Tdap-IPV-englisch.pdf?__blob=publicationFile","x")</f>
        <v>x</v>
      </c>
      <c r="FW18" s="112" t="str">
        <f>HYPERLINK("http://www.rki.de/DE/Content/Infekt/Impfen/Materialien/Downloads-Influenza_nasal/Influenza_nasal-englisch.pdf?__blob=publicationFile","x")</f>
        <v>x</v>
      </c>
      <c r="FX18" s="111"/>
      <c r="FY18" s="112"/>
      <c r="FZ18" s="112"/>
      <c r="GA18" s="111"/>
      <c r="GB18" s="111"/>
      <c r="GC18" s="111"/>
      <c r="GD18" s="112" t="str">
        <f>HYPERLINK("http://www.ethno-medizinisches-zentrum.de/images/PDF-Files/lf_diabete_englisch.pdf","x")</f>
        <v>x</v>
      </c>
      <c r="GE18" s="111"/>
      <c r="GF18" s="111"/>
      <c r="GG18" s="111"/>
      <c r="GH18" s="112"/>
      <c r="GI18" s="111"/>
      <c r="GJ18" s="111"/>
      <c r="GK18" s="112" t="str">
        <f>HYPERLINK("http://www.tipdoc.de/bus/pdf/hiv/HIV%20ESP_Webseite.pdf","x")</f>
        <v>x</v>
      </c>
      <c r="GL18" s="111"/>
      <c r="GM18" s="112" t="str">
        <f>HYPERLINK("http://www.rki.de/DE/Content/Infekt/Impfen/Materialien/Downloads-Influenza/Influenza-englisch.pdf?__blob=publicationFile","x")</f>
        <v>x</v>
      </c>
      <c r="GN18" s="111"/>
      <c r="GO18" s="112" t="str">
        <f>HYPERLINK("http://www.aponet.de/englisch/20151111-so-unterscheiden-sich-grippe-und-erkaeltung.html","x")</f>
        <v>x</v>
      </c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2" t="str">
        <f t="shared" si="16"/>
        <v>x</v>
      </c>
      <c r="HD18" s="112" t="str">
        <f>HYPERLINK("https://www.zahnaerzte-wl.de/images/_PDF-suche/KZV_ZÄK/ENDSTAND_Ankreuzbogen_Ich_verstehe.pdf","x")</f>
        <v>x</v>
      </c>
      <c r="HE18" s="112" t="str">
        <f>HYPERLINK("https://www.zahnaerzte-wl.de/images/_PDF-suche/KZV_ZÄK/Anschreiben_Patienten_englisch.pdf","x")</f>
        <v>x</v>
      </c>
      <c r="HF18" s="112" t="str">
        <f>HYPERLINK("https://www.zahnaerzte-wl.de/images/_PDF-suche/KZV_ZÄK/Fragebogen_englisch.pdf","x")</f>
        <v>x</v>
      </c>
      <c r="HG18" s="112" t="str">
        <f>HYPERLINK("https://www.zahnaerzte-wl.de/images/_PDF-suche/KZV_ZÄK/Patientenerhebungsbogen_englisch.pdf","x")</f>
        <v>x</v>
      </c>
      <c r="HH18" s="112"/>
      <c r="HI18" s="112" t="str">
        <f>HYPERLINK("http://www.bvkm.de/fileadmin/web_data/Behinderung_und_Migration_englisch_2014.pdf","x")</f>
        <v>x</v>
      </c>
      <c r="HJ18" s="112"/>
      <c r="HK18" s="112" t="str">
        <f>HYPERLINK("http://www.psychenet.de/en/mental-health/knowledge/depression.html","x")</f>
        <v>x</v>
      </c>
      <c r="HL18" s="111"/>
      <c r="HM18" s="112" t="str">
        <f>HYPERLINK("http://www.psychenet.de/en/mental-health/knowledge/psychoses.html","x")</f>
        <v>x</v>
      </c>
      <c r="HN18" s="112" t="str">
        <f>HYPERLINK("http://www.psychenet.de/en/mental-health/knowledge/somatoform-disorders.html","x")</f>
        <v>x</v>
      </c>
      <c r="HO18" s="112" t="str">
        <f>HYPERLINK("http://www.psychenet.de/en/mental-health/knowledge/anorexia.html","x")</f>
        <v>x</v>
      </c>
      <c r="HP18" s="112" t="str">
        <f>HYPERLINK("http://www.psychenet.de/en/mental-health/knowledge/bulimia.html","x")</f>
        <v>x</v>
      </c>
      <c r="HQ18" s="112" t="str">
        <f>HYPERLINK("http://www.psychenet.de/en/mental-health/knowledge/bipolar-disorder.html","x")</f>
        <v>x</v>
      </c>
      <c r="HR18" s="112" t="str">
        <f>HYPERLINK("http://www.psychenet.de/en/mental-health/knowledge/panic-and-agoraphobia.html","x")</f>
        <v>x</v>
      </c>
      <c r="HS18" s="112" t="str">
        <f>HYPERLINK("http://www.psychenet.de/en/mental-health/knowledge/social-phobia.html","x")</f>
        <v>x</v>
      </c>
      <c r="HT18" s="112" t="str">
        <f>HYPERLINK("http://www.psychenet.de/en/mental-health/knowledge/generalized-anxiety-disorder.html","x")</f>
        <v>x</v>
      </c>
      <c r="HU18" s="112"/>
      <c r="HV18" s="112" t="str">
        <f>HYPERLINK("http://www.psychenet.de/en/mental-health/knowledge/information-and-support.html","x")</f>
        <v>x</v>
      </c>
      <c r="HW18" s="112"/>
      <c r="HX18" s="112" t="str">
        <f>HYPERLINK("http://www.bkk-psychisch-gesund.de/fileadmin/user_upload/Dokumente/Versicherte/Broschueren/Wegweiser_Psychotherapie_englisch.pdf","x")</f>
        <v>x</v>
      </c>
      <c r="HY18" s="112" t="str">
        <f t="shared" si="17"/>
        <v>x</v>
      </c>
      <c r="HZ18" s="112" t="str">
        <f t="shared" si="18"/>
        <v>x</v>
      </c>
      <c r="IA18" s="112" t="str">
        <f>HYPERLINK("http://peacefulheart.se/wp-content/uploads/2012/02/TTT_English_2013.pdf","x")</f>
        <v>x</v>
      </c>
      <c r="IB18" s="112"/>
      <c r="IC18" s="112"/>
      <c r="ID18" s="112" t="str">
        <f>HYPERLINK("http://www.susannestein.de/VIA-online/trauma-picture-book.pdf","x")</f>
        <v>x</v>
      </c>
      <c r="IE18" s="112" t="str">
        <f>HYPERLINK("http://www.psychenet.de/en/mental-health/knowledge/alcohol-in-adolescence.html","x")</f>
        <v>x</v>
      </c>
      <c r="IF18" s="112"/>
      <c r="IG18" s="112"/>
      <c r="IH18" s="111"/>
      <c r="II18" s="112" t="str">
        <f>HYPERLINK("http://www.caritas.de/hilfeundberatung/onlineberatung/suchtberatung/haeufiggestelltefragensucht/haeufiggestelltefragen-sucht","x")</f>
        <v>x</v>
      </c>
      <c r="IJ18" s="112" t="str">
        <f>HYPERLINK("http://www.dhs.de/fileadmin/user_upload/pdf/Broschueren/Ein_Angebot_an_alle-Englisch.pdf","x")</f>
        <v>x</v>
      </c>
      <c r="IK18" s="112" t="str">
        <f>HYPERLINK("http://www.bamf.de/SharedDocs/Anlagen/EN/Publikationen/Flyer/Lassen-Sie-Sich-Beraten/lassen-sie-sich-beraten.pdf?__blob=publicationFile","x")</f>
        <v>x</v>
      </c>
      <c r="IL18" s="115" t="str">
        <f>HYPERLINK("http://www.bamf.de/SharedDocs/Anlagen/EN/Publikationen/Flyer/flyer-erstorientierung-asylsuchende.pdf?__blob=publicationFile","x")</f>
        <v>x</v>
      </c>
      <c r="IM18" s="112" t="str">
        <f>HYPERLINK("http://www.frnrw.de/index.php/inhaltliche-themen/arbeitshilfen/item/3710-erstinfos-fuer-asylsuchende","x")</f>
        <v>x</v>
      </c>
      <c r="IN18" s="112" t="str">
        <f>HYPERLINK("http://www.bamf.de/SharedDocs/Anlagen/EN/Publikationen/Broschueren/willkommen-in-deutschland.pdf;jsessionid=2D72CB108E4AC02BBB9659E7D9A589B2.1_cid368?__blob=publicationFile","x")</f>
        <v>x</v>
      </c>
      <c r="IO18" s="112"/>
      <c r="IP18" s="112"/>
      <c r="IQ18" s="112" t="str">
        <f>HYPERLINK("http://www.bamf.de/SharedDocs/Anlagen/EN/Publikationen/Flyer/Lernen-Sie-Deutsch/lernen-sie-deutsch.pdf?__blob=publicationFile","x")</f>
        <v>x</v>
      </c>
      <c r="IR18" s="112" t="str">
        <f>HYPERLINK("http://www.asyl.net/fileadmin/user_upload/redaktion/Dokumente/Arbeitshilfen/150910_Wie_l%C3%A4uft_ein_Asylverfahren_ab_%C3%9Cberblickstext_Englisch.pdf","x")</f>
        <v>x</v>
      </c>
      <c r="IS18" s="111"/>
      <c r="IT18" s="112" t="str">
        <f>HYPERLINK("http://www.bamf.de/SharedDocs/Anlagen/EN/Publikationen/Flyer/ablauf-asylverfahren.pdf;jsessionid=DBD4307960D761935FCC3E0325D459A1.1_cid294?__blob=publicationFile","x")</f>
        <v>x</v>
      </c>
      <c r="IU18" s="111"/>
      <c r="IV18" s="112" t="str">
        <f>HYPERLINK("http://www.asyl.net/fileadmin/user_upload/infoblatt_anhoerung/Infoblatt_2015_en_fin.pdf","x")</f>
        <v>x</v>
      </c>
      <c r="IW18" s="112"/>
      <c r="IX18" s="112" t="str">
        <f>HYPERLINK("http://www.berlin.de/labo/willkommen-in-berlin/service/downloads/artikel.273193.php","x")</f>
        <v>x</v>
      </c>
      <c r="IY18" s="112" t="str">
        <f>HYPERLINK("http://www.bamf.de/SharedDocs/Anlagen/EN/Publikationen/Broschueren/broschuere-eat-a4.pdf?__blob=publicationFile","x")</f>
        <v>x</v>
      </c>
      <c r="IZ18" s="111"/>
      <c r="JA18" s="112" t="str">
        <f>HYPERLINK("http://fluechtlingsrat-bw.de/informationen-fuer-fluechtlinge.html","x")</f>
        <v>x</v>
      </c>
      <c r="JB18" s="111"/>
      <c r="JC18" s="112" t="str">
        <f>HYPERLINK("http://www.bamf.de/SharedDocs/Anlagen/EN/Publikationen/Flyer/20150223_ura2_en.pdf?__blob=publicationFile","x")</f>
        <v>x</v>
      </c>
      <c r="JD18" s="111"/>
      <c r="JE18" s="112"/>
      <c r="JF18" s="112"/>
      <c r="JG18" s="112" t="str">
        <f>HYPERLINK("http://www.bamf.de/SharedDocs/Anlagen/EN/Publikationen/Flyer/Ehegattennachzug/ehegattennachzug.pdf?__blob=publicationFile","x")</f>
        <v>x</v>
      </c>
      <c r="JH18" s="112" t="str">
        <f>HYPERLINK("https://familyreunion-syria.diplo.de/webportal/index.html#start","x")</f>
        <v>x</v>
      </c>
      <c r="JI18" s="112" t="str">
        <f>HYPERLINK("http://ec.europa.eu/dgs/home-affairs/what-we-do/networks/european_migration_network/docs/emn-glossary-en-version.pdf","x")</f>
        <v>x</v>
      </c>
      <c r="JJ18" s="112"/>
      <c r="JK18" s="112" t="str">
        <f>HYPERLINK("https://www.arbeitsagentur.de/web/wcm/idc/groups/public/documents/webdatei/mdaw/mjgz/~edisp/l6019022dstbai784628.pdf?_ba.sid=L6019022DSTBAI784625","x")</f>
        <v>x</v>
      </c>
      <c r="JL18" s="112" t="str">
        <f>HYPERLINK("http://www.kub-berlin.org/formularprojekt/de/englisch-antraege-und-anlagen-uebersetzungshilfen/","x")</f>
        <v>x</v>
      </c>
      <c r="JM18" s="112" t="str">
        <f>HYPERLINK("https://www.arbeitsagentur.de/web/content/DE/Formulare/Detail/index.htm?dfContentId=L6019022DSTBAI485740","x")</f>
        <v>x</v>
      </c>
      <c r="JN18" s="112"/>
      <c r="JO18" s="112"/>
      <c r="JP18" s="112"/>
      <c r="JQ18" s="112"/>
      <c r="JR18" s="112" t="str">
        <f>HYPERLINK("http://www.ibla-germany.de/merkblaetter.php","x")</f>
        <v>x</v>
      </c>
      <c r="JS18" s="112"/>
      <c r="JT18" s="112" t="str">
        <f>HYPERLINK("http://www.b-umf.de/images/willkommen/willkommensbroschureenglisch-web.pdf","x")</f>
        <v>x</v>
      </c>
      <c r="JU18" s="111"/>
      <c r="JV18" s="111"/>
      <c r="JW18" s="112"/>
      <c r="JX18" s="112" t="str">
        <f>HYPERLINK("https://www.arbeitsagentur.de/web/wcm/idc/groups/public/documents/webdatei/mdaw/mjgz/~edisp/l6019022dstbai784636.pdf?_ba.sid=L6019022DSTBAI784633","x")</f>
        <v>x</v>
      </c>
      <c r="JY18" s="112"/>
      <c r="JZ18" s="112"/>
      <c r="KA18" s="112"/>
      <c r="KB18" s="112" t="str">
        <f>HYPERLINK("http://www.refugeeguide.de/dl/RefugeeGuide_en_925.pdf","x")</f>
        <v>x</v>
      </c>
      <c r="KC18" s="112" t="str">
        <f>HYPERLINK("http://www.gesetze-im-internet.de/englisch_gg/basic_law_for_the_federal_republic_of_germany.pdf","x")</f>
        <v>x</v>
      </c>
      <c r="KD18" s="112" t="str">
        <f>HYPERLINK("http://www.wedel.de/fileadmin/user_upload/media/pdf/Rathaus_und_Politik/20160118_PM_Broschuere.pdf","x")</f>
        <v>x</v>
      </c>
      <c r="KE18" s="112" t="str">
        <f>HYPERLINK("http://www.frauenrechte.de/online/images/downloads/allgemein/TDF_Flyer_Women_Men.pdf","x")</f>
        <v>x</v>
      </c>
      <c r="KF18" s="112" t="str">
        <f>HYPERLINK("http://sab.landtag.sachsen.de/dokumente/landtagskurier/Grundwerte-A5-international_web_08012016.pdf","x")</f>
        <v>x</v>
      </c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1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1"/>
      <c r="MD18" s="112" t="str">
        <f>HYPERLINK("http://www.rki.de/DE/Content/Infekt/IfSG/Belehrungsbogen/belehrungsbogen_lebensmittel_englisch.pdf?__blob=publicationFile","x")</f>
        <v>x</v>
      </c>
      <c r="ME18" s="112"/>
      <c r="MF18" s="112" t="str">
        <f>HYPERLINK("http://www.gdv.de/wp-content/uploads/2016/01/Information_Brandschutz_Fluechtlingsheim_-Sicherheit_mehrsprachig.pdf","x")</f>
        <v>x</v>
      </c>
      <c r="MG18" s="112" t="str">
        <f>HYPERLINK("http://www.gdv.de/wp-content/uploads/2016/01/Information_Verhalten-im-Brandfall_mehrsprachig.pdf","x")</f>
        <v>x</v>
      </c>
      <c r="MH18" s="112" t="str">
        <f>HYPERLINK("http://www.aha-region.de/fileadmin/Download/pdf/aha_Plakat_Muelltrennung_en.pdf","x")</f>
        <v>x</v>
      </c>
      <c r="MI18" s="112" t="str">
        <f>HYPERLINK("http://www.kindersicherheit.de/pdf/2012_poster_achtunggiftig_8sprachig.pdf","x")</f>
        <v>x</v>
      </c>
    </row>
    <row r="19" spans="1:347" x14ac:dyDescent="0.25">
      <c r="A19" s="102" t="s">
        <v>25</v>
      </c>
      <c r="B19" s="127" t="s">
        <v>0</v>
      </c>
      <c r="C19" s="102"/>
      <c r="D19" s="102"/>
      <c r="E19" s="102"/>
      <c r="F19" s="102"/>
      <c r="G19" s="102"/>
      <c r="H19" s="102"/>
      <c r="I19" s="102"/>
      <c r="J19" s="102"/>
      <c r="K19" s="103"/>
      <c r="L19" s="111"/>
      <c r="M19" s="111"/>
      <c r="N19" s="112"/>
      <c r="O19" s="112"/>
      <c r="P19" s="112" t="str">
        <f>HYPERLINK("https://willkommensteamelmshorn.files.wordpress.com/2015/11/sortieranleitung_pinneberg_2015_albanisch.pdf","x")</f>
        <v>x</v>
      </c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 t="str">
        <f>HYPERLINK("http://asyl-in-moenchengladbach.de/wp-content/uploads/2015/11/100711-Flyer_alban.pdf","x")</f>
        <v>x</v>
      </c>
      <c r="AH19" s="111"/>
      <c r="AI19" s="111"/>
      <c r="AJ19" s="111"/>
      <c r="AK19" s="111"/>
      <c r="AL19" s="111"/>
      <c r="AM19" s="111"/>
      <c r="AN19" s="111"/>
      <c r="AO19" s="112"/>
      <c r="AP19" s="112"/>
      <c r="AQ19" s="112"/>
      <c r="AR19" s="112"/>
      <c r="AS19" s="112"/>
      <c r="AT19" s="112"/>
      <c r="AU19" s="112"/>
      <c r="AV19" s="113"/>
      <c r="AW19" s="114" t="str">
        <f t="shared" si="0"/>
        <v>x</v>
      </c>
      <c r="AX19" s="114" t="str">
        <f t="shared" si="1"/>
        <v>x</v>
      </c>
      <c r="AY19" s="111"/>
      <c r="AZ19" s="111"/>
      <c r="BA19" s="112" t="str">
        <f t="shared" si="2"/>
        <v>x</v>
      </c>
      <c r="BB19" s="112" t="str">
        <f t="shared" si="3"/>
        <v>x</v>
      </c>
      <c r="BC19" s="111"/>
      <c r="BD19" s="111"/>
      <c r="BE19" s="111"/>
      <c r="BF19" s="111"/>
      <c r="BG19" s="111"/>
      <c r="BH19" s="111"/>
      <c r="BI19" s="112" t="str">
        <f>HYPERLINK("https://www.advanced-online.eu/downloads/RefugeePhrasebookCards_German-Albanian.pdf","x")</f>
        <v>x</v>
      </c>
      <c r="BJ19" s="111"/>
      <c r="BK19" s="111"/>
      <c r="BL19" s="112" t="str">
        <f>HYPERLINK("http://www.bundessprachenamt.de/deutsch/wir_ueber_uns/nachrichten/2015/20151103/Verständigungshilfe_Albanisch_26_11_2015.pdf","x")</f>
        <v>x</v>
      </c>
      <c r="BM19" s="112" t="str">
        <f>HYPERLINK("http://www.frnrw.de/images/Aus_den_Initiativen/Ehrenamtler/2015/Dictionary_x10_print-2.pdf","x")</f>
        <v>x</v>
      </c>
      <c r="BN19" s="111"/>
      <c r="BO19" s="111"/>
      <c r="BP19" s="111"/>
      <c r="BQ19" s="111"/>
      <c r="BR19" s="111"/>
      <c r="BS19" s="112" t="str">
        <f t="shared" si="4"/>
        <v>x</v>
      </c>
      <c r="BT19" s="112"/>
      <c r="BU19" s="111"/>
      <c r="BV19" s="112" t="str">
        <f t="shared" si="5"/>
        <v>x</v>
      </c>
      <c r="BW19" s="112" t="str">
        <f>HYPERLINK("http://www.welcomegrooves.de/wp-content/uploads/2015/10/welcomegrooves_DE-ALBANISCH.pdf","x")</f>
        <v>x</v>
      </c>
      <c r="BX19" s="112"/>
      <c r="BY19" s="112"/>
      <c r="BZ19" s="112" t="str">
        <f>HYPERLINK("http://fluechtlingshilfe-nettetal.de/ausbildung/video-sprachkurse-deutsch-fuer-fluechtlinge/video-sprachkurs-albanisch-deutsch/","x")</f>
        <v>x</v>
      </c>
      <c r="CA19" s="112" t="str">
        <f t="shared" si="6"/>
        <v>x</v>
      </c>
      <c r="CB19" s="112" t="str">
        <f t="shared" si="7"/>
        <v>x</v>
      </c>
      <c r="CC19" s="112" t="str">
        <f t="shared" si="8"/>
        <v>x</v>
      </c>
      <c r="CD19" s="112"/>
      <c r="CE19" s="112"/>
      <c r="CF19" s="111"/>
      <c r="CG19" s="111"/>
      <c r="CH19" s="111"/>
      <c r="CI19" s="111"/>
      <c r="CJ19" s="111"/>
      <c r="CK19" s="112" t="str">
        <f t="shared" si="9"/>
        <v>x</v>
      </c>
      <c r="CL19" s="112"/>
      <c r="CM19" s="112"/>
      <c r="CN19" s="112"/>
      <c r="CO19" s="112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2"/>
      <c r="DA19" s="112" t="str">
        <f>HYPERLINK("http://sichere-orte-schaffen.de/wp-content/uploads/Minibrosch_Fluechtlinge_multilang.pdf","x")</f>
        <v>x</v>
      </c>
      <c r="DB19" s="112"/>
      <c r="DC19" s="115"/>
      <c r="DD19" s="112"/>
      <c r="DE19" s="112"/>
      <c r="DF19" s="112" t="str">
        <f t="shared" si="10"/>
        <v>x</v>
      </c>
      <c r="DG19" s="115" t="str">
        <f t="shared" si="11"/>
        <v>x</v>
      </c>
      <c r="DH19" s="112" t="str">
        <f t="shared" si="12"/>
        <v>x</v>
      </c>
      <c r="DI19" s="112" t="str">
        <f t="shared" si="13"/>
        <v>x</v>
      </c>
      <c r="DJ19" s="112" t="str">
        <f>HYPERLINK("http://www.bibliomedia.ch/de/angebote/dokumente/Glossar_albanisch.pdf","x")</f>
        <v>x</v>
      </c>
      <c r="DK19" s="112"/>
      <c r="DL19" s="112"/>
      <c r="DM19" s="112"/>
      <c r="DN19" s="112"/>
      <c r="DO19" s="112"/>
      <c r="DP19" s="111"/>
      <c r="DQ19" s="111"/>
      <c r="DR19" s="111"/>
      <c r="DS19" s="112" t="str">
        <f>HYPERLINK("http://bildung.koeln.de/materialbibliothek/download.php?idx=00d90bf2e613ea68bb3a6eb10941e749","x")</f>
        <v>x</v>
      </c>
      <c r="DT19" s="112" t="str">
        <f>HYPERLINK("http://bildung.koeln.de/materialbibliothek/download.php?idx=7fe9bcc33373e31f48b8dc613c66ad26","x")</f>
        <v>x</v>
      </c>
      <c r="DU19" s="112"/>
      <c r="DV19" s="111"/>
      <c r="DW19" s="111"/>
      <c r="DX19" s="111"/>
      <c r="DY19" s="111"/>
      <c r="DZ19" s="111"/>
      <c r="EA19" s="111"/>
      <c r="EB19" s="112"/>
      <c r="EC19" s="111"/>
      <c r="ED19" s="111"/>
      <c r="EE19" s="111"/>
      <c r="EF19" s="111"/>
      <c r="EG19" s="111"/>
      <c r="EH19" s="111"/>
      <c r="EI19" s="111"/>
      <c r="EJ19" s="112"/>
      <c r="EK19" s="112"/>
      <c r="EL19" s="111"/>
      <c r="EM19" s="112" t="str">
        <f>HYPERLINK("http://www.kvs-sachsen.de/fileadmin/img/Mitglieder/Asylbewerber/Allg-Informationen/Anlage_1_Albanisch_LEK.pdf","x")</f>
        <v>x</v>
      </c>
      <c r="EN19" s="111"/>
      <c r="EO19" s="116"/>
      <c r="EP19" s="117" t="str">
        <f>HYPERLINK("http://www.medi-bild.de/pdf/anamnese/Welche_Sprache.pdf","x")</f>
        <v>x</v>
      </c>
      <c r="EQ19" s="118"/>
      <c r="ER19" s="112" t="str">
        <f>HYPERLINK("http://www.kvs-sachsen.de/fileadmin/img/Mitglieder/Asylbewerber/Allg-Informationen/Anlagen_2-1_2-2_Albanisch_LEK.pdf","x")</f>
        <v>x</v>
      </c>
      <c r="ES19" s="112"/>
      <c r="ET19" s="112"/>
      <c r="EU19" s="116"/>
      <c r="EV19" s="112" t="str">
        <f>HYPERLINK("http://www.adler-apotheke-hh.de/fileadmin/user_upload/PDF-Dateien/Dosierzettel_mehrsprachig_AUF_0_.pdf","x")</f>
        <v>x</v>
      </c>
      <c r="EW19" s="112" t="str">
        <f t="shared" si="14"/>
        <v>x</v>
      </c>
      <c r="EX19" s="111"/>
      <c r="EY19" s="111"/>
      <c r="EZ19" s="111"/>
      <c r="FA19" s="111"/>
      <c r="FB19" s="111"/>
      <c r="FC19" s="111"/>
      <c r="FD19" s="112" t="str">
        <f t="shared" si="15"/>
        <v>x</v>
      </c>
      <c r="FE19" s="112" t="str">
        <f>HYPERLINK("http://sghanstedt.elbnetz.com/ueber-uns/","x")</f>
        <v>x</v>
      </c>
      <c r="FF19" s="112" t="str">
        <f>HYPERLINK("http://www.fuhlenhagen.com/pdf_dateien/uebertzungshilfe_aerzte_mehrsprachig.pdf","x")</f>
        <v>x</v>
      </c>
      <c r="FG19" s="112" t="str">
        <f>HYPERLINK("http://www.tipdoc.de/grafik/asyl/Gesundheitsheft_Asyl.pdf","x")</f>
        <v>x</v>
      </c>
      <c r="FH19" s="111"/>
      <c r="FI19" s="111"/>
      <c r="FJ19" s="112"/>
      <c r="FK19" s="112" t="str">
        <f>HYPERLINK("http://www.rki.de/DE/Content/Infekt/Impfen/Materialien/Downloads-Impfkalender/Impfkalender_Albanisch.pdf?__blob=publicationFile","x")</f>
        <v>x</v>
      </c>
      <c r="FL19" s="112" t="str">
        <f>HYPERLINK("http://www.ethno-medizinisches-zentrum.de/images/PDF-Files/impfwegweiser_albanisch_2013_online.pdf","x")</f>
        <v>x</v>
      </c>
      <c r="FM19" s="112"/>
      <c r="FN19" s="112" t="str">
        <f>HYPERLINK("http://www.rki.de/DE/Content/Infekt/Impfen/Materialien/Glossar-Downloads/glossar-de-albanisch.pdf?__blob=publicationFile","x")</f>
        <v>x</v>
      </c>
      <c r="FO19" s="112"/>
      <c r="FP19" s="112" t="str">
        <f>HYPERLINK("http://www.rki.de/DE/Content/Infekt/Impfen/Materialien/Downloads-MMR/MMR-Impfinfo-albanisch.pdf?__blob=publicationFile","x")</f>
        <v>x</v>
      </c>
      <c r="FQ19" s="111"/>
      <c r="FR19" s="112" t="str">
        <f>HYPERLINK("http://www.rki.de/DE/Content/Infekt/Impfen/Materialien/Downloads_HepA/Aufklaerung_HAV-Impfung_albanisch.pdf?__blob=publicationFile","x")</f>
        <v>x</v>
      </c>
      <c r="FS19" s="112" t="str">
        <f>HYPERLINK("http://www.rki.de/DE/Content/Infekt/Impfen/Materialien/Downloads_Pneumokokken/Aufklaerung_Pneumo-Impfung_Albanisch.pdf?__blob=publicationFile","x")</f>
        <v>x</v>
      </c>
      <c r="FT19" s="112" t="str">
        <f>HYPERLINK("http://www.rki.de/DE/Content/Infekt/Impfen/Materialien/Downloads-DTaPIPVHibHepB/DTaPIPVHibHepB_albanisch.pdf?__blob=publicationFile","x")</f>
        <v>x</v>
      </c>
      <c r="FU1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9" s="112" t="str">
        <f>HYPERLINK("http://www.rki.de/DE/Content/Infekt/Impfen/Materialien/Downloads-Tdap-IPV/Tdap-IPV-albanisch.pdf?__blob=publicationFile","x")</f>
        <v>x</v>
      </c>
      <c r="FW19" s="112" t="str">
        <f>HYPERLINK("http://www.rki.de/DE/Content/Infekt/Impfen/Materialien/Downloads-Influenza_nasal/Influenza_nasal-albanisch.pdf?__blob=publicationFile","x")</f>
        <v>x</v>
      </c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2" t="str">
        <f>HYPERLINK("http://www.rki.de/DE/Content/Infekt/Impfen/Materialien/Downloads-Influenza/Influenza-albanisch.pdf?__blob=publicationFile","x")</f>
        <v>x</v>
      </c>
      <c r="GN19" s="111"/>
      <c r="GO19" s="111"/>
      <c r="GP19" s="112" t="str">
        <f>HYPERLINK("http://www.tipdoc.de/grafik/pdf/kopflaeuse/Kopflaeuse_ALBAN.pdf","x")</f>
        <v>x</v>
      </c>
      <c r="GQ19" s="112"/>
      <c r="GR19" s="112" t="str">
        <f>HYPERLINK("http://www.tipdoc.com/bus/pdf/kraetze/tipdoc_Scabies_ALBAN.pdf","x")</f>
        <v>x</v>
      </c>
      <c r="GS19" s="112" t="str">
        <f>HYPERLINK("http://www.tipdoc.com/bus/pdf/MagenDarmHaende/MagenDarmHaende_ALBAN.pdf","x")</f>
        <v>x</v>
      </c>
      <c r="GT19" s="111"/>
      <c r="GU19" s="111"/>
      <c r="GV19" s="111"/>
      <c r="GW19" s="111"/>
      <c r="GX19" s="111"/>
      <c r="GY19" s="111"/>
      <c r="GZ19" s="111"/>
      <c r="HA19" s="111"/>
      <c r="HB19" s="111"/>
      <c r="HC19" s="112" t="str">
        <f t="shared" si="16"/>
        <v>x</v>
      </c>
      <c r="HD19" s="112" t="str">
        <f>HYPERLINK("https://www.zahnaerzte-wl.de/images/_PDF-suche/KZV_ZÄK/ENDSTAND_Ankreuzbogen_Ich_verstehe.pdf","x")</f>
        <v>x</v>
      </c>
      <c r="HE19" s="112" t="str">
        <f>HYPERLINK("https://www.zahnaerzte-wl.de/images/_PDF-suche/KZV_ZÄK/Anschreiben_albanisch.pdf","x")</f>
        <v>x</v>
      </c>
      <c r="HF19" s="112" t="str">
        <f>HYPERLINK("https://www.zahnaerzte-wl.de/images/_PDF-suche/KZV_ZÄK/Fragebogen_albanisch.pdf","x")</f>
        <v>x</v>
      </c>
      <c r="HG19" s="112" t="str">
        <f>HYPERLINK("https://www.zahnaerzte-wl.de/images/_PDF-suche/KZV_ZÄK/Fragebogen_albanisch.pdf","x")</f>
        <v>x</v>
      </c>
      <c r="HH19" s="112"/>
      <c r="HI19" s="112"/>
      <c r="HJ19" s="112"/>
      <c r="HK19" s="112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2" t="str">
        <f t="shared" si="17"/>
        <v>x</v>
      </c>
      <c r="HZ19" s="112" t="str">
        <f t="shared" si="18"/>
        <v>x</v>
      </c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2"/>
      <c r="IL19" s="111"/>
      <c r="IM19" s="111"/>
      <c r="IN19" s="111"/>
      <c r="IO19" s="111"/>
      <c r="IP19" s="111"/>
      <c r="IQ19" s="112"/>
      <c r="IR19" s="112"/>
      <c r="IS19" s="111"/>
      <c r="IT19" s="111"/>
      <c r="IU19" s="111"/>
      <c r="IV19" s="112" t="str">
        <f>HYPERLINK("http://www.asyl.net/fileadmin/user_upload/infoblatt_anhoerung/Infoblatt_2015_alb_fin.pdf","x")</f>
        <v>x</v>
      </c>
      <c r="IW19" s="112"/>
      <c r="IX19" s="112"/>
      <c r="IY19" s="112" t="str">
        <f>HYPERLINK("http://www.bamf.de/SharedDocs/Anlagen/DE/Publikationen/Broschueren/broschuere-eat-a4-sq-albanisch.pdf?__blob=publicationFile","x")</f>
        <v>x</v>
      </c>
      <c r="IZ19" s="111"/>
      <c r="JA19" s="111"/>
      <c r="JB19" s="111"/>
      <c r="JC19" s="112" t="str">
        <f>HYPERLINK("http://www.bamf.de/SharedDocs/Anlagen/DE/Publikationen/Flyer/20140110_ura2-kinderprojekt_alb.pdf?__blob=publicationFile","x")</f>
        <v>x</v>
      </c>
      <c r="JD19" s="111"/>
      <c r="JE19" s="112"/>
      <c r="JF19" s="112"/>
      <c r="JG19" s="111"/>
      <c r="JH19" s="111"/>
      <c r="JI19" s="111"/>
      <c r="JJ19" s="112"/>
      <c r="JK19" s="112"/>
      <c r="JL19" s="112"/>
      <c r="JM19" s="112"/>
      <c r="JN19" s="112"/>
      <c r="JO19" s="112"/>
      <c r="JP19" s="112"/>
      <c r="JQ19" s="112"/>
      <c r="JR19" s="112" t="str">
        <f>HYPERLINK("http://www.ibla-germany.de/merkblaetter.php","x")</f>
        <v>x</v>
      </c>
      <c r="JS19" s="112"/>
      <c r="JT19" s="111"/>
      <c r="JU19" s="111"/>
      <c r="JV19" s="111"/>
      <c r="JW19" s="112"/>
      <c r="JX19" s="112"/>
      <c r="JY19" s="112"/>
      <c r="JZ19" s="112"/>
      <c r="KA19" s="112"/>
      <c r="KB19" s="112" t="str">
        <f>HYPERLINK("http://www.refugeeguide.de/dl/RefugeeGuide_al_929.pdf","x")</f>
        <v>x</v>
      </c>
      <c r="KC19" s="111"/>
      <c r="KD19" s="111"/>
      <c r="KE19" s="112" t="str">
        <f>HYPERLINK("http://www.frauenrechte.de/online/images/downloads/allgemein/TDF_Flyer_Women_Men.pdf","x")</f>
        <v>x</v>
      </c>
      <c r="KF19" s="111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</row>
    <row r="20" spans="1:347" ht="14.25" customHeight="1" x14ac:dyDescent="0.25">
      <c r="A20" s="102" t="s">
        <v>25</v>
      </c>
      <c r="B20" s="127" t="s">
        <v>106</v>
      </c>
      <c r="C20" s="102"/>
      <c r="D20" s="102"/>
      <c r="E20" s="102"/>
      <c r="F20" s="102"/>
      <c r="G20" s="102"/>
      <c r="H20" s="102"/>
      <c r="I20" s="102"/>
      <c r="J20" s="102"/>
      <c r="K20" s="103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2"/>
      <c r="AP20" s="112"/>
      <c r="AQ20" s="112"/>
      <c r="AR20" s="112"/>
      <c r="AS20" s="112"/>
      <c r="AT20" s="112"/>
      <c r="AU20" s="112"/>
      <c r="AV20" s="113"/>
      <c r="AW20" s="114" t="str">
        <f t="shared" si="0"/>
        <v>x</v>
      </c>
      <c r="AX20" s="114" t="str">
        <f t="shared" si="1"/>
        <v>x</v>
      </c>
      <c r="AY20" s="111"/>
      <c r="AZ20" s="111"/>
      <c r="BA20" s="112" t="str">
        <f t="shared" si="2"/>
        <v>x</v>
      </c>
      <c r="BB20" s="112" t="str">
        <f t="shared" si="3"/>
        <v>x</v>
      </c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2" t="str">
        <f t="shared" si="4"/>
        <v>x</v>
      </c>
      <c r="BT20" s="112"/>
      <c r="BU20" s="111"/>
      <c r="BV20" s="112" t="str">
        <f t="shared" si="5"/>
        <v>x</v>
      </c>
      <c r="BW20" s="112" t="str">
        <f>HYPERLINK("http://www.welcomegrooves.de/wp-content/uploads/2015/11/welcomegrooves_DE-GRIECHISCH.pdf","x")</f>
        <v>x</v>
      </c>
      <c r="BX20" s="112"/>
      <c r="BY20" s="112"/>
      <c r="BZ20" s="112"/>
      <c r="CA20" s="112" t="str">
        <f t="shared" si="6"/>
        <v>x</v>
      </c>
      <c r="CB20" s="112" t="str">
        <f t="shared" si="7"/>
        <v>x</v>
      </c>
      <c r="CC20" s="112" t="str">
        <f t="shared" si="8"/>
        <v>x</v>
      </c>
      <c r="CD20" s="112"/>
      <c r="CE20" s="112"/>
      <c r="CF20" s="111"/>
      <c r="CG20" s="111"/>
      <c r="CH20" s="111"/>
      <c r="CI20" s="111"/>
      <c r="CJ20" s="111"/>
      <c r="CK20" s="112" t="str">
        <f t="shared" si="9"/>
        <v>x</v>
      </c>
      <c r="CL20" s="112"/>
      <c r="CM20" s="112"/>
      <c r="CN20" s="112"/>
      <c r="CO20" s="112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2"/>
      <c r="DA20" s="112"/>
      <c r="DB20" s="112"/>
      <c r="DC20" s="115"/>
      <c r="DD20" s="112"/>
      <c r="DE20" s="112"/>
      <c r="DF20" s="112" t="str">
        <f t="shared" si="10"/>
        <v>x</v>
      </c>
      <c r="DG20" s="115" t="str">
        <f t="shared" si="11"/>
        <v>x</v>
      </c>
      <c r="DH20" s="112" t="str">
        <f t="shared" si="12"/>
        <v>x</v>
      </c>
      <c r="DI20" s="112" t="str">
        <f t="shared" si="13"/>
        <v>x</v>
      </c>
      <c r="DJ20" s="111"/>
      <c r="DK20" s="111"/>
      <c r="DL20" s="111"/>
      <c r="DM20" s="111"/>
      <c r="DN20" s="111"/>
      <c r="DO20" s="111"/>
      <c r="DP20" s="111"/>
      <c r="DQ20" s="111"/>
      <c r="DR20" s="111"/>
      <c r="DS20" s="112" t="str">
        <f>HYPERLINK("http://bildung.koeln.de/materialbibliothek/download.php?idx=d35570d7126defc916713321f0977622","x")</f>
        <v>x</v>
      </c>
      <c r="DT20" s="112" t="str">
        <f>HYPERLINK("http://bildung.koeln.de/materialbibliothek/download.php?idx=bde72be3f1bc4c51a4b0bcfe4a4187c4","x")</f>
        <v>x</v>
      </c>
      <c r="DU20" s="112"/>
      <c r="DV20" s="112" t="str">
        <f>HYPERLINK("https://www.bmbf.de/pub/BMBF_Kausa_Elternbroschuere_griechisch.pdf","x")</f>
        <v>x</v>
      </c>
      <c r="DW20" s="111"/>
      <c r="DX20" s="111"/>
      <c r="DY20" s="111"/>
      <c r="DZ20" s="111"/>
      <c r="EA20" s="112" t="str">
        <f>HYPERLINK("http://www.bamf.de/SharedDocs/Anlagen/DE/Publikationen/Flyer/AnerkennungBerufsabschluss/anerkennung-berufsabschluss_ausland_el.pdf?__blob=publicationFile","x")</f>
        <v>x</v>
      </c>
      <c r="EB20" s="112"/>
      <c r="EC20" s="112" t="str">
        <f>HYPERLINK("http://www.bamf.de/SharedDocs/Anlagen/DE/Publikationen/Flyer/Berufsbezsprachf-ESF-BAMF/berufsbezsprachf-esf-bamf_gr.pdf?__blob=publicationFile","x")</f>
        <v>x</v>
      </c>
      <c r="ED20" s="111"/>
      <c r="EE20" s="111"/>
      <c r="EF20" s="111"/>
      <c r="EG20" s="111"/>
      <c r="EH20" s="111"/>
      <c r="EI20" s="111"/>
      <c r="EJ20" s="112"/>
      <c r="EK20" s="112"/>
      <c r="EL20" s="111"/>
      <c r="EM20" s="111"/>
      <c r="EN20" s="111"/>
      <c r="EO20" s="111"/>
      <c r="EP20" s="117" t="str">
        <f>HYPERLINK("http://www.medi-bild.de/pdf/anamnese/Welche_Sprache.pdf","x")</f>
        <v>x</v>
      </c>
      <c r="EQ20" s="117" t="str">
        <f>HYPERLINK("http://www.medknowledge.de/migration/tipdoc/anamnesebogen/tipdoc_Anamnese_greek.pdf","x")</f>
        <v>x</v>
      </c>
      <c r="ER20" s="111"/>
      <c r="ES20" s="111"/>
      <c r="ET20" s="111"/>
      <c r="EU20" s="111"/>
      <c r="EV20" s="111"/>
      <c r="EW20" s="112" t="str">
        <f t="shared" si="14"/>
        <v>x</v>
      </c>
      <c r="EX20" s="111"/>
      <c r="EY20" s="111"/>
      <c r="EZ20" s="111"/>
      <c r="FA20" s="111"/>
      <c r="FB20" s="111"/>
      <c r="FC20" s="111"/>
      <c r="FD20" s="112" t="str">
        <f t="shared" si="15"/>
        <v>x</v>
      </c>
      <c r="FE20" s="112" t="str">
        <f>HYPERLINK("http://sghanstedt.elbnetz.com/ueber-uns/","x")</f>
        <v>x</v>
      </c>
      <c r="FF20" s="111"/>
      <c r="FG20" s="111"/>
      <c r="FH20" s="111"/>
      <c r="FI20" s="111"/>
      <c r="FJ20" s="111"/>
      <c r="FK20" s="111"/>
      <c r="FL20" s="112" t="str">
        <f>HYPERLINK("http://www.ethno-medizinisches-zentrum.de/images/PDF-Files/impfwegweiser_griechisch_2013_online.pdf","x")</f>
        <v>x</v>
      </c>
      <c r="FM20" s="112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2" t="str">
        <f t="shared" si="16"/>
        <v>x</v>
      </c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2" t="str">
        <f t="shared" si="17"/>
        <v>x</v>
      </c>
      <c r="HZ20" s="112" t="str">
        <f t="shared" si="18"/>
        <v>x</v>
      </c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2" t="str">
        <f>HYPERLINK("http://www.bamf.de/SharedDocs/Anlagen/DE/Publikationen/Flyer/Lassen-Sie-Sich-Beraten/lassen-sie-sich-beraten_el.pdf?__blob=publicationFile","x")</f>
        <v>x</v>
      </c>
      <c r="IL20" s="111"/>
      <c r="IM20" s="111"/>
      <c r="IN20" s="112" t="str">
        <f>HYPERLINK("https://www.bamf.de/SharedDocs/Anlagen/DE/Publikationen/Broschueren/willkommen-in-deutschland_gr.pdf?__blob=publicationFile","x")</f>
        <v>x</v>
      </c>
      <c r="IO20" s="112"/>
      <c r="IP20" s="111"/>
      <c r="IQ20" s="112" t="str">
        <f>HYPERLINK("http://www.bamf.de/SharedDocs/Anlagen/DE/Publikationen/Flyer/Lernen-Sie-Deutsch/lernen-sie-deutsch_gr.pdf?__blob=publicationFile","x")</f>
        <v>x</v>
      </c>
      <c r="IR20" s="112"/>
      <c r="IS20" s="111"/>
      <c r="IT20" s="111"/>
      <c r="IU20" s="111"/>
      <c r="IV20" s="112"/>
      <c r="IW20" s="112"/>
      <c r="IX20" s="112" t="str">
        <f>HYPERLINK("http://www.berlin.de/labo/willkommen-in-berlin/service/downloads/artikel.273193.php","x")</f>
        <v>x</v>
      </c>
      <c r="IY20" s="112"/>
      <c r="IZ20" s="111"/>
      <c r="JA20" s="111"/>
      <c r="JB20" s="111"/>
      <c r="JC20" s="112"/>
      <c r="JD20" s="111"/>
      <c r="JE20" s="112"/>
      <c r="JF20" s="112"/>
      <c r="JG20" s="112"/>
      <c r="JH20" s="112"/>
      <c r="JI20" s="111"/>
      <c r="JJ20" s="112"/>
      <c r="JK20" s="112"/>
      <c r="JL20" s="112"/>
      <c r="JM20" s="112" t="str">
        <f>HYPERLINK("https://www.arbeitsagentur.de/web/content/DE/Formulare/Detail/index.htm?dfContentId=L6019022DSTBAI485740","x")</f>
        <v>x</v>
      </c>
      <c r="JN20" s="112"/>
      <c r="JO20" s="112"/>
      <c r="JP20" s="112"/>
      <c r="JQ20" s="112"/>
      <c r="JR20" s="112" t="str">
        <f>HYPERLINK("http://www.ibla-germany.de/merkblaetter.php","x")</f>
        <v>x</v>
      </c>
      <c r="JS20" s="112"/>
      <c r="JT20" s="111"/>
      <c r="JU20" s="111"/>
      <c r="JV20" s="111"/>
      <c r="JW20" s="112"/>
      <c r="JX20" s="112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</row>
    <row r="21" spans="1:347" ht="14.25" customHeight="1" x14ac:dyDescent="0.25">
      <c r="A21" s="120" t="s">
        <v>25</v>
      </c>
      <c r="B21" s="127" t="s">
        <v>6</v>
      </c>
      <c r="C21" s="120"/>
      <c r="D21" s="120"/>
      <c r="E21" s="120"/>
      <c r="F21" s="120"/>
      <c r="G21" s="120"/>
      <c r="H21" s="120"/>
      <c r="I21" s="120"/>
      <c r="J21" s="120"/>
      <c r="K21" s="12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3"/>
      <c r="AW21" s="114" t="str">
        <f t="shared" si="0"/>
        <v>x</v>
      </c>
      <c r="AX21" s="114" t="str">
        <f t="shared" si="1"/>
        <v>x</v>
      </c>
      <c r="AY21" s="111"/>
      <c r="AZ21" s="111"/>
      <c r="BA21" s="112" t="str">
        <f t="shared" si="2"/>
        <v>x</v>
      </c>
      <c r="BB21" s="112" t="str">
        <f t="shared" si="3"/>
        <v>x</v>
      </c>
      <c r="BC21" s="111"/>
      <c r="BD21" s="111"/>
      <c r="BE21" s="111"/>
      <c r="BF21" s="111"/>
      <c r="BG21" s="111"/>
      <c r="BH21" s="111"/>
      <c r="BI21" s="111"/>
      <c r="BJ21" s="111"/>
      <c r="BK21" s="111"/>
      <c r="BL21" s="112" t="str">
        <f>HYPERLINK("http://www.bundessprachenamt.de/deutsch/wir_ueber_uns/nachrichten/2015/20151103/Verständigungshilfe_Mazedonisch_03_12_2015.pdf","x")</f>
        <v>x</v>
      </c>
      <c r="BM21" s="111"/>
      <c r="BN21" s="111"/>
      <c r="BO21" s="111"/>
      <c r="BP21" s="111"/>
      <c r="BQ21" s="111"/>
      <c r="BR21" s="111"/>
      <c r="BS21" s="112" t="str">
        <f t="shared" si="4"/>
        <v>x</v>
      </c>
      <c r="BT21" s="112"/>
      <c r="BU21" s="111"/>
      <c r="BV21" s="112" t="str">
        <f t="shared" si="5"/>
        <v>x</v>
      </c>
      <c r="BW21" s="112"/>
      <c r="BX21" s="112"/>
      <c r="BY21" s="112"/>
      <c r="BZ21" s="112"/>
      <c r="CA21" s="112" t="str">
        <f t="shared" si="6"/>
        <v>x</v>
      </c>
      <c r="CB21" s="112" t="str">
        <f t="shared" si="7"/>
        <v>x</v>
      </c>
      <c r="CC21" s="112" t="str">
        <f t="shared" si="8"/>
        <v>x</v>
      </c>
      <c r="CD21" s="112"/>
      <c r="CE21" s="112"/>
      <c r="CF21" s="111"/>
      <c r="CG21" s="111"/>
      <c r="CH21" s="111"/>
      <c r="CI21" s="111"/>
      <c r="CJ21" s="111"/>
      <c r="CK21" s="112" t="str">
        <f t="shared" si="9"/>
        <v>x</v>
      </c>
      <c r="CL21" s="112"/>
      <c r="CM21" s="112"/>
      <c r="CN21" s="112"/>
      <c r="CO21" s="112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2"/>
      <c r="DA21" s="112"/>
      <c r="DB21" s="112"/>
      <c r="DC21" s="115"/>
      <c r="DD21" s="112"/>
      <c r="DE21" s="112"/>
      <c r="DF21" s="112" t="str">
        <f t="shared" si="10"/>
        <v>x</v>
      </c>
      <c r="DG21" s="115" t="str">
        <f t="shared" si="11"/>
        <v>x</v>
      </c>
      <c r="DH21" s="112" t="str">
        <f t="shared" si="12"/>
        <v>x</v>
      </c>
      <c r="DI21" s="112" t="str">
        <f t="shared" si="13"/>
        <v>x</v>
      </c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2" t="str">
        <f>HYPERLINK("http://www.kvs-sachsen.de/fileadmin/img/Mitglieder/Asylbewerber/Allg-Informationen/Anlage_1_Mazedonisch_LEK.pdf","x")</f>
        <v>x</v>
      </c>
      <c r="EN21" s="111"/>
      <c r="EO21" s="111"/>
      <c r="EP21" s="118"/>
      <c r="EQ21" s="118"/>
      <c r="ER21" s="112" t="str">
        <f>HYPERLINK("http://www.kvs-sachsen.de/fileadmin/img/Mitglieder/Asylbewerber/Allg-Informationen/Anlagen_2-1_2-2_Mazedonisch_LEK.pdf","x")</f>
        <v>x</v>
      </c>
      <c r="ES21" s="111"/>
      <c r="ET21" s="111"/>
      <c r="EU21" s="111"/>
      <c r="EV21" s="111"/>
      <c r="EW21" s="112" t="str">
        <f t="shared" si="14"/>
        <v>x</v>
      </c>
      <c r="EX21" s="111"/>
      <c r="EY21" s="111"/>
      <c r="EZ21" s="111"/>
      <c r="FA21" s="111"/>
      <c r="FB21" s="111"/>
      <c r="FC21" s="111"/>
      <c r="FD21" s="112" t="str">
        <f t="shared" si="15"/>
        <v>x</v>
      </c>
      <c r="FE21" s="112" t="str">
        <f>HYPERLINK("http://sghanstedt.elbnetz.com/ueber-uns/","x")</f>
        <v>x</v>
      </c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2" t="str">
        <f t="shared" si="16"/>
        <v>x</v>
      </c>
      <c r="HD21" s="112" t="str">
        <f>HYPERLINK("https://www.zahnaerzte-wl.de/images/_PDF-suche/KZV_ZÄK/ENDSTAND_Ankreuzbogen_Ich_verstehe.pdf","x")</f>
        <v>x</v>
      </c>
      <c r="HE21" s="112" t="str">
        <f>HYPERLINK("https://www.zahnaerzte-wl.de/images/_PDF-suche/KZV_ZÄK/Anschreiben_Patienten_mazedonisch.pdf","x")</f>
        <v>x</v>
      </c>
      <c r="HF21" s="112" t="str">
        <f>HYPERLINK("https://www.zahnaerzte-wl.de/images/_PDF-suche/KZV_ZÄK/Fragebogen_mazedonisch.pdf","x")</f>
        <v>x</v>
      </c>
      <c r="HG21" s="112" t="str">
        <f>HYPERLINK("https://www.zahnaerzte-wl.de/images/_PDF-suche/KZV_ZÄK/Patientenerhebungsbogen_mazedonisch.pdf","x")</f>
        <v>x</v>
      </c>
      <c r="HH21" s="112"/>
      <c r="HI21" s="112"/>
      <c r="HJ21" s="112"/>
      <c r="HK21" s="112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2" t="str">
        <f t="shared" si="17"/>
        <v>x</v>
      </c>
      <c r="HZ21" s="112" t="str">
        <f t="shared" si="18"/>
        <v>x</v>
      </c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2"/>
      <c r="JZ21" s="112"/>
      <c r="KA21" s="112"/>
      <c r="KB21" s="112" t="str">
        <f>HYPERLINK("http://www.refugeeguide.de/dl/RefugeeGuide_mk_1006.pdf","x")</f>
        <v>x</v>
      </c>
      <c r="KC21" s="111"/>
      <c r="KD21" s="111"/>
      <c r="KE21" s="111"/>
      <c r="KF21" s="111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</row>
    <row r="22" spans="1:347" x14ac:dyDescent="0.25">
      <c r="A22" s="102" t="s">
        <v>25</v>
      </c>
      <c r="B22" s="127" t="s">
        <v>152</v>
      </c>
      <c r="C22" s="102"/>
      <c r="D22" s="102"/>
      <c r="E22" s="102"/>
      <c r="F22" s="102"/>
      <c r="G22" s="102"/>
      <c r="H22" s="102"/>
      <c r="I22" s="102"/>
      <c r="J22" s="102"/>
      <c r="K22" s="103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3"/>
      <c r="AW22" s="114" t="str">
        <f t="shared" si="0"/>
        <v>x</v>
      </c>
      <c r="AX22" s="114" t="str">
        <f t="shared" si="1"/>
        <v>x</v>
      </c>
      <c r="AY22" s="111"/>
      <c r="AZ22" s="111"/>
      <c r="BA22" s="112" t="str">
        <f t="shared" si="2"/>
        <v>x</v>
      </c>
      <c r="BB22" s="112" t="str">
        <f t="shared" si="3"/>
        <v>x</v>
      </c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2" t="str">
        <f t="shared" si="4"/>
        <v>x</v>
      </c>
      <c r="BT22" s="112"/>
      <c r="BU22" s="111"/>
      <c r="BV22" s="112" t="str">
        <f t="shared" si="5"/>
        <v>x</v>
      </c>
      <c r="BW22" s="112"/>
      <c r="BX22" s="112"/>
      <c r="BY22" s="112"/>
      <c r="BZ22" s="112"/>
      <c r="CA22" s="112" t="str">
        <f t="shared" si="6"/>
        <v>x</v>
      </c>
      <c r="CB22" s="112" t="str">
        <f t="shared" si="7"/>
        <v>x</v>
      </c>
      <c r="CC22" s="112" t="str">
        <f t="shared" si="8"/>
        <v>x</v>
      </c>
      <c r="CD22" s="112"/>
      <c r="CE22" s="112"/>
      <c r="CF22" s="111"/>
      <c r="CG22" s="111"/>
      <c r="CH22" s="111"/>
      <c r="CI22" s="111"/>
      <c r="CJ22" s="111"/>
      <c r="CK22" s="112" t="str">
        <f t="shared" si="9"/>
        <v>x</v>
      </c>
      <c r="CL22" s="112"/>
      <c r="CM22" s="112"/>
      <c r="CN22" s="112"/>
      <c r="CO22" s="112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2"/>
      <c r="DA22" s="112"/>
      <c r="DB22" s="112"/>
      <c r="DC22" s="115"/>
      <c r="DD22" s="112"/>
      <c r="DE22" s="112"/>
      <c r="DF22" s="112" t="str">
        <f t="shared" si="10"/>
        <v>x</v>
      </c>
      <c r="DG22" s="115" t="str">
        <f t="shared" si="11"/>
        <v>x</v>
      </c>
      <c r="DH22" s="112" t="str">
        <f t="shared" si="12"/>
        <v>x</v>
      </c>
      <c r="DI22" s="112" t="str">
        <f t="shared" si="13"/>
        <v>x</v>
      </c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8"/>
      <c r="EQ22" s="118"/>
      <c r="ER22" s="111"/>
      <c r="ES22" s="111"/>
      <c r="ET22" s="111"/>
      <c r="EU22" s="111"/>
      <c r="EV22" s="111"/>
      <c r="EW22" s="112" t="str">
        <f t="shared" si="14"/>
        <v>x</v>
      </c>
      <c r="EX22" s="111"/>
      <c r="EY22" s="111"/>
      <c r="EZ22" s="111"/>
      <c r="FA22" s="111"/>
      <c r="FB22" s="111"/>
      <c r="FC22" s="111"/>
      <c r="FD22" s="112" t="str">
        <f t="shared" si="15"/>
        <v>x</v>
      </c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2" t="str">
        <f t="shared" si="16"/>
        <v>x</v>
      </c>
      <c r="HD22" s="112" t="str">
        <f>HYPERLINK("https://www.zahnaerzte-wl.de/images/_PDF-suche/KZV_ZÄK/ENDSTAND_Ankreuzbogen_Ich_verstehe.pdf","x")</f>
        <v>x</v>
      </c>
      <c r="HE22" s="112" t="str">
        <f>HYPERLINK("https://www.zahnaerzte-wl.de/images/_PDF-suche/KZV_ZÄK/Anschreiben_Patienten_montenegrisch.pdf","x")</f>
        <v>x</v>
      </c>
      <c r="HF22" s="112" t="str">
        <f>HYPERLINK("https://www.zahnaerzte-wl.de/images/_PDF-suche/KZV_ZÄK/Fragebogen_montenegrisch.pdf","x")</f>
        <v>x</v>
      </c>
      <c r="HG22" s="112" t="str">
        <f>HYPERLINK("https://www.zahnaerzte-wl.de/images/_PDF-suche/KZV_ZÄK/Patientenerhebungsbogen_montenegrisch.pdf","x")</f>
        <v>x</v>
      </c>
      <c r="HH22" s="112"/>
      <c r="HI22" s="112"/>
      <c r="HJ22" s="112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2" t="str">
        <f t="shared" si="17"/>
        <v>x</v>
      </c>
      <c r="HZ22" s="112" t="str">
        <f t="shared" si="18"/>
        <v>x</v>
      </c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11"/>
      <c r="JR22" s="111"/>
      <c r="JS22" s="111"/>
      <c r="JT22" s="111"/>
      <c r="JU22" s="111"/>
      <c r="JV22" s="111"/>
      <c r="JW22" s="111"/>
      <c r="JX22" s="111"/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11"/>
      <c r="KL22" s="111"/>
      <c r="KM22" s="111"/>
      <c r="KN22" s="111"/>
      <c r="KO22" s="111"/>
      <c r="KP22" s="111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11"/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11"/>
      <c r="LN22" s="111"/>
      <c r="LO22" s="111"/>
      <c r="LP22" s="111"/>
      <c r="LQ22" s="111"/>
      <c r="LR22" s="111"/>
      <c r="LS22" s="111"/>
      <c r="LT22" s="111"/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11"/>
      <c r="MH22" s="111"/>
      <c r="MI22" s="111"/>
    </row>
    <row r="23" spans="1:347" ht="14.25" customHeight="1" x14ac:dyDescent="0.25">
      <c r="A23" s="102" t="s">
        <v>49</v>
      </c>
      <c r="B23" s="127" t="s">
        <v>1</v>
      </c>
      <c r="C23" s="102"/>
      <c r="D23" s="102"/>
      <c r="E23" s="102"/>
      <c r="F23" s="102"/>
      <c r="G23" s="102"/>
      <c r="H23" s="102"/>
      <c r="I23" s="102"/>
      <c r="J23" s="102"/>
      <c r="K23" s="103"/>
      <c r="L23" s="112" t="str">
        <f>HYPERLINK("http://sghanstedt.elbnetz.com/ueber-uns/","x")</f>
        <v>x</v>
      </c>
      <c r="M23" s="111"/>
      <c r="N23" s="112" t="str">
        <f>HYPERLINK("http://www.ag-fluechtlingshilfe-wetterau.de/uploads/infos/170.pdf","x")</f>
        <v>x</v>
      </c>
      <c r="O23" s="112" t="str">
        <f>HYPERLINK("http://www.ag-fluechtlingshilfe-wetterau.de/uploads/infos/220.pdf","x")</f>
        <v>x</v>
      </c>
      <c r="P23" s="112" t="str">
        <f>HYPERLINK("http://www.awb-ahrweiler.de/admin/data/ddownload/Abfall%20Sonderhinweise-Arabisch%202015.pdf","x")</f>
        <v>x</v>
      </c>
      <c r="Q23" s="112" t="str">
        <f>HYPERLINK("http://www.ag-fluechtlingshilfe-wetterau.de/uploads/infos/221.pdf","x")</f>
        <v>x</v>
      </c>
      <c r="R23" s="112" t="str">
        <f>HYPERLINK("http://www.konto.org/download/merkblatt-basiskonto-asylbewerber-arabisch.pdf","x")</f>
        <v>x</v>
      </c>
      <c r="S23" s="112"/>
      <c r="T23" s="112" t="str">
        <f>HYPERLINK("https://antworten.sparkasse.de/wp-content/uploads/2015/10/Arabisch.pdf","x")</f>
        <v>x</v>
      </c>
      <c r="U23" s="112" t="str">
        <f>HYPERLINK("http://www.ag-fluechtlingshilfe-wetterau.de/uploads/infos/191.pdf","x")</f>
        <v>x</v>
      </c>
      <c r="V23" s="112"/>
      <c r="W23" s="112"/>
      <c r="X2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3" s="112"/>
      <c r="AA23" s="112"/>
      <c r="AB23" s="112"/>
      <c r="AC23" s="112"/>
      <c r="AD23" s="112" t="str">
        <f>HYPERLINK("http://www.rundfunkbeitrag.de/e175/e1629/Informationsflyer_Buergerinnen_und_Buerger_arabisch.pdf","x")</f>
        <v>x</v>
      </c>
      <c r="AE23" s="112"/>
      <c r="AF23" s="112" t="str">
        <f>HYPERLINK("http://www.kub-berlin.org/formularprojekt/de/arabisch-antraege-und-anlagen/","x")</f>
        <v>x</v>
      </c>
      <c r="AG23" s="112" t="str">
        <f>HYPERLINK("http://asyl-in-moenchengladbach.de/wp-content/uploads/2015/11/100711-Flyer_arab.pdf","x")</f>
        <v>x</v>
      </c>
      <c r="AH23" s="111"/>
      <c r="AI23" s="112" t="str">
        <f>HYPERLINK("https://www.adac.de/sp/stiftung/_mmm/pdf/SGE_FOL_Verkehrssicherheit_Fl%C3%BCchtlinge_A3_01_16_Internet_250277.pdf","x")</f>
        <v>x</v>
      </c>
      <c r="AJ23" s="112" t="str">
        <f>HYPERLINK("http://www.stadt-koeln.de/mediaasset/content/العربية_kvb_kinderleicht_und_spielend_einfach__arabisch_.pdf","x")</f>
        <v>x</v>
      </c>
      <c r="AK23" s="112" t="str">
        <f>HYPERLINK("https://www.vrsinfo.de/fileadmin/Dateien/downloadcenter/Folder_MobilPassTicket_Refugees01012016.pdf","x")</f>
        <v>x</v>
      </c>
      <c r="AL23" s="112" t="str">
        <f>HYPERLINK("https://www.vrsinfo.de/fileadmin/Dateien/downloadcenter/Willkommen_im_VRS2016_Druck.pdf","x")</f>
        <v>x</v>
      </c>
      <c r="AM23" s="112"/>
      <c r="AN23" s="112" t="str">
        <f>HYPERLINK("https://www.deutschebahn.com/file/de/2191748/eYdgZpqGpp5sMJ2KMKtg2r8aE4Q/10123812/data/infos_fuer_fluechtlinge.pdf","x")</f>
        <v>x</v>
      </c>
      <c r="AO23" s="112"/>
      <c r="AP23" s="112"/>
      <c r="AQ23" s="112"/>
      <c r="AR23" s="112"/>
      <c r="AS23" s="112"/>
      <c r="AT23" s="112" t="str">
        <f>HYPERLINK("http://www.koelnerkarneval.de/fileadmin/content/images/news/Festkomitee_Flyer_DE_AR.pdf","x")</f>
        <v>x</v>
      </c>
      <c r="AU23" s="112"/>
      <c r="AV23" s="114" t="str">
        <f>HYPERLINK("http://www.studentenwerke.de/de/content/illustriertes-wohnheimw%C3%B6rterbuch-1","x")</f>
        <v>x</v>
      </c>
      <c r="AW23" s="114" t="str">
        <f t="shared" si="0"/>
        <v>x</v>
      </c>
      <c r="AX23" s="114" t="str">
        <f t="shared" si="1"/>
        <v>x</v>
      </c>
      <c r="AY23" s="112" t="str">
        <f>HYPERLINK("http://fi-lohmar-siegburg.de/data/documents/Findefix_arabisch-Bildwoerterbuch.pdf","x")</f>
        <v>x</v>
      </c>
      <c r="AZ23" s="111"/>
      <c r="BA23" s="112" t="str">
        <f t="shared" si="2"/>
        <v>x</v>
      </c>
      <c r="BB23" s="112" t="str">
        <f t="shared" si="3"/>
        <v>x</v>
      </c>
      <c r="BC23" s="112"/>
      <c r="BD23" s="112" t="str">
        <f>HYPERLINK("http://www.rehavista.de/?at=Mat_Boardmaker&amp;d=1&amp;dtype=mat&amp;id=1014","x")</f>
        <v>x</v>
      </c>
      <c r="BE23" s="112" t="str">
        <f>HYPERLINK("http://fi-lohmar-siegburg.de/data/documents/communicationboard-arabic-english.pdf","x")</f>
        <v>x</v>
      </c>
      <c r="BF23" s="112" t="str">
        <f>HYPERLINK("http://fi-lohmar-siegburg.de/data/documents/communicationboard-arabic-french.pdf","x")</f>
        <v>x</v>
      </c>
      <c r="BG23" s="111"/>
      <c r="BH23" s="112" t="str">
        <f>HYPERLINK("http://www.refugeephrasebook.de/pdf/germany150920.pdf","x")</f>
        <v>x</v>
      </c>
      <c r="BI23" s="112" t="str">
        <f>HYPERLINK("https://www.advanced-online.eu/downloads/RefugeePhrasebookCards_German-Arabic.pdf","x")</f>
        <v>x</v>
      </c>
      <c r="BJ23" s="112" t="str">
        <f>HYPERLINK("http://www.klett-sprachen.de/download/8638/W100255_Refugees_Welcome_Wortschatz.pdf","x")</f>
        <v>x</v>
      </c>
      <c r="BK23" s="112" t="str">
        <f>HYPERLINK("http://www.agf-trier.de/sites/default/files/bersetzungshilfe%20allgemein%20Arab..pdf","x")</f>
        <v>x</v>
      </c>
      <c r="BL23" s="112" t="str">
        <f>HYPERLINK("http://www.bundessprachenamt.de/deutsch/wir_ueber_uns/nachrichten/2015/20151103/Verständigungshilfe_Syrisch-Arabisch_07_12_2015.pdf","x")</f>
        <v>x</v>
      </c>
      <c r="BM23" s="112" t="str">
        <f>HYPERLINK("http://www.frnrw.de/images/Aus_den_Initiativen/Ehrenamtler/2015/Dictionary_x10_print-2.pdf","x")</f>
        <v>x</v>
      </c>
      <c r="BN23" s="112" t="str">
        <f>HYPERLINK("http://www.medbox.org/toolboxes/kleines-worterbuch-little-dictionary-deutsch-englisch-arabisch/preview","x")</f>
        <v>x</v>
      </c>
      <c r="BO23" s="111"/>
      <c r="BP23" s="111"/>
      <c r="BQ23" s="112" t="str">
        <f>HYPERLINK("https://www.friedensdorf.de/documents/Woerterbuch_Arabisch.pdf","x")</f>
        <v>x</v>
      </c>
      <c r="BR23" s="111"/>
      <c r="BS23" s="112" t="str">
        <f t="shared" si="4"/>
        <v>x</v>
      </c>
      <c r="BT23" s="112" t="str">
        <f>HYPERLINK("http://de.langenscheidt.com/doc/arabisch-deutsch-sprachfuehrer.pdf","x")</f>
        <v>x</v>
      </c>
      <c r="BU23" s="111"/>
      <c r="BV23" s="112" t="str">
        <f t="shared" si="5"/>
        <v>x</v>
      </c>
      <c r="BW23" s="112" t="str">
        <f>HYPERLINK("http://www.welcomegrooves.de/wp-content/uploads/2015/10/welcomegrooves_DE-ARABISCH.pdf","x")</f>
        <v>x</v>
      </c>
      <c r="BX23" s="112"/>
      <c r="BY23" s="112"/>
      <c r="BZ23" s="112" t="str">
        <f>HYPERLINK("http://fluechtlingshilfe-nettetal.de/ausbildung/video-sprachkurse-deutsch-fuer-fluechtlinge/video-sprachkurs-syrisch-deutsch/","x")</f>
        <v>x</v>
      </c>
      <c r="CA23" s="112" t="str">
        <f t="shared" si="6"/>
        <v>x</v>
      </c>
      <c r="CB23" s="112" t="str">
        <f t="shared" si="7"/>
        <v>x</v>
      </c>
      <c r="CC23" s="112" t="str">
        <f t="shared" si="8"/>
        <v>x</v>
      </c>
      <c r="CD23" s="112"/>
      <c r="CE23" s="112"/>
      <c r="CF23" s="112" t="str">
        <f>HYPERLINK("http://www.agf-trier.de/sites/default/files/bersetzungshilfe%20%20f%C3%BCr%20Frauen%20Arab..pdf","x")</f>
        <v>x</v>
      </c>
      <c r="CG23" s="112" t="str">
        <f>HYPERLINK("http://www.braunschweig.de/leben/frauen/hilfe/Ohne-Gewalt-leben.pdf","x")</f>
        <v>x</v>
      </c>
      <c r="CH23" s="112" t="str">
        <f>HYPERLINK("http://mifkjf.rlp.de/fileadmin/mifkjf/Frauen/Gewalt_gegen_Frauen/Downloads/Broschueren_Flyer/Flyer_Gewalt_arabisch_fuer_ANSICHT.pdf","x")</f>
        <v>x</v>
      </c>
      <c r="CI23" s="112"/>
      <c r="CJ23" s="112" t="str">
        <f>HYPERLINK("https://www.hilfetelefon.de/fileadmin/hilfetelefon_de/Materialien/weitere_werbemittel/Klappflyer_Vorder-_und_Rueckseite_opt2.pdf","x")</f>
        <v>x</v>
      </c>
      <c r="CK23" s="112" t="str">
        <f t="shared" si="9"/>
        <v>x</v>
      </c>
      <c r="CL23" s="112" t="str">
        <f>HYPERLINK("http://www.frauenberatungsstelle.de/pdf/Migrantinnen-beraten-Migrantinnen.pdf","x")</f>
        <v>x</v>
      </c>
      <c r="CM23" s="112"/>
      <c r="CN23" s="112"/>
      <c r="CO23" s="112"/>
      <c r="CP23" s="112" t="str">
        <f>HYPERLINK("http://www.schwanger-und-viele-fragen.de/ar/","x")</f>
        <v>x</v>
      </c>
      <c r="CQ23" s="112"/>
      <c r="CR2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3" s="112"/>
      <c r="CT23" s="112"/>
      <c r="CU23" s="112" t="str">
        <f>HYPERLINK("http://www.profamilia.de/fileadmin/publikationen/Erwachsene/mehrsprachig/verhuetung_arabisch.pdf","x")</f>
        <v>x</v>
      </c>
      <c r="CV23" s="112"/>
      <c r="CW23" s="112"/>
      <c r="CX23" s="112"/>
      <c r="CY23" s="112" t="str">
        <f>HYPERLINK("http://www.caritas-schwarzwald-alb-donau.de/68854.html","x")</f>
        <v>x</v>
      </c>
      <c r="CZ23" s="112"/>
      <c r="DA23" s="112" t="str">
        <f>HYPERLINK("http://sichere-orte-schaffen.de/wp-content/uploads/Minibrosch_Fluechtlinge_multilang.pdf","x")</f>
        <v>x</v>
      </c>
      <c r="DB23" s="112"/>
      <c r="DC23" s="115" t="str">
        <f>HYPERLINK("http://www.kindersicherheit.de/pdf/2012_Bilderbuch-Gift-Arabisch.pdf","x")</f>
        <v>x</v>
      </c>
      <c r="DD23" s="112"/>
      <c r="DE23" s="112"/>
      <c r="DF23" s="112" t="str">
        <f t="shared" si="10"/>
        <v>x</v>
      </c>
      <c r="DG23" s="115" t="str">
        <f t="shared" si="11"/>
        <v>x</v>
      </c>
      <c r="DH23" s="112" t="str">
        <f t="shared" si="12"/>
        <v>x</v>
      </c>
      <c r="DI23" s="112" t="str">
        <f t="shared" si="13"/>
        <v>x</v>
      </c>
      <c r="DJ23" s="112" t="str">
        <f>HYPERLINK("http://www.bibliomedia.ch/de/angebote/dokumente/Glossar_arabisch.pdf","x")</f>
        <v>x</v>
      </c>
      <c r="DK23" s="112"/>
      <c r="DL23" s="112" t="str">
        <f>HYPERLINK("http://www.carlsen.de/sites/default/files/Walter-ebook_arabisch_klein.pdf","x")</f>
        <v>x</v>
      </c>
      <c r="DM23" s="112"/>
      <c r="DN23" s="112"/>
      <c r="DO23" s="112" t="str">
        <f>HYPERLINK("http://www.wdrmaus.de/sachgeschichten/maus-international/","x")</f>
        <v>x</v>
      </c>
      <c r="DP23" s="111"/>
      <c r="DQ23" s="112" t="str">
        <f>HYPERLINK("http://tipdoc.de/bus/grafik/kinder-tip/SCHULTIP_give_didacta.pdf","x")</f>
        <v>x</v>
      </c>
      <c r="DR23" s="112" t="str">
        <f>HYPERLINK("https://broschueren.nordrheinwestfalendirekt.de/broschuerenservice/msw/ar-das-schulsystem-in-nordrhein-westfalen-einfach-und-schnell-erklaert/1901","x")</f>
        <v>x</v>
      </c>
      <c r="DS23" s="112" t="str">
        <f>HYPERLINK("http://bildung.koeln.de/materialbibliothek/download.php?idx=7479da9798519efb4e1944d46a76011b","x")</f>
        <v>x</v>
      </c>
      <c r="DT23" s="112" t="str">
        <f>HYPERLINK("http://bildung.koeln.de/materialbibliothek/download.php?idx=dd3a964c240308ea1c8e0d161e49e314","x")</f>
        <v>x</v>
      </c>
      <c r="DU23" s="112"/>
      <c r="DV23" s="112" t="str">
        <f>HYPERLINK("https://www.bmbf.de/pub/Kausa_Elternbroschuere_arabisch.pdf","x")</f>
        <v>x</v>
      </c>
      <c r="DW23" s="112"/>
      <c r="DX23" s="112" t="str">
        <f>HYPERLINK("http://www.wissenschaft.nrw.de/studium/informieren/informationen-fuer-fluechtlinge-die-in-nrw-studieren-moechten/","x")</f>
        <v>x</v>
      </c>
      <c r="DY23" s="112" t="str">
        <f>HYPERLINK("http://www.bamf.de/SharedDocs/Anlagen/DE/Publikationen/Flyer/AnerkennungBerufsabschluss/berufliche_anerkennung_akademische-heilberufe_ar.pdf?__blob=publicationFile","x")</f>
        <v>x</v>
      </c>
      <c r="DZ23" s="112" t="str">
        <f>HYPERLINK("http://www.bamf.de/SharedDocs/Anlagen/DE/Publikationen/Flyer/AnerkennungBerufsabschluss/anerkennung-berufsabschluss_ar.pdf?__blob=publicationFile","x")</f>
        <v>x</v>
      </c>
      <c r="EA23" s="112" t="str">
        <f>HYPERLINK("http://www.bamf.de/SharedDocs/Anlagen/DE/Publikationen/Flyer/AnerkennungBerufsabschluss/anerkennung-berufsabschluss_ausland_ar.pdf?__blob=publicationFile","x")</f>
        <v>x</v>
      </c>
      <c r="EB23" s="112" t="str">
        <f>HYPERLINK("http://www.bamf.de/SharedDocs/Anlagen/DE/Publikationen/Broschueren/willkommen-in-deutschland-info-blaue-karte-eu_ar.pdf?__blob=publicationFile","x")</f>
        <v>x</v>
      </c>
      <c r="EC23" s="112" t="str">
        <f>HYPERLINK("http://www.bamf.de/SharedDocs/Anlagen/DE/Publikationen/Flyer/Berufsbezsprachf-ESF-BAMF/berufsbezsprachf-esf-bamf_ar.pdf?__blob=publicationFile","x")</f>
        <v>x</v>
      </c>
      <c r="ED23" s="111"/>
      <c r="EE23" s="111"/>
      <c r="EF23" s="111"/>
      <c r="EG23" s="111"/>
      <c r="EH23" s="111"/>
      <c r="EI23" s="111"/>
      <c r="EJ23" s="112"/>
      <c r="EK23" s="112" t="str">
        <f>HYPERLINK("http://fluechtlingsrat-bw.de/files/Dateien/Dokumente/Materialbestellung/2014-12-flyer%20arbeitserlaubnis%20AR%20WEB_final.pdf","x")</f>
        <v>x</v>
      </c>
      <c r="EL23" s="112" t="str">
        <f>HYPERLINK("http://www.aponet.de/arabisch/20151019-fuer-den-notfall-wichtige-rufnummern-im-ueberblick.html","x")</f>
        <v>x</v>
      </c>
      <c r="EM23" s="112" t="str">
        <f>HYPERLINK("http://www.kvs-sachsen.de/fileadmin/img/Mitglieder/Asylbewerber/Allg-Informationen/Anlage_1_Arabisch_LEK.pdf","x")</f>
        <v>x</v>
      </c>
      <c r="EN23" s="112" t="str">
        <f>HYPERLINK("http://www.medizin-hilft-fluechtlingen.de/images/Dokumente/gSch/gSch_arab.pdf","x")</f>
        <v>x</v>
      </c>
      <c r="EO23" s="112" t="str">
        <f>HYPERLINK("http://www.aponet.de/arabisch/20151016-medizinische-leistungen-fuer-asylbewerber.html","x")</f>
        <v>x</v>
      </c>
      <c r="EP23" s="117" t="str">
        <f t="shared" ref="EP23:EP29" si="19">HYPERLINK("http://www.medi-bild.de/pdf/anamnese/Welche_Sprache.pdf","x")</f>
        <v>x</v>
      </c>
      <c r="EQ23" s="117" t="str">
        <f>HYPERLINK("http://www.armut-gesundheit.de/fileadmin/redakteur/dokumente/Anamnesebogen%20-%20Arabischnew.pdf","x")</f>
        <v>x</v>
      </c>
      <c r="ER23" s="112" t="str">
        <f>HYPERLINK("http://www.kvs-sachsen.de/fileadmin/img/Mitglieder/Asylbewerber/Allg-Informationen/Anlagen_2-1_2-2_Arabisch_LEK.pdf","x")</f>
        <v>x</v>
      </c>
      <c r="ES23" s="112"/>
      <c r="ET23" s="112" t="str">
        <f>HYPERLINK("http://www.pharmazeutische-zeitung.de/fileadmin/pdf/Fragebogen_PZ_43_2015.pdf","x")</f>
        <v>x</v>
      </c>
      <c r="EU23" s="112" t="str">
        <f>HYPERLINK("http://www.medizin-hilft-fluechtlingen.de/images/Dokumente/ein/ein_arab.pdf","x")</f>
        <v>x</v>
      </c>
      <c r="EV23" s="112" t="str">
        <f>HYPERLINK("http://www.adler-apotheke-hh.de/fileadmin/user_upload/PDF-Dateien/Dosierzettel_mehrsprachig_AUF_0_.pdf","x")</f>
        <v>x</v>
      </c>
      <c r="EW23" s="112" t="str">
        <f t="shared" si="14"/>
        <v>x</v>
      </c>
      <c r="EX23" s="112" t="str">
        <f>HYPERLINK("http://www.rki.de/DE/Content/Infekt/IfSG/Belehrungsbogen/belehrungsbogen_eltern_arabisch.pdf?__blob=publicationFile","x")</f>
        <v>x</v>
      </c>
      <c r="EY23" s="112" t="str">
        <f>HYPERLINK("http://www.bzga.de/infomaterialien/?sid=236","x")</f>
        <v>x</v>
      </c>
      <c r="EZ23" s="112" t="str">
        <f>HYPERLINK("https://www.mh-hannover.de/fileadmin/mhh/bilder/aktuelles_presse/presseinformationen_news/150921_Pilz_Vergif_Arab_3.pdf","x")</f>
        <v>x</v>
      </c>
      <c r="FA23" s="112"/>
      <c r="FB23" s="112" t="str">
        <f>HYPERLINK("http://static.apotheken-umschau.de/media/gp/article_506373/bildwoerterbuch.pdf","x")</f>
        <v>x</v>
      </c>
      <c r="FC23" s="111"/>
      <c r="FD23" s="112" t="str">
        <f t="shared" si="15"/>
        <v>x</v>
      </c>
      <c r="FE23" s="112" t="str">
        <f t="shared" ref="FE23:FE28" si="20">HYPERLINK("http://sghanstedt.elbnetz.com/ueber-uns/","x")</f>
        <v>x</v>
      </c>
      <c r="FF23" s="112" t="str">
        <f>HYPERLINK("http://www.fuhlenhagen.com/pdf_dateien/uebertzungshilfe_aerzte_mehrsprachig.pdf","x")</f>
        <v>x</v>
      </c>
      <c r="FG23" s="112" t="str">
        <f>HYPERLINK("http://www.tipdoc.de/grafik/asyl/Gesundheitsheft_Asyl.pdf","x")</f>
        <v>x</v>
      </c>
      <c r="FH23" s="111"/>
      <c r="FI23" s="111"/>
      <c r="FJ23" s="112" t="str">
        <f>HYPERLINK("http://www.bundesgesundheitsministerium.de/fileadmin/dateien/Publikationen/Gesundheit/Broschueren/Ratgeber_Asylsuchende/Ratgeber_Asylsuchende_arab.PDF","x")</f>
        <v>x</v>
      </c>
      <c r="FK23" s="112" t="str">
        <f>HYPERLINK("http://www.rki.de/DE/Content/Infekt/Impfen/Materialien/Downloads-Impfkalender/Impfkalender_Arabisch.pdf?__blob=publicationFile","x")</f>
        <v>x</v>
      </c>
      <c r="FL23" s="112" t="str">
        <f>HYPERLINK("http://www.ethno-medizinisches-zentrum.de/images/PDF-Files/impfwegweiser_arabbisch_2013_online.pdf","x")</f>
        <v>x</v>
      </c>
      <c r="FM23" s="112"/>
      <c r="FN23" s="112" t="str">
        <f>HYPERLINK("http://www.rki.de/DE/Content/Infekt/Impfen/Materialien/Glossar-Downloads/glossar-de-arabisch.pdf?__blob=publicationFile","x")</f>
        <v>x</v>
      </c>
      <c r="FO23" s="112"/>
      <c r="FP23" s="112" t="str">
        <f>HYPERLINK("http://www.rki.de/DE/Content/Infekt/Impfen/Materialien/Downloads-MMR/MMR-Impfinfo-arabisch.pdf?__blob=publicationFile","x")</f>
        <v>x</v>
      </c>
      <c r="FQ23" s="112" t="str">
        <f>HYPERLINK("http://www.rki.de/DE/Content/InfAZ/P/Polio/Ausbruch_Syrien/Informationsblatt_Polio_Arabisch.pdf?__blob=publicationFile","x")</f>
        <v>x</v>
      </c>
      <c r="FR23" s="112" t="str">
        <f>HYPERLINK("http://www.rki.de/DE/Content/Infekt/Impfen/Materialien/Downloads_HepA/Aufklaerung_HAV-Impfung_arabisch.pdf?__blob=publicationFile","x")</f>
        <v>x</v>
      </c>
      <c r="FS23" s="112" t="str">
        <f>HYPERLINK("http://www.rki.de/DE/Content/Infekt/Impfen/Materialien/Downloads_Pneumokokken/Aufklaerung_Pneumo-Impfung_Arabisch.pdf?__blob=publicationFile","x")</f>
        <v>x</v>
      </c>
      <c r="FT23" s="112" t="str">
        <f>HYPERLINK("http://www.rki.de/DE/Content/Infekt/Impfen/Materialien/Downloads-DTaPIPVHibHepB/DTaPIPVHibHepB_arabisch.pdf?__blob=publicationFile","x")</f>
        <v>x</v>
      </c>
      <c r="FU23" s="112" t="str">
        <f>HYPERLINK("http://www.rki.de/DE/Content/Infekt/Impfen/Materialien/Downloads-Varizellen/Varizellen-Impfinfo-arabisch.pdf;jsessionid=65B697F4EE7EDA8A1ED9E2C4CD6C74EC.2_cid363?__blob=publicationFile","x")</f>
        <v>x</v>
      </c>
      <c r="FV23" s="112" t="str">
        <f>HYPERLINK("http://www.rki.de/DE/Content/Infekt/Impfen/Materialien/Downloads-Tdap-IPV/Tdap-IPV-arabisch.pdf?__blob=publicationFile","x")</f>
        <v>x</v>
      </c>
      <c r="FW23" s="112" t="str">
        <f>HYPERLINK("http://www.rki.de/DE/Content/Infekt/Impfen/Materialien/Downloads-Influenza_nasal/Influenza_nasal-arabisch.pdf?__blob=publicationFile","x")</f>
        <v>x</v>
      </c>
      <c r="FX23" s="112" t="str">
        <f>HYPERLINK("http://www.medical-tribune.de/fileadmin/PDF/Arthrose_arabisch.pdf","x")</f>
        <v>x</v>
      </c>
      <c r="FY23" s="112" t="str">
        <f>HYPERLINK("http://www.medical-tribune.de/fileadmin/PDF/Asthma_arabisch.pdf","x")</f>
        <v>x</v>
      </c>
      <c r="FZ23" s="112" t="str">
        <f>HYPERLINK("http://www.medical-tribune.de/fileadmin/PDF/Bluthochdruck_arabisch.pdf","x")</f>
        <v>x</v>
      </c>
      <c r="GA23" s="112"/>
      <c r="GB23" s="112" t="str">
        <f>HYPERLINK("http://www.medical-tribune.de/fileadmin/PDF/COPD_arabisch.pdf","x")</f>
        <v>x</v>
      </c>
      <c r="GC23" s="112"/>
      <c r="GD23" s="112" t="str">
        <f>HYPERLINK("http://www.ethno-medizinisches-zentrum.de/images/PDF-Files/lf_diabete_arab.pdf","x")</f>
        <v>x</v>
      </c>
      <c r="GE23" s="112"/>
      <c r="GF23" s="112"/>
      <c r="GG23" s="112"/>
      <c r="GH23" s="112"/>
      <c r="GI23" s="112" t="str">
        <f>HYPERLINK("http://www.tipdoc.de/bus/pdf/hepatitis/Hep_B_Webseite.pdf","x")</f>
        <v>x</v>
      </c>
      <c r="GJ23" s="112" t="str">
        <f>HYPERLINK("http://www.tipdoc.de/bus/pdf/hepatitis/Hep_C_Webseite.pdf","x")</f>
        <v>x</v>
      </c>
      <c r="GK23" s="111"/>
      <c r="GL23" s="111"/>
      <c r="GM23" s="112" t="str">
        <f>HYPERLINK("http://www.rki.de/DE/Content/Infekt/Impfen/Materialien/Downloads-Influenza/Influenza-arabisch.pdf?__blob=publicationFile","x")</f>
        <v>x</v>
      </c>
      <c r="GN23" s="112"/>
      <c r="GO23" s="112" t="str">
        <f>HYPERLINK("http://www.aponet.de/arabisch/20151111-so-unterscheiden-sich-grippe-und-erkaeltung.html","x")</f>
        <v>x</v>
      </c>
      <c r="GP23" s="112" t="str">
        <f>HYPERLINK("http://www.tipdoc.de/grafik/pdf/kopflaeuse/Kopflaeuse_ARAB.pdf","x")</f>
        <v>x</v>
      </c>
      <c r="GQ23" s="112"/>
      <c r="GR23" s="112" t="str">
        <f>HYPERLINK("http://www.tipdoc.com/bus/pdf/kraetze/tipdoc_Scabies_ARAB.pdf","x")</f>
        <v>x</v>
      </c>
      <c r="GS23" s="112" t="str">
        <f>HYPERLINK("http://www.tipdoc.com/bus/pdf/MagenDarmHaende/MagenDarmHaende_Arab.pdf","x")</f>
        <v>x</v>
      </c>
      <c r="GT23" s="112"/>
      <c r="GU23" s="112" t="str">
        <f>HYPERLINK("http://www.medical-tribune.de/fileadmin/PDF/Rueckenschmerzen_arabisch.pdf","x")</f>
        <v>x</v>
      </c>
      <c r="GV23" s="112"/>
      <c r="GW23" s="112"/>
      <c r="GX23" s="112" t="str">
        <f>HYPERLINK("http://www.medical-tribune.de/fileadmin/PDF/Schwindel_arabisch.pdf","x")</f>
        <v>x</v>
      </c>
      <c r="GY23" s="112"/>
      <c r="GZ23" s="112"/>
      <c r="HA23" s="112"/>
      <c r="HB23" s="112"/>
      <c r="HC23" s="112" t="str">
        <f t="shared" si="16"/>
        <v>x</v>
      </c>
      <c r="HD23" s="112" t="str">
        <f>HYPERLINK("https://www.zahnaerzte-wl.de/images/_PDF-suche/KZV_ZÄK/ENDSTAND_Ankreuzbogen_Ich_verstehe.pdf","x")</f>
        <v>x</v>
      </c>
      <c r="HE23" s="112" t="str">
        <f>HYPERLINK("https://www.zahnaerzte-wl.de/images/_PDF-suche/KZV_ZÄK/Anschreiben_Patienten_arabisch.pdf","x")</f>
        <v>x</v>
      </c>
      <c r="HF23" s="112" t="str">
        <f>HYPERLINK("https://www.zahnaerzte-wl.de/images/_PDF-suche/KZV_ZÄK/Fragebogen_arabisch.pdf","x")</f>
        <v>x</v>
      </c>
      <c r="HG23" s="112" t="str">
        <f>HYPERLINK("https://www.zahnaerzte-wl.de/images/_PDF-suche/KZV_ZÄK/Patientenerhebungsbogen_arabisch.pdf","x")</f>
        <v>x</v>
      </c>
      <c r="HH23" s="112"/>
      <c r="HI23" s="112"/>
      <c r="HJ23" s="112" t="str">
        <f>HYPERLINK("http://www.ibbc-berlin.de/media/Bro_de-arab.pdf","x")</f>
        <v>x</v>
      </c>
      <c r="HK23" s="112"/>
      <c r="HL23" s="112" t="str">
        <f>HYPERLINK("http://www.ethno-medizinisches-zentrum.de/images/PDF-Files/lf_depression__arab.pdf","x")</f>
        <v>x</v>
      </c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 t="str">
        <f>HYPERLINK("http://www.bkk-psychisch-gesund.de/fileadmin/user_upload/Dokumente/Versicherte/Broschueren/Wegweiser_Psychotherapie_arabisch.pdf","x")</f>
        <v>x</v>
      </c>
      <c r="HY23" s="112" t="str">
        <f t="shared" si="17"/>
        <v>x</v>
      </c>
      <c r="HZ23" s="112" t="str">
        <f t="shared" si="18"/>
        <v>x</v>
      </c>
      <c r="IA23" s="112"/>
      <c r="IB23" s="112"/>
      <c r="IC23" s="112"/>
      <c r="ID23" s="112" t="str">
        <f>HYPERLINK("http://www.susannestein.de/VIA-online/trauma-bilderbuch-arabisch.pdf","x")</f>
        <v>x</v>
      </c>
      <c r="IE23" s="112"/>
      <c r="IF23" s="112"/>
      <c r="IG23" s="112"/>
      <c r="IH23" s="111"/>
      <c r="II23" s="112"/>
      <c r="IJ23" s="112"/>
      <c r="IK23" s="112" t="str">
        <f>HYPERLINK("http://www.bamf.de/SharedDocs/Anlagen/DE/Publikationen/Flyer/Lassen-Sie-Sich-Beraten/lassen-sie-sich-beraten_ar.pdf?__blob=publicationFile","x")</f>
        <v>x</v>
      </c>
      <c r="IL23" s="112" t="str">
        <f>HYPERLINK("http://www.bamf.de/SharedDocs/Anlagen/DE/Publikationen/Flyer/flyer-erstorientierung-asylsuchende_arabisch.pdf?__blob=publicationFile","x")</f>
        <v>x</v>
      </c>
      <c r="IM23" s="111"/>
      <c r="IN23" s="112" t="str">
        <f>HYPERLINK("https://www.bamf.de/SharedDocs/Anlagen/DE/Publikationen/Broschueren/willkommen-in-deutschland_ar.pdf?__blob=publicationFile","x")</f>
        <v>x</v>
      </c>
      <c r="IO23" s="112"/>
      <c r="IP23" s="111"/>
      <c r="IQ23" s="112" t="str">
        <f>HYPERLINK("http://www.bamf.de/SharedDocs/Anlagen/DE/Publikationen/Flyer/Lernen-Sie-Deutsch/lernen-sie-deutsch_ar.pdf?__blob=publicationFile","x")</f>
        <v>x</v>
      </c>
      <c r="IR23" s="112" t="str">
        <f>HYPERLINK("http://www.asyl.net/fileadmin/user_upload/redaktion/Dokumente/Arbeitshilfen/150910_Wie_l%C3%A4uft_ein_Asylverfahren_ab_%C3%9Cberblickstext_Arabisch.pdf","x")</f>
        <v>x</v>
      </c>
      <c r="IS23" s="111"/>
      <c r="IT23" s="111"/>
      <c r="IU23" s="111"/>
      <c r="IV23" s="112" t="str">
        <f>HYPERLINK("http://www.asyl.net/fileadmin/user_upload/infoblatt_anhoerung/Infoblatt_2015_ar_fin.pdf","x")</f>
        <v>x</v>
      </c>
      <c r="IW23" s="112" t="str">
        <f>HYPERLINK("http://efi-landsberg.de/asyl/wp-content/uploads/2014/04/Merkblatt-Asylbewerber-Fluechtlinge.pdf","x")</f>
        <v>x</v>
      </c>
      <c r="IX23" s="112"/>
      <c r="IY23" s="112" t="str">
        <f>HYPERLINK("http://www.bamf.de/SharedDocs/Anlagen/DE/Publikationen/Broschueren/broschuere-eat-a4-ar-arabisch.pdf?__blob=publicationFile","x")</f>
        <v>x</v>
      </c>
      <c r="IZ23" s="111"/>
      <c r="JA23" s="112" t="str">
        <f>HYPERLINK("http://fluechtlingsrat-bw.de/informationen-fuer-fluechtlinge.html","x")</f>
        <v>x</v>
      </c>
      <c r="JB23" s="111"/>
      <c r="JC23" s="112"/>
      <c r="JD23" s="111"/>
      <c r="JE23" s="112"/>
      <c r="JF23" s="112"/>
      <c r="JG23" s="112" t="str">
        <f>HYPERLINK("http://www.bamf.de/SharedDocs/Anlagen/DE/Publikationen/Flyer/Ehegattennachzug/ehegattennachzug-ar.pdf?__blob=publicationFile","x")</f>
        <v>x</v>
      </c>
      <c r="JH23" s="112" t="str">
        <f>HYPERLINK("https://familyreunion-syria.diplo.de/webportal/index.html#start","x")</f>
        <v>x</v>
      </c>
      <c r="JI23" s="111"/>
      <c r="JJ23" s="112"/>
      <c r="JK23" s="112" t="str">
        <f>HYPERLINK("https://www.arbeitsagentur.de/web/wcm/idc/groups/public/documents/webdatei/mdaw/mjgz/~edisp/l6019022dstbai784629.pdf?_ba.sid=L6019022DSTBAI788745","x")</f>
        <v>x</v>
      </c>
      <c r="JL23" s="112" t="str">
        <f>HYPERLINK("http://www.kub-berlin.org/formularprojekt/de/arabisch-antraege-und-anlagen/","x")</f>
        <v>x</v>
      </c>
      <c r="JM23" s="112" t="str">
        <f>HYPERLINK("https://www.arbeitsagentur.de/web/content/DE/Formulare/Detail/index.htm?dfContentId=L6019022DSTBAI485740","x")</f>
        <v>x</v>
      </c>
      <c r="JN23" s="112"/>
      <c r="JO23" s="112"/>
      <c r="JP23" s="112"/>
      <c r="JQ23" s="112"/>
      <c r="JR23" s="112" t="str">
        <f>HYPERLINK("http://www.ibla-germany.de/merkblaetter.php","x")</f>
        <v>x</v>
      </c>
      <c r="JS23" s="112"/>
      <c r="JT23" s="112" t="str">
        <f>HYPERLINK("http://www.b-umf.de/images/willkommen/willkommensbroschurearabisch-web.pdf","x")</f>
        <v>x</v>
      </c>
      <c r="JU23" s="111"/>
      <c r="JV23" s="111"/>
      <c r="JW23" s="112"/>
      <c r="JX23" s="112"/>
      <c r="JY23" s="112"/>
      <c r="JZ23" s="112"/>
      <c r="KA23" s="112" t="str">
        <f>HYPERLINK("http://www.kas.de/wf/de/33.43117/","x")</f>
        <v>x</v>
      </c>
      <c r="KB23" s="112" t="str">
        <f>HYPERLINK("http://www.refugeeguide.de/dl/RefugeeGuide_ar_930.pdf","x")</f>
        <v>x</v>
      </c>
      <c r="KC23" s="112" t="str">
        <f>HYPERLINK("http://www.bpb.de/shop/buecher/grundgesetz/215136/grundgesetz-auf-arabisch","x")</f>
        <v>x</v>
      </c>
      <c r="KD23" s="112" t="str">
        <f>HYPERLINK("http://www.wedel.de/fileadmin/user_upload/media/pdf/Rathaus_und_Politik/20160118_PM_Broschuere.pdf","x")</f>
        <v>x</v>
      </c>
      <c r="KE23" s="112" t="str">
        <f>HYPERLINK("http://www.frauenrechte.de/online/images/downloads/allgemein/TDF_Flyer_Women_Men.pdf","x")</f>
        <v>x</v>
      </c>
      <c r="KF23" s="112" t="str">
        <f>HYPERLINK("http://sab.landtag.sachsen.de/dokumente/landtagskurier/Grundwerte-A5-international_web_08012016.pdf","x")</f>
        <v>x</v>
      </c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1"/>
      <c r="LD23" s="111"/>
      <c r="LE23" s="111"/>
      <c r="LF23" s="111"/>
      <c r="LG23" s="112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2"/>
      <c r="LU23" s="111"/>
      <c r="LV23" s="111"/>
      <c r="LW23" s="111"/>
      <c r="LX23" s="111"/>
      <c r="LY23" s="111"/>
      <c r="LZ23" s="112" t="str">
        <f>HYPERLINK("http://www.bjf.info/projekte/cinemanya","x")</f>
        <v>x</v>
      </c>
      <c r="MA23" s="111"/>
      <c r="MB23" s="111"/>
      <c r="MC23" s="111"/>
      <c r="MD23" s="112" t="str">
        <f>HYPERLINK("http://www.rki.de/DE/Content/Infekt/IfSG/Belehrungsbogen/belehrungsbogen_lebensmittel_arabisch.pdf?__blob=publicationFile","x")</f>
        <v>x</v>
      </c>
      <c r="ME23" s="111"/>
      <c r="MF23" s="112" t="str">
        <f>HYPERLINK("http://www.gdv.de/wp-content/uploads/2016/01/Information_Brandschutz_Fluechtlingsheim_-Sicherheit_mehrsprachig.pdf","x")</f>
        <v>x</v>
      </c>
      <c r="MG23" s="112" t="str">
        <f>HYPERLINK("http://www.gdv.de/wp-content/uploads/2016/01/Information_Verhalten-im-Brandfall_mehrsprachig.pdf","x")</f>
        <v>x</v>
      </c>
      <c r="MH23" s="112" t="str">
        <f>HYPERLINK("http://www.aha-region.de/fileadmin/Download/pdf/aha_Plakat_Muelltrennung_ar.pdf","x")</f>
        <v>x</v>
      </c>
      <c r="MI23" s="112" t="str">
        <f>HYPERLINK("http://www.kindersicherheit.de/pdf/2012_poster_achtunggiftig_8sprachig.pdf","x")</f>
        <v>x</v>
      </c>
    </row>
    <row r="24" spans="1:347" ht="14.25" customHeight="1" x14ac:dyDescent="0.25">
      <c r="A24" s="102" t="s">
        <v>80</v>
      </c>
      <c r="B24" s="127" t="s">
        <v>34</v>
      </c>
      <c r="C24" s="102"/>
      <c r="D24" s="102"/>
      <c r="E24" s="102"/>
      <c r="F24" s="102"/>
      <c r="G24" s="102"/>
      <c r="H24" s="102"/>
      <c r="I24" s="102"/>
      <c r="J24" s="102"/>
      <c r="K24" s="103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2" t="str">
        <f>HYPERLINK("http://www.kub-berlin.org/formularprojekt/de/portugiesisch-antraege-und-anlagen-uebersetzungshilfen/","x")</f>
        <v>x</v>
      </c>
      <c r="AG24" s="111"/>
      <c r="AH24" s="111"/>
      <c r="AI24" s="111"/>
      <c r="AJ24" s="111"/>
      <c r="AK24" s="111"/>
      <c r="AL24" s="111"/>
      <c r="AM24" s="111"/>
      <c r="AN24" s="111"/>
      <c r="AO24" s="112"/>
      <c r="AP24" s="112"/>
      <c r="AQ24" s="112"/>
      <c r="AR24" s="112"/>
      <c r="AS24" s="112"/>
      <c r="AT24" s="112"/>
      <c r="AU24" s="112"/>
      <c r="AV24" s="113"/>
      <c r="AW24" s="114" t="str">
        <f t="shared" si="0"/>
        <v>x</v>
      </c>
      <c r="AX24" s="114" t="str">
        <f t="shared" si="1"/>
        <v>x</v>
      </c>
      <c r="AY24" s="111"/>
      <c r="AZ24" s="111"/>
      <c r="BA24" s="112" t="str">
        <f t="shared" si="2"/>
        <v>x</v>
      </c>
      <c r="BB24" s="112" t="str">
        <f t="shared" si="3"/>
        <v>x</v>
      </c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2" t="str">
        <f t="shared" si="4"/>
        <v>x</v>
      </c>
      <c r="BT24" s="112"/>
      <c r="BU24" s="111"/>
      <c r="BV24" s="112" t="str">
        <f t="shared" si="5"/>
        <v>x</v>
      </c>
      <c r="BW24" s="112" t="str">
        <f>HYPERLINK("http://www.welcomegrooves.de/wp-content/uploads/2015/11/welcomegrooves-de-portugiesisch.pdf","x")</f>
        <v>x</v>
      </c>
      <c r="BX24" s="112"/>
      <c r="BY24" s="112"/>
      <c r="BZ24" s="112"/>
      <c r="CA24" s="112" t="str">
        <f t="shared" si="6"/>
        <v>x</v>
      </c>
      <c r="CB24" s="112" t="str">
        <f t="shared" si="7"/>
        <v>x</v>
      </c>
      <c r="CC24" s="112" t="str">
        <f t="shared" si="8"/>
        <v>x</v>
      </c>
      <c r="CD24" s="112"/>
      <c r="CE24" s="112"/>
      <c r="CF24" s="111"/>
      <c r="CG24" s="111"/>
      <c r="CH24" s="111"/>
      <c r="CI24" s="111"/>
      <c r="CJ24" s="112" t="str">
        <f>HYPERLINK("https://www.hilfetelefon.de/fileadmin/hilfetelefon_de/Materialien/weitere_werbemittel/Klappflyer_Vorder-_und_Rueckseite_opt2.pdf","x")</f>
        <v>x</v>
      </c>
      <c r="CK24" s="112" t="str">
        <f t="shared" si="9"/>
        <v>x</v>
      </c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5"/>
      <c r="DD24" s="112"/>
      <c r="DE24" s="112"/>
      <c r="DF24" s="112" t="str">
        <f t="shared" si="10"/>
        <v>x</v>
      </c>
      <c r="DG24" s="115" t="str">
        <f t="shared" si="11"/>
        <v>x</v>
      </c>
      <c r="DH24" s="112" t="str">
        <f t="shared" si="12"/>
        <v>x</v>
      </c>
      <c r="DI24" s="112" t="str">
        <f t="shared" si="13"/>
        <v>x</v>
      </c>
      <c r="DJ24" s="112" t="str">
        <f>HYPERLINK("http://www.bibliomedia.ch/de/angebote/dokumente/Glossar_portugiesisch.pdf","x")</f>
        <v>x</v>
      </c>
      <c r="DK24" s="112"/>
      <c r="DL24" s="112"/>
      <c r="DM24" s="112"/>
      <c r="DN24" s="112"/>
      <c r="DO24" s="112"/>
      <c r="DP24" s="111"/>
      <c r="DQ24" s="111"/>
      <c r="DR24" s="111"/>
      <c r="DS24" s="112" t="str">
        <f>HYPERLINK("http://bildung.koeln.de/materialbibliothek/download.php?idx=de2686c222102377b8ae1e8183c8a22a","x")</f>
        <v>x</v>
      </c>
      <c r="DT24" s="112" t="str">
        <f>HYPERLINK("http://bildung.koeln.de/materialbibliothek/download.php?idx=035b9a2c186ac6facf2908441ea63b5a","x")</f>
        <v>x</v>
      </c>
      <c r="DU24" s="112"/>
      <c r="DV24" s="112" t="str">
        <f>HYPERLINK("https://www.bmbf.de/pub/KAUSA_Elternratgeber_deutsch_portugiesisch.pdf","x")</f>
        <v>x</v>
      </c>
      <c r="DW24" s="111"/>
      <c r="DX24" s="111"/>
      <c r="DY24" s="111"/>
      <c r="DZ24" s="111"/>
      <c r="EA24" s="112" t="str">
        <f>HYPERLINK("http://www.bamf.de/SharedDocs/Anlagen/DE/Publikationen/Flyer/AnerkennungBerufsabschluss/anerkennung-berufsabschluss_ausland_pt.pdf?__blob=publicationFile","x")</f>
        <v>x</v>
      </c>
      <c r="EB24" s="112"/>
      <c r="EC24" s="112" t="str">
        <f>HYPERLINK("http://www.bamf.de/SharedDocs/Anlagen/DE/Publikationen/Flyer/Berufsbezsprachf-ESF-BAMF/berufsbezsprachf-esf-bamf_por.pdf?__blob=publicationFile","x")</f>
        <v>x</v>
      </c>
      <c r="ED24" s="111"/>
      <c r="EE24" s="111"/>
      <c r="EF24" s="111"/>
      <c r="EG24" s="111"/>
      <c r="EH24" s="111"/>
      <c r="EI24" s="111"/>
      <c r="EJ24" s="112"/>
      <c r="EK24" s="112"/>
      <c r="EL24" s="111"/>
      <c r="EM24" s="112" t="str">
        <f>HYPERLINK("http://www.kvs-sachsen.de/fileadmin/img/Mitglieder/Asylbewerber/Allg-Informationen/Anlage_1_Portugiesisch_LEK.pdf","x")</f>
        <v>x</v>
      </c>
      <c r="EN24" s="111"/>
      <c r="EO24" s="111"/>
      <c r="EP24" s="117" t="str">
        <f t="shared" si="19"/>
        <v>x</v>
      </c>
      <c r="EQ24" s="117" t="str">
        <f>HYPERLINK("http://www.armut-gesundheit.de/fileadmin/redakteur/dokumente/Anamnesebogen%20-%20portugiesischnew.pdf","x")</f>
        <v>x</v>
      </c>
      <c r="ER24" s="112" t="str">
        <f>HYPERLINK("http://www.kvs-sachsen.de/fileadmin/img/Mitglieder/Asylbewerber/Allg-Informationen/Anlagen_2-1_2-2_Portugiesisch_LEK.pdf","x")</f>
        <v>x</v>
      </c>
      <c r="ES24" s="111"/>
      <c r="ET24" s="111"/>
      <c r="EU24" s="111"/>
      <c r="EV24" s="111"/>
      <c r="EW24" s="112" t="str">
        <f t="shared" si="14"/>
        <v>x</v>
      </c>
      <c r="EX24" s="111"/>
      <c r="EY24" s="111"/>
      <c r="EZ24" s="111"/>
      <c r="FA24" s="111"/>
      <c r="FB24" s="111"/>
      <c r="FC24" s="111"/>
      <c r="FD24" s="112" t="str">
        <f t="shared" si="15"/>
        <v>x</v>
      </c>
      <c r="FE24" s="112" t="str">
        <f t="shared" si="20"/>
        <v>x</v>
      </c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2" t="str">
        <f>HYPERLINK("http://www.tipdoc.de/bus/pdf/hiv/HIV%20ESP_Webseite.pdf","x")</f>
        <v>x</v>
      </c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2" t="str">
        <f t="shared" si="16"/>
        <v>x</v>
      </c>
      <c r="HD24" s="111"/>
      <c r="HE24" s="111"/>
      <c r="HF24" s="111"/>
      <c r="HG24" s="111"/>
      <c r="HH24" s="111"/>
      <c r="HI24" s="111"/>
      <c r="HJ24" s="111"/>
      <c r="HK24" s="112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2" t="str">
        <f t="shared" si="17"/>
        <v>x</v>
      </c>
      <c r="HZ24" s="112" t="str">
        <f t="shared" si="18"/>
        <v>x</v>
      </c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2" t="str">
        <f>HYPERLINK("http://www.bamf.de/SharedDocs/Anlagen/DE/Publikationen/Flyer/Lassen-Sie-Sich-Beraten/lassen-sie-sich-beraten_pt.pdf?__blob=publicationFile","x")</f>
        <v>x</v>
      </c>
      <c r="IL24" s="111"/>
      <c r="IM24" s="111"/>
      <c r="IN24" s="112" t="str">
        <f>HYPERLINK("https://www.bamf.de/SharedDocs/Anlagen/DE/Publikationen/Broschueren/willkommen-in-deutschland_pt.pdf?__blob=publicationFile","x")</f>
        <v>x</v>
      </c>
      <c r="IO24" s="112"/>
      <c r="IP24" s="111"/>
      <c r="IQ24" s="112"/>
      <c r="IR24" s="112"/>
      <c r="IS24" s="111"/>
      <c r="IT24" s="111"/>
      <c r="IU24" s="111"/>
      <c r="IV24" s="112"/>
      <c r="IW24" s="112"/>
      <c r="IX24" s="112" t="str">
        <f>HYPERLINK("http://www.berlin.de/labo/willkommen-in-berlin/service/downloads/artikel.273193.php","x")</f>
        <v>x</v>
      </c>
      <c r="IY24" s="112" t="str">
        <f>HYPERLINK("http://www.bamf.de/SharedDocs/Anlagen/DE/Publikationen/Broschueren/broschuere-eat-a4-pt-portugiesisch.pdf?__blob=publicationFile","x")</f>
        <v>x</v>
      </c>
      <c r="IZ24" s="111"/>
      <c r="JA24" s="111"/>
      <c r="JB24" s="111"/>
      <c r="JC24" s="112"/>
      <c r="JD24" s="111"/>
      <c r="JE24" s="112"/>
      <c r="JF24" s="112"/>
      <c r="JG24" s="112"/>
      <c r="JH24" s="112"/>
      <c r="JI24" s="111"/>
      <c r="JJ24" s="112"/>
      <c r="JK24" s="112"/>
      <c r="JL24" s="112" t="str">
        <f>HYPERLINK("http://www.kub-berlin.org/formularprojekt/de/portugiesisch-antraege-und-anlagen-uebersetzungshilfen/","x")</f>
        <v>x</v>
      </c>
      <c r="JM24" s="112" t="str">
        <f>HYPERLINK("https://www.arbeitsagentur.de/web/content/DE/Formulare/Detail/index.htm?dfContentId=L6019022DSTBAI485740","x")</f>
        <v>x</v>
      </c>
      <c r="JN24" s="112"/>
      <c r="JO24" s="112"/>
      <c r="JP24" s="112"/>
      <c r="JQ24" s="112"/>
      <c r="JR24" s="112" t="str">
        <f>HYPERLINK("http://www.ibla-germany.de/merkblaetter.php","x")</f>
        <v>x</v>
      </c>
      <c r="JS24" s="112"/>
      <c r="JT24" s="111"/>
      <c r="JU24" s="111"/>
      <c r="JV24" s="111"/>
      <c r="JW24" s="112"/>
      <c r="JX24" s="112"/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  <c r="MI24" s="111"/>
    </row>
    <row r="25" spans="1:347" ht="14.25" customHeight="1" x14ac:dyDescent="0.25">
      <c r="A25" s="102" t="s">
        <v>79</v>
      </c>
      <c r="B25" s="127" t="s">
        <v>34</v>
      </c>
      <c r="C25" s="102"/>
      <c r="D25" s="102"/>
      <c r="E25" s="102"/>
      <c r="F25" s="102"/>
      <c r="G25" s="102"/>
      <c r="H25" s="102"/>
      <c r="I25" s="102"/>
      <c r="J25" s="102"/>
      <c r="K25" s="103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2" t="str">
        <f>HYPERLINK("http://www.kub-berlin.org/formularprojekt/de/portugiesisch-antraege-und-anlagen-uebersetzungshilfen/","x")</f>
        <v>x</v>
      </c>
      <c r="AG25" s="111"/>
      <c r="AH25" s="111"/>
      <c r="AI25" s="111"/>
      <c r="AJ25" s="111"/>
      <c r="AK25" s="111"/>
      <c r="AL25" s="111"/>
      <c r="AM25" s="111"/>
      <c r="AN25" s="111"/>
      <c r="AO25" s="112"/>
      <c r="AP25" s="112"/>
      <c r="AQ25" s="112"/>
      <c r="AR25" s="112"/>
      <c r="AS25" s="112"/>
      <c r="AT25" s="112"/>
      <c r="AU25" s="112"/>
      <c r="AV25" s="113"/>
      <c r="AW25" s="114" t="str">
        <f t="shared" si="0"/>
        <v>x</v>
      </c>
      <c r="AX25" s="114" t="str">
        <f t="shared" si="1"/>
        <v>x</v>
      </c>
      <c r="AY25" s="111"/>
      <c r="AZ25" s="111"/>
      <c r="BA25" s="112" t="str">
        <f t="shared" si="2"/>
        <v>x</v>
      </c>
      <c r="BB25" s="112" t="str">
        <f t="shared" si="3"/>
        <v>x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2" t="str">
        <f t="shared" si="4"/>
        <v>x</v>
      </c>
      <c r="BT25" s="112"/>
      <c r="BU25" s="111"/>
      <c r="BV25" s="112" t="str">
        <f t="shared" si="5"/>
        <v>x</v>
      </c>
      <c r="BW25" s="112" t="str">
        <f>HYPERLINK("http://www.welcomegrooves.de/wp-content/uploads/2015/11/welcomegrooves-de-portugiesisch.pdf","x")</f>
        <v>x</v>
      </c>
      <c r="BX25" s="112"/>
      <c r="BY25" s="112"/>
      <c r="BZ25" s="112"/>
      <c r="CA25" s="112" t="str">
        <f t="shared" si="6"/>
        <v>x</v>
      </c>
      <c r="CB25" s="112" t="str">
        <f t="shared" si="7"/>
        <v>x</v>
      </c>
      <c r="CC25" s="112" t="str">
        <f t="shared" si="8"/>
        <v>x</v>
      </c>
      <c r="CD25" s="112"/>
      <c r="CE25" s="112"/>
      <c r="CF25" s="111"/>
      <c r="CG25" s="111"/>
      <c r="CH25" s="111"/>
      <c r="CI25" s="111"/>
      <c r="CJ25" s="112" t="str">
        <f>HYPERLINK("https://www.hilfetelefon.de/fileadmin/hilfetelefon_de/Materialien/weitere_werbemittel/Klappflyer_Vorder-_und_Rueckseite_opt2.pdf","x")</f>
        <v>x</v>
      </c>
      <c r="CK25" s="112" t="str">
        <f t="shared" si="9"/>
        <v>x</v>
      </c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5"/>
      <c r="DD25" s="112"/>
      <c r="DE25" s="112"/>
      <c r="DF25" s="112" t="str">
        <f t="shared" si="10"/>
        <v>x</v>
      </c>
      <c r="DG25" s="115" t="str">
        <f t="shared" si="11"/>
        <v>x</v>
      </c>
      <c r="DH25" s="112" t="str">
        <f t="shared" si="12"/>
        <v>x</v>
      </c>
      <c r="DI25" s="112" t="str">
        <f t="shared" si="13"/>
        <v>x</v>
      </c>
      <c r="DJ25" s="112" t="str">
        <f>HYPERLINK("http://www.bibliomedia.ch/de/angebote/dokumente/Glossar_portugiesisch.pdf","x")</f>
        <v>x</v>
      </c>
      <c r="DK25" s="112"/>
      <c r="DL25" s="112"/>
      <c r="DM25" s="112"/>
      <c r="DN25" s="112"/>
      <c r="DO25" s="112"/>
      <c r="DP25" s="111"/>
      <c r="DQ25" s="111"/>
      <c r="DR25" s="111"/>
      <c r="DS25" s="112" t="str">
        <f>HYPERLINK("http://bildung.koeln.de/materialbibliothek/download.php?idx=de2686c222102377b8ae1e8183c8a22a","x")</f>
        <v>x</v>
      </c>
      <c r="DT25" s="112" t="str">
        <f>HYPERLINK("http://bildung.koeln.de/materialbibliothek/download.php?idx=035b9a2c186ac6facf2908441ea63b5a","x")</f>
        <v>x</v>
      </c>
      <c r="DU25" s="112"/>
      <c r="DV25" s="112" t="str">
        <f>HYPERLINK("https://www.bmbf.de/pub/KAUSA_Elternratgeber_deutsch_portugiesisch.pdf","x")</f>
        <v>x</v>
      </c>
      <c r="DW25" s="111"/>
      <c r="DX25" s="111"/>
      <c r="DY25" s="111"/>
      <c r="DZ25" s="111"/>
      <c r="EA25" s="112" t="str">
        <f>HYPERLINK("http://www.bamf.de/SharedDocs/Anlagen/DE/Publikationen/Flyer/AnerkennungBerufsabschluss/anerkennung-berufsabschluss_ausland_pt.pdf?__blob=publicationFile","x")</f>
        <v>x</v>
      </c>
      <c r="EB25" s="112"/>
      <c r="EC25" s="112" t="str">
        <f>HYPERLINK("http://www.bamf.de/SharedDocs/Anlagen/DE/Publikationen/Flyer/Berufsbezsprachf-ESF-BAMF/berufsbezsprachf-esf-bamf_por.pdf?__blob=publicationFile","x")</f>
        <v>x</v>
      </c>
      <c r="ED25" s="111"/>
      <c r="EE25" s="111"/>
      <c r="EF25" s="111"/>
      <c r="EG25" s="111"/>
      <c r="EH25" s="111"/>
      <c r="EI25" s="111"/>
      <c r="EJ25" s="112"/>
      <c r="EK25" s="112"/>
      <c r="EL25" s="111"/>
      <c r="EM25" s="112" t="str">
        <f>HYPERLINK("http://www.kvs-sachsen.de/fileadmin/img/Mitglieder/Asylbewerber/Allg-Informationen/Anlage_1_Portugiesisch_LEK.pdf","x")</f>
        <v>x</v>
      </c>
      <c r="EN25" s="111"/>
      <c r="EO25" s="111"/>
      <c r="EP25" s="117" t="str">
        <f t="shared" si="19"/>
        <v>x</v>
      </c>
      <c r="EQ25" s="117" t="str">
        <f>HYPERLINK("http://www.armut-gesundheit.de/fileadmin/redakteur/dokumente/Anamnesebogen%20-%20portugiesischnew.pdf","x")</f>
        <v>x</v>
      </c>
      <c r="ER25" s="112" t="str">
        <f>HYPERLINK("http://www.kvs-sachsen.de/fileadmin/img/Mitglieder/Asylbewerber/Allg-Informationen/Anlagen_2-1_2-2_Portugiesisch_LEK.pdf","x")</f>
        <v>x</v>
      </c>
      <c r="ES25" s="111"/>
      <c r="ET25" s="111"/>
      <c r="EU25" s="111"/>
      <c r="EV25" s="111"/>
      <c r="EW25" s="112" t="str">
        <f t="shared" si="14"/>
        <v>x</v>
      </c>
      <c r="EX25" s="111"/>
      <c r="EY25" s="111"/>
      <c r="EZ25" s="111"/>
      <c r="FA25" s="111"/>
      <c r="FB25" s="111"/>
      <c r="FC25" s="111"/>
      <c r="FD25" s="112" t="str">
        <f t="shared" si="15"/>
        <v>x</v>
      </c>
      <c r="FE25" s="112" t="str">
        <f t="shared" si="20"/>
        <v>x</v>
      </c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2" t="str">
        <f>HYPERLINK("http://www.tipdoc.de/bus/pdf/hiv/HIV%20ESP_Webseite.pdf","x")</f>
        <v>x</v>
      </c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2" t="str">
        <f t="shared" si="16"/>
        <v>x</v>
      </c>
      <c r="HD25" s="111"/>
      <c r="HE25" s="111"/>
      <c r="HF25" s="111"/>
      <c r="HG25" s="111"/>
      <c r="HH25" s="111"/>
      <c r="HI25" s="111"/>
      <c r="HJ25" s="111"/>
      <c r="HK25" s="112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2" t="str">
        <f t="shared" si="17"/>
        <v>x</v>
      </c>
      <c r="HZ25" s="112" t="str">
        <f t="shared" si="18"/>
        <v>x</v>
      </c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2" t="str">
        <f>HYPERLINK("http://www.bamf.de/SharedDocs/Anlagen/DE/Publikationen/Flyer/Lassen-Sie-Sich-Beraten/lassen-sie-sich-beraten_pt.pdf?__blob=publicationFile","x")</f>
        <v>x</v>
      </c>
      <c r="IL25" s="111"/>
      <c r="IM25" s="111"/>
      <c r="IN25" s="112" t="str">
        <f>HYPERLINK("https://www.bamf.de/SharedDocs/Anlagen/DE/Publikationen/Broschueren/willkommen-in-deutschland_pt.pdf?__blob=publicationFile","x")</f>
        <v>x</v>
      </c>
      <c r="IO25" s="112"/>
      <c r="IP25" s="111"/>
      <c r="IQ25" s="112"/>
      <c r="IR25" s="112"/>
      <c r="IS25" s="111"/>
      <c r="IT25" s="111"/>
      <c r="IU25" s="111"/>
      <c r="IV25" s="112"/>
      <c r="IW25" s="112"/>
      <c r="IX25" s="112" t="str">
        <f>HYPERLINK("http://www.berlin.de/labo/willkommen-in-berlin/service/downloads/artikel.273193.php","x")</f>
        <v>x</v>
      </c>
      <c r="IY25" s="112" t="str">
        <f>HYPERLINK("http://www.bamf.de/SharedDocs/Anlagen/DE/Publikationen/Broschueren/broschuere-eat-a4-pt-portugiesisch.pdf?__blob=publicationFile","x")</f>
        <v>x</v>
      </c>
      <c r="IZ25" s="111"/>
      <c r="JA25" s="111"/>
      <c r="JB25" s="111"/>
      <c r="JC25" s="112"/>
      <c r="JD25" s="111"/>
      <c r="JE25" s="112"/>
      <c r="JF25" s="112"/>
      <c r="JG25" s="112"/>
      <c r="JH25" s="112"/>
      <c r="JI25" s="111"/>
      <c r="JJ25" s="112"/>
      <c r="JK25" s="112"/>
      <c r="JL25" s="112" t="str">
        <f>HYPERLINK("http://www.kub-berlin.org/formularprojekt/de/portugiesisch-antraege-und-anlagen-uebersetzungshilfen/","x")</f>
        <v>x</v>
      </c>
      <c r="JM25" s="112" t="str">
        <f>HYPERLINK("https://www.arbeitsagentur.de/web/content/DE/Formulare/Detail/index.htm?dfContentId=L6019022DSTBAI485740","x")</f>
        <v>x</v>
      </c>
      <c r="JN25" s="112"/>
      <c r="JO25" s="112"/>
      <c r="JP25" s="112"/>
      <c r="JQ25" s="112"/>
      <c r="JR25" s="112" t="str">
        <f>HYPERLINK("http://www.ibla-germany.de/merkblaetter.php","x")</f>
        <v>x</v>
      </c>
      <c r="JS25" s="112"/>
      <c r="JT25" s="111"/>
      <c r="JU25" s="111"/>
      <c r="JV25" s="111"/>
      <c r="JW25" s="112"/>
      <c r="JX25" s="112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  <c r="MI25" s="111"/>
    </row>
    <row r="26" spans="1:347" x14ac:dyDescent="0.25">
      <c r="A26" s="102" t="s">
        <v>412</v>
      </c>
      <c r="B26" s="127" t="s">
        <v>480</v>
      </c>
      <c r="C26" s="102"/>
      <c r="D26" s="102"/>
      <c r="E26" s="102"/>
      <c r="F26" s="102"/>
      <c r="G26" s="102"/>
      <c r="H26" s="102"/>
      <c r="I26" s="102"/>
      <c r="J26" s="102"/>
      <c r="K26" s="103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2" t="str">
        <f>HYPERLINK("https://www.vrsinfo.de/fileadmin/Dateien/downloadcenter/Folder_MobilPassTicket_Refugees01012016.pdf","x")</f>
        <v>x</v>
      </c>
      <c r="AL26" s="112" t="str">
        <f>HYPERLINK("https://www.vrsinfo.de/fileadmin/Dateien/downloadcenter/Willkommen_im_VRS2016_Druck.pdf","x")</f>
        <v>x</v>
      </c>
      <c r="AM26" s="112"/>
      <c r="AN26" s="112"/>
      <c r="AO26" s="112"/>
      <c r="AP26" s="112"/>
      <c r="AQ26" s="112"/>
      <c r="AR26" s="112"/>
      <c r="AS26" s="112"/>
      <c r="AT26" s="112"/>
      <c r="AU26" s="112"/>
      <c r="AV26" s="113"/>
      <c r="AW26" s="114" t="str">
        <f t="shared" si="0"/>
        <v>x</v>
      </c>
      <c r="AX26" s="114" t="str">
        <f t="shared" si="1"/>
        <v>x</v>
      </c>
      <c r="AY26" s="112" t="str">
        <f>HYPERLINK("http://fi-lohmar-siegburg.de/data/documents/Findefix_kurdisch-Bildwoerterbuch.pdf","x")</f>
        <v>x</v>
      </c>
      <c r="AZ26" s="111"/>
      <c r="BA26" s="112" t="str">
        <f t="shared" si="2"/>
        <v>x</v>
      </c>
      <c r="BB26" s="112" t="str">
        <f t="shared" si="3"/>
        <v>x</v>
      </c>
      <c r="BC26" s="111"/>
      <c r="BD26" s="111"/>
      <c r="BE26" s="111"/>
      <c r="BF26" s="111"/>
      <c r="BG26" s="111"/>
      <c r="BH26" s="112" t="str">
        <f>HYPERLINK("http://www.refugeephrasebook.de/pdf/germany150920.pdf","x")</f>
        <v>x</v>
      </c>
      <c r="BI26" s="112" t="str">
        <f>HYPERLINK("https://www.advanced-online.eu/downloads/RefugeePhrasebookCards_German-Kurdish-Kurmanji.pdf","x")</f>
        <v>x</v>
      </c>
      <c r="BJ26" s="111"/>
      <c r="BK26" s="111"/>
      <c r="BL26" s="111"/>
      <c r="BM26" s="112" t="str">
        <f>HYPERLINK("http://www.frnrw.de/images/Aus_den_Initiativen/Ehrenamtler/2015/Dictionary_x10_print-2.pdf","x")</f>
        <v>x</v>
      </c>
      <c r="BN26" s="111"/>
      <c r="BO26" s="111"/>
      <c r="BP26" s="111"/>
      <c r="BQ26" s="111"/>
      <c r="BR26" s="111"/>
      <c r="BS26" s="112" t="str">
        <f t="shared" si="4"/>
        <v>x</v>
      </c>
      <c r="BT26" s="112"/>
      <c r="BU26" s="111"/>
      <c r="BV26" s="112" t="str">
        <f t="shared" si="5"/>
        <v>x</v>
      </c>
      <c r="BW26" s="112"/>
      <c r="BX26" s="112"/>
      <c r="BY26" s="112"/>
      <c r="BZ26" s="112"/>
      <c r="CA26" s="112" t="str">
        <f t="shared" si="6"/>
        <v>x</v>
      </c>
      <c r="CB26" s="112" t="str">
        <f t="shared" si="7"/>
        <v>x</v>
      </c>
      <c r="CC26" s="112" t="str">
        <f t="shared" si="8"/>
        <v>x</v>
      </c>
      <c r="CD26" s="112"/>
      <c r="CE26" s="112"/>
      <c r="CF26" s="111"/>
      <c r="CG26" s="112" t="str">
        <f>HYPERLINK("http://www.braunschweig.de/leben/frauen/hilfe/Ohne-Gewalt-leben.pdf","x")</f>
        <v>x</v>
      </c>
      <c r="CH26" s="112"/>
      <c r="CI26" s="112"/>
      <c r="CJ26" s="112"/>
      <c r="CK26" s="112" t="str">
        <f t="shared" si="9"/>
        <v>x</v>
      </c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 t="str">
        <f>HYPERLINK("http://sichere-orte-schaffen.de/wp-content/uploads/Minibrosch_Fluechtlinge_multilang.pdf","x")</f>
        <v>x</v>
      </c>
      <c r="DB26" s="112"/>
      <c r="DC26" s="115"/>
      <c r="DD26" s="112"/>
      <c r="DE26" s="112"/>
      <c r="DF26" s="112" t="str">
        <f t="shared" si="10"/>
        <v>x</v>
      </c>
      <c r="DG26" s="115" t="str">
        <f t="shared" si="11"/>
        <v>x</v>
      </c>
      <c r="DH26" s="112" t="str">
        <f t="shared" si="12"/>
        <v>x</v>
      </c>
      <c r="DI26" s="112" t="str">
        <f t="shared" si="13"/>
        <v>x</v>
      </c>
      <c r="DJ26" s="111"/>
      <c r="DK26" s="111"/>
      <c r="DL26" s="112" t="str">
        <f>HYPERLINK("http://www.carlsen.de/sites/default/files/Walter-ebook_kurdisch_klein.pdf","x")</f>
        <v>x</v>
      </c>
      <c r="DM26" s="112"/>
      <c r="DN26" s="111"/>
      <c r="DO26" s="112" t="str">
        <f>HYPERLINK("http://www.wdrmaus.de/sachgeschichten/maus-international/","x")</f>
        <v>x</v>
      </c>
      <c r="DP26" s="111"/>
      <c r="DQ26" s="111"/>
      <c r="DR26" s="111"/>
      <c r="DS26" s="112" t="str">
        <f>HYPERLINK("http://bildung.koeln.de/materialbibliothek/download.php?idx=fc4887ef7fe884e5adf460bb238faf37","x")</f>
        <v>x</v>
      </c>
      <c r="DT26" s="112" t="str">
        <f>HYPERLINK("http://bildung.koeln.de/materialbibliothek/download.php?idx=99fc6dbeceefa7442b292c74ac93ba58","x")</f>
        <v>x</v>
      </c>
      <c r="DU26" s="112"/>
      <c r="DV26" s="111"/>
      <c r="DW26" s="111"/>
      <c r="DX26" s="111"/>
      <c r="DY26" s="111"/>
      <c r="DZ26" s="111"/>
      <c r="EA26" s="111"/>
      <c r="EB26" s="112"/>
      <c r="EC26" s="111"/>
      <c r="ED26" s="111"/>
      <c r="EE26" s="111"/>
      <c r="EF26" s="111"/>
      <c r="EG26" s="111"/>
      <c r="EH26" s="111"/>
      <c r="EI26" s="111"/>
      <c r="EJ26" s="112"/>
      <c r="EK26" s="112"/>
      <c r="EL26" s="111"/>
      <c r="EM26" s="112" t="str">
        <f>HYPERLINK("http://www.kvs-sachsen.de/fileadmin/img/Mitglieder/Asylbewerber/Allg-Informationen/Anlage_1_Kurmandschi_LEK.pdf","x")</f>
        <v>x</v>
      </c>
      <c r="EN26" s="111"/>
      <c r="EO26" s="111"/>
      <c r="EP26" s="117" t="str">
        <f t="shared" si="19"/>
        <v>x</v>
      </c>
      <c r="EQ26" s="117" t="str">
        <f>HYPERLINK("http://www.medknowledge.de/migration/tipdoc/anamnesebogen/tipdoc_Anamnese_kurdi.pdf","x")</f>
        <v>x</v>
      </c>
      <c r="ER26" s="112" t="str">
        <f>HYPERLINK("http://www.kvs-sachsen.de/fileadmin/img/Mitglieder/Asylbewerber/Allg-Informationen/Anlagen_2-1_2-2_Kurmandschi_LEK.pdf","x")</f>
        <v>x</v>
      </c>
      <c r="ES26" s="111"/>
      <c r="ET26" s="111"/>
      <c r="EU26" s="111"/>
      <c r="EV26" s="111"/>
      <c r="EW26" s="112" t="str">
        <f t="shared" si="14"/>
        <v>x</v>
      </c>
      <c r="EX26" s="111"/>
      <c r="EY26" s="111"/>
      <c r="EZ26" s="112" t="str">
        <f>HYPERLINK("https://www.mh-hannover.de/fileadmin/mhh/bilder/aktuelles_presse/presseinformationen_news/-Pilzvergif_kurdisch_2.pdf","x")</f>
        <v>x</v>
      </c>
      <c r="FA26" s="112"/>
      <c r="FB26" s="111"/>
      <c r="FC26" s="111"/>
      <c r="FD26" s="112" t="str">
        <f t="shared" si="15"/>
        <v>x</v>
      </c>
      <c r="FE26" s="112" t="str">
        <f t="shared" si="20"/>
        <v>x</v>
      </c>
      <c r="FF26" s="111"/>
      <c r="FG26" s="111"/>
      <c r="FH26" s="111"/>
      <c r="FI26" s="111"/>
      <c r="FJ26" s="112" t="str">
        <f>HYPERLINK("http://www.bundesgesundheitsministerium.de/fileadmin/dateien/Publikationen/Gesundheit/Broschueren/Ratgeber_Asylsuchende/Ratgeber_Asylsuchende_kurd.pdf","x")</f>
        <v>x</v>
      </c>
      <c r="FK26" s="112" t="str">
        <f>HYPERLINK("http://www.rki.de/DE/Content/Infekt/Impfen/Materialien/Downloads-Impfkalender/Impfkalender_Kurdisch.pdf?__blob=publicationFile","x")</f>
        <v>x</v>
      </c>
      <c r="FL26" s="112" t="str">
        <f>HYPERLINK("http://www.ethno-medizinisches-zentrum.de/images/PDF-Files/impfwegweiser_kurdisch_2014_online.pdf","x")</f>
        <v>x</v>
      </c>
      <c r="FM26" s="112"/>
      <c r="FN26" s="112" t="str">
        <f>HYPERLINK("http://www.rki.de/DE/Content/Infekt/Impfen/Materialien/Glossar-Downloads/glossar-de-kurdisch.pdf?__blob=publicationFile","x")</f>
        <v>x</v>
      </c>
      <c r="FO26" s="112"/>
      <c r="FP26" s="112" t="str">
        <f>HYPERLINK("http://www.rki.de/DE/Content/Infekt/Impfen/Materialien/Downloads-MMR/MMR-Impfinfo-kurdisch.pdf?__blob=publicationFile","x")</f>
        <v>x</v>
      </c>
      <c r="FQ26" s="112"/>
      <c r="FR26" s="112" t="str">
        <f>HYPERLINK("http://www.rki.de/DE/Content/Infekt/Impfen/Materialien/Downloads_HepA/Aufklaerung_HAV-Impfung_Kurdisch.pdf?__blob=publicationFile","x")</f>
        <v>x</v>
      </c>
      <c r="FS26" s="112" t="str">
        <f>HYPERLINK("http://www.rki.de/DE/Content/Infekt/Impfen/Materialien/Downloads_Pneumokokken/Aufklaerung_Pneumo-Impfung_Kurdisch.pdf?__blob=publicationFile","x")</f>
        <v>x</v>
      </c>
      <c r="FT26" s="112" t="str">
        <f>HYPERLINK("http://www.rki.de/DE/Content/Infekt/Impfen/Materialien/Downloads-DTaPIPVHibHepB/DTaPIPVHibHepB-kurdisch.pdf?__blob=publicationFile","x")</f>
        <v>x</v>
      </c>
      <c r="FU26" s="112" t="str">
        <f>HYPERLINK("http://www.rki.de/DE/Content/Infekt/Impfen/Materialien/Downloads-Varizellen/Varizellen-Impfinfo-kurdisch.pdf;jsessionid=65B697F4EE7EDA8A1ED9E2C4CD6C74EC.2_cid363?__blob=publicationFile","x")</f>
        <v>x</v>
      </c>
      <c r="FV26" s="112" t="str">
        <f>HYPERLINK("http://www.rki.de/DE/Content/Infekt/Impfen/Materialien/Downloads-Tdap-IPV/Tdap-IPV-kurdisch.pdf?__blob=publicationFile","x")</f>
        <v>x</v>
      </c>
      <c r="FW26" s="112" t="str">
        <f>HYPERLINK("http://www.rki.de/DE/Content/Infekt/Impfen/Materialien/Downloads-Influenza_nasal/Influenza_nasal-kurdisch.pdf?__blob=publicationFile","x")</f>
        <v>x</v>
      </c>
      <c r="FX26" s="111"/>
      <c r="FY26" s="112"/>
      <c r="FZ26" s="112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2" t="str">
        <f>HYPERLINK("http://www.rki.de/DE/Content/Infekt/Impfen/Materialien/Downloads-Influenza/Influenza-kurdisch.pdf?__blob=publicationFile","x")</f>
        <v>x</v>
      </c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2" t="str">
        <f t="shared" si="16"/>
        <v>x</v>
      </c>
      <c r="HD26" s="112" t="str">
        <f>HYPERLINK("https://www.zahnaerzte-wl.de/images/_PDF-suche/KZV_ZÄK/ENDSTAND_Ankreuzbogen_Ich_verstehe.pdf","x")</f>
        <v>x</v>
      </c>
      <c r="HE26" s="112" t="str">
        <f>HYPERLINK("https://www.zahnaerzte-wl.de/images/_PDF-suche/KZV_ZÄK/Anschreiben_Patienten_kurdisch_kurmandschi.pdf","x")</f>
        <v>x</v>
      </c>
      <c r="HF26" s="112" t="str">
        <f>HYPERLINK("https://www.zahnaerzte-wl.de/images/_PDF-suche/KZV_ZÄK/Fragebogen_kurdisch-kurmandschi.pdf","x")</f>
        <v>x</v>
      </c>
      <c r="HG26" s="112" t="str">
        <f>HYPERLINK("https://www.zahnaerzte-wl.de/images/_PDF-suche/KZV_ZÄK/Patientenerhebungsbogen_kurdisch-kurmandschi.pdf","x")</f>
        <v>x</v>
      </c>
      <c r="HH26" s="112"/>
      <c r="HI26" s="112"/>
      <c r="HJ26" s="112"/>
      <c r="HK26" s="112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2" t="str">
        <f t="shared" si="17"/>
        <v>x</v>
      </c>
      <c r="HZ26" s="112" t="str">
        <f t="shared" si="18"/>
        <v>x</v>
      </c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2"/>
      <c r="IL26" s="112" t="str">
        <f>HYPERLINK("http://www.bamf.de/SharedDocs/Anlagen/DE/Publikationen/Flyer/flyer-erstorientierung-asylsuchende_kurdisch.pdf?__blob=publicationFile","x")</f>
        <v>x</v>
      </c>
      <c r="IM26" s="111"/>
      <c r="IN26" s="111"/>
      <c r="IO26" s="111"/>
      <c r="IP26" s="111"/>
      <c r="IQ26" s="112" t="str">
        <f>HYPERLINK("http://www.bamf.de/SharedDocs/Anlagen/DE/Publikationen/Flyer/Lernen-Sie-Deutsch/lernen-sie-deutsch_ku.pdf?__blob=publicationFile","x")</f>
        <v>x</v>
      </c>
      <c r="IR26" s="112"/>
      <c r="IS26" s="111"/>
      <c r="IT26" s="111"/>
      <c r="IU26" s="111"/>
      <c r="IV26" s="112" t="str">
        <f>HYPERLINK("http://www.asyl.net/fileadmin/user_upload/infoblatt_anhoerung/Kurd_final.pdf","x")</f>
        <v>x</v>
      </c>
      <c r="IW26" s="112"/>
      <c r="IX26" s="112"/>
      <c r="IY26" s="112"/>
      <c r="IZ26" s="111"/>
      <c r="JA26" s="111"/>
      <c r="JB26" s="111"/>
      <c r="JC26" s="112"/>
      <c r="JD26" s="111"/>
      <c r="JE26" s="112"/>
      <c r="JF26" s="112"/>
      <c r="JG26" s="111"/>
      <c r="JH26" s="111"/>
      <c r="JI26" s="111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1"/>
      <c r="JU26" s="111"/>
      <c r="JV26" s="111"/>
      <c r="JW26" s="112"/>
      <c r="JX26" s="112"/>
      <c r="JY26" s="112"/>
      <c r="JZ26" s="112"/>
      <c r="KA26" s="112"/>
      <c r="KB26" s="112" t="str">
        <f>HYPERLINK("http://www.refugeeguide.de/dl/RefugeeGuide_ku_1214.pdf","x")</f>
        <v>x</v>
      </c>
      <c r="KC26" s="111"/>
      <c r="KD26" s="112" t="str">
        <f>HYPERLINK("http://www.wedel.de/fileadmin/user_upload/media/pdf/Rathaus_und_Politik/20160118_PM_Broschuere.pdf","x")</f>
        <v>x</v>
      </c>
      <c r="KE26" s="112"/>
      <c r="KF26" s="111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  <c r="MI26" s="111"/>
    </row>
    <row r="27" spans="1:347" x14ac:dyDescent="0.25">
      <c r="A27" s="102" t="s">
        <v>412</v>
      </c>
      <c r="B27" s="127" t="s">
        <v>7</v>
      </c>
      <c r="C27" s="102"/>
      <c r="D27" s="102"/>
      <c r="E27" s="102"/>
      <c r="F27" s="102"/>
      <c r="G27" s="102"/>
      <c r="H27" s="102"/>
      <c r="I27" s="102"/>
      <c r="J27" s="102"/>
      <c r="K27" s="103"/>
      <c r="L27" s="111"/>
      <c r="M27" s="111"/>
      <c r="N27" s="112" t="str">
        <f>HYPERLINK("http://www.ag-fluechtlingshilfe-wetterau.de/uploads/infos/170.pdf","x")</f>
        <v>x</v>
      </c>
      <c r="O27" s="112"/>
      <c r="P27" s="112" t="str">
        <f>HYPERLINK("https://willkommensteamelmshorn.files.wordpress.com/2015/11/sortieranleitung_pinneberg_2015_russisch.pdf","x")</f>
        <v>x</v>
      </c>
      <c r="Q27" s="112"/>
      <c r="R27" s="112"/>
      <c r="S27" s="112"/>
      <c r="T27" s="112"/>
      <c r="U27" s="112"/>
      <c r="V27" s="112"/>
      <c r="W27" s="111"/>
      <c r="X27" s="112"/>
      <c r="Y27" s="111"/>
      <c r="Z27" s="111"/>
      <c r="AA27" s="111"/>
      <c r="AB27" s="111"/>
      <c r="AC27" s="111"/>
      <c r="AD27" s="112" t="str">
        <f>HYPERLINK("http://www.rundfunkbeitrag.de/e175/e1634/Informationsflyer_Buerginnen_und_Buerger_russisch.pdf","x")</f>
        <v>x</v>
      </c>
      <c r="AE27" s="111"/>
      <c r="AF27" s="112" t="str">
        <f>HYPERLINK("http://www.kub-berlin.org/formularprojekt/de/russisch-antraege-und-anlagen/","x")</f>
        <v>x</v>
      </c>
      <c r="AG27" s="111"/>
      <c r="AH27" s="112" t="str">
        <f>HYPERLINK("http://sghanstedt.elbnetz.com/ueber-uns/","x")</f>
        <v>x</v>
      </c>
      <c r="AI27" s="111"/>
      <c r="AJ27" s="111"/>
      <c r="AK27" s="111"/>
      <c r="AL27" s="111"/>
      <c r="AM27" s="111"/>
      <c r="AN27" s="111"/>
      <c r="AO27" s="112"/>
      <c r="AP27" s="112"/>
      <c r="AQ27" s="112"/>
      <c r="AR27" s="112"/>
      <c r="AS27" s="112"/>
      <c r="AT27" s="112"/>
      <c r="AU27" s="112"/>
      <c r="AV27" s="113"/>
      <c r="AW27" s="114" t="str">
        <f t="shared" si="0"/>
        <v>x</v>
      </c>
      <c r="AX27" s="114" t="str">
        <f t="shared" si="1"/>
        <v>x</v>
      </c>
      <c r="AY27" s="111"/>
      <c r="AZ27" s="111"/>
      <c r="BA27" s="112" t="str">
        <f t="shared" si="2"/>
        <v>x</v>
      </c>
      <c r="BB27" s="112" t="str">
        <f t="shared" si="3"/>
        <v>x</v>
      </c>
      <c r="BC27" s="111"/>
      <c r="BD27" s="111"/>
      <c r="BE27" s="111"/>
      <c r="BF27" s="111"/>
      <c r="BG27" s="111"/>
      <c r="BH27" s="111"/>
      <c r="BI27" s="111"/>
      <c r="BJ27" s="111"/>
      <c r="BK27" s="112" t="str">
        <f>HYPERLINK("http://www.agf-trier.de/sites/default/files/bersetzungshilfe%20russisch%20allgemein.pdf","x")</f>
        <v>x</v>
      </c>
      <c r="BL27" s="111"/>
      <c r="BM27" s="112" t="str">
        <f>HYPERLINK("http://www.frnrw.de/images/Aus_den_Initiativen/Ehrenamtler/2015/Dictionary_x10_print-2.pdf","x")</f>
        <v>x</v>
      </c>
      <c r="BN27" s="111"/>
      <c r="BO27" s="111"/>
      <c r="BP27" s="111"/>
      <c r="BQ27" s="111"/>
      <c r="BR27" s="111"/>
      <c r="BS27" s="112" t="str">
        <f t="shared" si="4"/>
        <v>x</v>
      </c>
      <c r="BT27" s="112"/>
      <c r="BU27" s="111"/>
      <c r="BV27" s="112" t="str">
        <f t="shared" si="5"/>
        <v>x</v>
      </c>
      <c r="BW27" s="112" t="str">
        <f>HYPERLINK("http://www.welcomegrooves.de/wp-content/uploads/2015/10/welcomegrooves_DE-RUSSISCH.pdf","x")</f>
        <v>x</v>
      </c>
      <c r="BX27" s="112"/>
      <c r="BY27" s="112"/>
      <c r="BZ27" s="112"/>
      <c r="CA27" s="112" t="str">
        <f t="shared" si="6"/>
        <v>x</v>
      </c>
      <c r="CB27" s="112" t="str">
        <f t="shared" si="7"/>
        <v>x</v>
      </c>
      <c r="CC27" s="112" t="str">
        <f t="shared" si="8"/>
        <v>x</v>
      </c>
      <c r="CD27" s="112"/>
      <c r="CE27" s="112"/>
      <c r="CF27" s="112" t="str">
        <f>HYPERLINK("http://www.agf-trier.de/sites/default/files/bersetzungshilfe%20russisch%20f%C3%BCr%20Frauen.pdf","x")</f>
        <v>x</v>
      </c>
      <c r="CG27" s="112" t="str">
        <f>HYPERLINK("http://www.braunschweig.de/leben/frauen/hilfe/Ohne-Gewalt-leben.pdf","x")</f>
        <v>x</v>
      </c>
      <c r="CH27" s="112" t="str">
        <f>HYPERLINK("http://mifkjf.rlp.de/fileadmin/mifkjf/Frauen/Gewalt_gegen_Frauen/Downloads/Broschueren_Flyer/Flyer_Gewalt_russisch.pdf","x")</f>
        <v>x</v>
      </c>
      <c r="CI27" s="112" t="str">
        <f>HYPERLINK("https://www.hilfetelefon.de/fileadmin/hilfetelefon_de/Materialien/Flyer/Infoflyer_Hilfetelefon_Gewalt_gegen_Frauen141105_b2.pdf","x")</f>
        <v>x</v>
      </c>
      <c r="CJ27" s="112" t="str">
        <f>HYPERLINK("https://www.hilfetelefon.de/fileadmin/hilfetelefon_de/Materialien/weitere_werbemittel/Klappflyer_Vorder-_und_Rueckseite_opt2.pdf","x")</f>
        <v>x</v>
      </c>
      <c r="CK27" s="112" t="str">
        <f t="shared" si="9"/>
        <v>x</v>
      </c>
      <c r="CL27" s="112" t="str">
        <f>HYPERLINK("http://www.frauenberatungsstelle.de/pdf/Migrantinnen-beraten-Migrantinnen.pdf","x")</f>
        <v>x</v>
      </c>
      <c r="CM27" s="112"/>
      <c r="CN27" s="112"/>
      <c r="CO27" s="112"/>
      <c r="CP27" s="112" t="str">
        <f>HYPERLINK("http://www.schwanger-und-viele-fragen.de/ru/","x")</f>
        <v>x</v>
      </c>
      <c r="CQ27" s="112"/>
      <c r="CR27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7" s="112"/>
      <c r="CT27" s="112"/>
      <c r="CU27" s="112" t="str">
        <f>HYPERLINK("http://www.profamilia.de/fileadmin/publikationen/Erwachsene/mehrsprachig/verhuetung_russisch_2011.pdf","x")</f>
        <v>x</v>
      </c>
      <c r="CV27" s="112" t="str">
        <f>HYPERLINK("http://www.profamilia.de/fileadmin/publikationen/Erwachsene/mehrsprachig/Pille_danach_russisch_2012.pdf","x")</f>
        <v>x</v>
      </c>
      <c r="CW27" s="112" t="str">
        <f>HYPERLINK("http://www.profamilia.de/fileadmin/publikationen/Reihe_Verhuetungsmethoden/Einleger_Russisch.pdf","x")</f>
        <v>x</v>
      </c>
      <c r="CX27" s="112" t="str">
        <f>HYPERLINK("http://www.profamilia.de/fileadmin/publikationen/Erwachsene/mehrsprachig/schwangerschaftsabbruch_russisch.pdf","x")</f>
        <v>x</v>
      </c>
      <c r="CY27" s="112" t="str">
        <f>HYPERLINK("http://www.caritas-schwarzwald-alb-donau.de/68854.html","x")</f>
        <v>x</v>
      </c>
      <c r="CZ27" s="112" t="str">
        <f>HYPERLINK("http://www.dgfpi.de/tl_files/download/medien/unwissen-macht-ru.pdf","x")</f>
        <v>x</v>
      </c>
      <c r="DA27" s="112"/>
      <c r="DB27" s="112"/>
      <c r="DC27" s="115" t="str">
        <f>HYPERLINK("http://www.kindersicherheit.de/pdf/2012_Bilderbuch-Gift-Russisch.pdf","x")</f>
        <v>x</v>
      </c>
      <c r="DD27" s="112"/>
      <c r="DE27" s="112"/>
      <c r="DF27" s="112" t="str">
        <f t="shared" si="10"/>
        <v>x</v>
      </c>
      <c r="DG27" s="115" t="str">
        <f t="shared" si="11"/>
        <v>x</v>
      </c>
      <c r="DH27" s="112" t="str">
        <f t="shared" si="12"/>
        <v>x</v>
      </c>
      <c r="DI27" s="112" t="str">
        <f t="shared" si="13"/>
        <v>x</v>
      </c>
      <c r="DJ27" s="112" t="str">
        <f>HYPERLINK("http://www.bibliomedia.ch/de/angebote/dokumente/Glossar_russisch.pdf","x")</f>
        <v>x</v>
      </c>
      <c r="DK27" s="112"/>
      <c r="DL27" s="112"/>
      <c r="DM27" s="112"/>
      <c r="DN27" s="112"/>
      <c r="DO27" s="112"/>
      <c r="DP27" s="111"/>
      <c r="DQ27" s="112" t="str">
        <f>HYPERLINK("http://tipdoc.de/bus/grafik/kinder-tip/SCHULTIP_give_didacta.pdf","x")</f>
        <v>x</v>
      </c>
      <c r="DR27" s="112" t="str">
        <f>HYPERLINK("https://broschueren.nordrheinwestfalendirekt.de/broschuerenservice/msw/rus-das-schulsystem-in-nordrhein-westfalen-einfach-und-schnell-erklaert/1905","x")</f>
        <v>x</v>
      </c>
      <c r="DS27" s="112" t="str">
        <f>HYPERLINK("http://bildung.koeln.de/materialbibliothek/download.php?idx=89409237e8c48c84d1f410e2c231c942","x")</f>
        <v>x</v>
      </c>
      <c r="DT27" s="112" t="str">
        <f>HYPERLINK("http://bildung.koeln.de/materialbibliothek/download.php?idx=3e35937e1b8f8986880efaf07701a323","x")</f>
        <v>x</v>
      </c>
      <c r="DU27" s="112"/>
      <c r="DV27" s="112" t="str">
        <f>HYPERLINK("https://www.bmbf.de/pub/Kausa_Elternbroschuere_russisch.pdf","x")</f>
        <v>x</v>
      </c>
      <c r="DW27" s="112"/>
      <c r="DX27" s="112"/>
      <c r="DY27" s="112" t="str">
        <f>HYPERLINK("http://www.bamf.de/SharedDocs/Anlagen/DE/Publikationen/Flyer/AnerkennungBerufsabschluss/berufliche_anerkennung_akademische-heilberufe_ru.pdf?__blob=publicationFile","x")</f>
        <v>x</v>
      </c>
      <c r="DZ27" s="112" t="str">
        <f>HYPERLINK("http://www.bamf.de/SharedDocs/Anlagen/RU/Publikationen/Flyer/AnerkennungBerufsabschluss/anerkennung-berufsabschluss.pdf?__blob=publicationFile","x")</f>
        <v>x</v>
      </c>
      <c r="EA27" s="112" t="str">
        <f>HYPERLINK("http://www.bamf.de/SharedDocs/Anlagen/RU/Publikationen/Flyer/AnerkennungBerufsabschluss/anerkennung-berufsabschluss_ausland.pdf?__blob=publicationFile","x")</f>
        <v>x</v>
      </c>
      <c r="EB27" s="112" t="str">
        <f>HYPERLINK("http://www.bamf.de/SharedDocs/Anlagen/DE/Publikationen/Broschueren/willkommen-in-deutschland-info-blaue-karte-eu_ru.pdf?__blob=publicationFile","x")</f>
        <v>x</v>
      </c>
      <c r="EC27" s="112" t="str">
        <f>HYPERLINK("http://www.bamf.de/SharedDocs/Anlagen/RU/Publikationen/Flyer/Berufsbezsprachf-ESF-BAMF/berufsbezsprachf-esf-bamf.pdf?__blob=publicationFile","x")</f>
        <v>x</v>
      </c>
      <c r="ED27" s="111"/>
      <c r="EE27" s="111"/>
      <c r="EF27" s="111"/>
      <c r="EG27" s="111"/>
      <c r="EH27" s="111"/>
      <c r="EI27" s="111"/>
      <c r="EJ27" s="112"/>
      <c r="EK27" s="112"/>
      <c r="EL27" s="112"/>
      <c r="EM27" s="112" t="str">
        <f>HYPERLINK("http://www.kvs-sachsen.de/fileadmin/img/Mitglieder/Asylbewerber/Allg-Informationen/Anlage_1_Russisch_LEK.pdf","x")</f>
        <v>x</v>
      </c>
      <c r="EN27" s="112" t="str">
        <f>HYPERLINK("http://www.medizin-hilft-fluechtlingen.de/images/Dokumente/gSch/gSch_ru.pdf","x")</f>
        <v>x</v>
      </c>
      <c r="EO27" s="111"/>
      <c r="EP27" s="117" t="str">
        <f t="shared" si="19"/>
        <v>x</v>
      </c>
      <c r="EQ27" s="117" t="str">
        <f>HYPERLINK("http://www.armut-gesundheit.de/fileadmin/redakteur/dokumente/Anamnesebogen%20-%20russischnew.pdf","x")</f>
        <v>x</v>
      </c>
      <c r="ER27" s="112" t="str">
        <f>HYPERLINK("http://www.kvs-sachsen.de/fileadmin/img/Mitglieder/Asylbewerber/Allg-Informationen/Anlagen_2-1_2-2_Russisch_LEK.pdf","x")</f>
        <v>x</v>
      </c>
      <c r="ES27" s="111"/>
      <c r="ET27" s="111"/>
      <c r="EU27" s="111"/>
      <c r="EV27" s="111"/>
      <c r="EW27" s="112" t="str">
        <f t="shared" si="14"/>
        <v>x</v>
      </c>
      <c r="EX27" s="112" t="str">
        <f>HYPERLINK("http://www.rki.de/DE/Content/Infekt/IfSG/Belehrungsbogen/belehrungsbogen_eltern_russisch.pdf?__blob=publicationFile","x")</f>
        <v>x</v>
      </c>
      <c r="EY27" s="112" t="str">
        <f>HYPERLINK("http://www.bzga.de/infomaterialien/?sid=236","x")</f>
        <v>x</v>
      </c>
      <c r="EZ27" s="112" t="str">
        <f>HYPERLINK("https://www.mh-hannover.de/fileadmin/mhh/bilder/aktuelles_presse/presseinformationen_news/-Pilzvergif_RUSSISCH_2.pdf","x")</f>
        <v>x</v>
      </c>
      <c r="FA27" s="112"/>
      <c r="FB27" s="111"/>
      <c r="FC27" s="111"/>
      <c r="FD27" s="112" t="str">
        <f t="shared" si="15"/>
        <v>x</v>
      </c>
      <c r="FE27" s="112" t="str">
        <f t="shared" si="20"/>
        <v>x</v>
      </c>
      <c r="FF27" s="111"/>
      <c r="FG27" s="112" t="str">
        <f>HYPERLINK("http://www.tipdoc.de/grafik/asyl/Gesundheitsheft_Asyl.pdf","x")</f>
        <v>x</v>
      </c>
      <c r="FH27" s="111"/>
      <c r="FI27" s="111"/>
      <c r="FJ27" s="112"/>
      <c r="FK27" s="112" t="str">
        <f>HYPERLINK("http://www.rki.de/DE/Content/Infekt/Impfen/Materialien/Downloads-Impfkalender/Impfkalender_Russisch.pdf?__blob=publicationFile","x")</f>
        <v>x</v>
      </c>
      <c r="FL27" s="112" t="str">
        <f>HYPERLINK("http://www.ethno-medizinisches-zentrum.de/images/PDF-Files/impfwegweiser_russisch_2013_online.pdf","x")</f>
        <v>x</v>
      </c>
      <c r="FM27" s="112"/>
      <c r="FN27" s="112" t="str">
        <f>HYPERLINK("http://www.rki.de/DE/Content/Infekt/Impfen/Materialien/Glossar-Downloads/glossar-de-russisch.pdf?__blob=publicationFile","x")</f>
        <v>x</v>
      </c>
      <c r="FO27" s="112" t="str">
        <f>HYPERLINK("http://tvoyashkola10.ru/img/VPD-Signs,-symptoms-and-complications-RUS.pdf","x")</f>
        <v>x</v>
      </c>
      <c r="FP27" s="112" t="str">
        <f>HYPERLINK("http://www.rki.de/DE/Content/Infekt/Impfen/Materialien/Downloads-MMR/MMR-Impfinfo-russisch.pdf?__blob=publicationFile","x")</f>
        <v>x</v>
      </c>
      <c r="FQ27" s="112"/>
      <c r="FR27" s="112" t="str">
        <f>HYPERLINK("http://www.rki.de/DE/Content/Infekt/Impfen/Materialien/Downloads_HepA/Aufklaerung_HAV-Impfung_Russisch.pdf?__blob=publicationFile","x")</f>
        <v>x</v>
      </c>
      <c r="FS27" s="112" t="str">
        <f>HYPERLINK("http://www.rki.de/DE/Content/Infekt/Impfen/Materialien/Downloads_Pneumokokken/Aufklaerung_Pneumo-Impfung_Russisch.pdf?__blob=publicationFile","x")</f>
        <v>x</v>
      </c>
      <c r="FT27" s="112" t="str">
        <f>HYPERLINK("http://www.rki.de/DE/Content/Infekt/Impfen/Materialien/Downloads-DTaPIPVHibHepB/DTaPIPVHibHepB-russisch.pdf?__blob=publicationFile","x")</f>
        <v>x</v>
      </c>
      <c r="FU27" s="112" t="str">
        <f>HYPERLINK("http://www.rki.de/DE/Content/Infekt/Impfen/Materialien/Downloads-Varizellen/Varizellen-Impfinfo-russisch.pdf;jsessionid=65B697F4EE7EDA8A1ED9E2C4CD6C74EC.2_cid363?__blob=publicationFile","x")</f>
        <v>x</v>
      </c>
      <c r="FV27" s="112" t="str">
        <f>HYPERLINK("http://www.rki.de/DE/Content/Infekt/Impfen/Materialien/Downloads-Tdap-IPV/Tdap-IPV-russisch.pdf?__blob=publicationFile","x")</f>
        <v>x</v>
      </c>
      <c r="FW27" s="112" t="str">
        <f>HYPERLINK("http://www.rki.de/DE/Content/Infekt/Impfen/Materialien/Downloads-Influenza_nasal/Influenza_nasal-russisch.pdf?__blob=publicationFile","x")</f>
        <v>x</v>
      </c>
      <c r="FX27" s="112" t="str">
        <f>HYPERLINK("http://www.medical-tribune.de/fileadmin/PDF/PI_Arthrose_russ.pdf","x")</f>
        <v>x</v>
      </c>
      <c r="FY27" s="112" t="str">
        <f>HYPERLINK("http://www.medical-tribune.de/fileadmin/PDF/Astma_russisch.pdf","x")</f>
        <v>x</v>
      </c>
      <c r="FZ27" s="112" t="str">
        <f>HYPERLINK("http://www.medical-tribune.de/fileadmin/PDF/Bluthochdruck_russisch.pdf","x")</f>
        <v>x</v>
      </c>
      <c r="GA27" s="112" t="str">
        <f>HYPERLINK("http://www.medical-tribune.de/fileadmin/PDF/Cholesterin_russisch.pdf","x")</f>
        <v>x</v>
      </c>
      <c r="GB27" s="112" t="str">
        <f>HYPERLINK("http://www.medical-tribune.de/fileadmin/PDF/COPD-Bronchitis-russ.pdf","x")</f>
        <v>x</v>
      </c>
      <c r="GC27" s="112" t="str">
        <f>HYPERLINK("http://www.medical-tribune.de/fileadmin/PDF/PI_Demenz_russ.pdf","x")</f>
        <v>x</v>
      </c>
      <c r="GD27" s="112" t="str">
        <f>HYPERLINK("http://www.ethno-medizinisches-zentrum.de/images/PDF-Files/lf_diabete_russisch.pdf","x")</f>
        <v>x</v>
      </c>
      <c r="GE27" s="112" t="str">
        <f>HYPERLINK("http://www.medical-tribune.de/fileadmin/PDF/PI_Divertikel_russ.pdf","x")</f>
        <v>x</v>
      </c>
      <c r="GF27" s="112" t="str">
        <f>HYPERLINK("http://www.medical-tribune.de/fileadmin/PDF/PAVK_russ.pdf","x")</f>
        <v>x</v>
      </c>
      <c r="GG27" s="112" t="str">
        <f>HYPERLINK("http://www.medical-tribune.de/fileadmin/PDF/PI_Gallensteine_russ.pdf","x")</f>
        <v>x</v>
      </c>
      <c r="GH27" s="112" t="str">
        <f>HYPERLINK("http://www.medical-tribune.de/fileadmin/PDF/Gicht_russisch.pdf","x")</f>
        <v>x</v>
      </c>
      <c r="GI27" s="112" t="str">
        <f>HYPERLINK("http://www.tipdoc.de/bus/pdf/hepatitis/Hep_B_Webseite.pdf","x")</f>
        <v>x</v>
      </c>
      <c r="GJ27" s="112" t="str">
        <f>HYPERLINK("http://www.tipdoc.de/bus/pdf/hepatitis/Hep_C_Webseite.pdf","x")</f>
        <v>x</v>
      </c>
      <c r="GK27" s="112" t="str">
        <f>HYPERLINK("http://www.tipdoc.de/bus/pdf/hiv/HIV%20SRF_Webseite.pdf","x")</f>
        <v>x</v>
      </c>
      <c r="GL27" s="111"/>
      <c r="GM27" s="112" t="str">
        <f>HYPERLINK("http://www.rki.de/DE/Content/Infekt/Impfen/Materialien/Downloads-Influenza/Influenza-russisch.pdf?__blob=publicationFile","x")</f>
        <v>x</v>
      </c>
      <c r="GN27" s="112" t="str">
        <f>HYPERLINK("http://www.medical-tribune.de/fileadmin/PDF/PI_Erkaeltung_russ.pdf","x")</f>
        <v>x</v>
      </c>
      <c r="GO27" s="112"/>
      <c r="GP27" s="112" t="str">
        <f>HYPERLINK("http://www.tipdoc.de/grafik/pdf/kopflaeuse/Kopflaeuse_RUSS.pdf","x")</f>
        <v>x</v>
      </c>
      <c r="GQ27" s="112" t="str">
        <f>HYPERLINK("http://www.bing.com/search?q=Medical+tribune+KHK+russ&amp;qs=n&amp;form=QBRE&amp;pq=medical+tribune+khk+russ&amp;sc=0-16&amp;sp=-1&amp;sk=&amp;cvid=9C7440E0A0144B029D31F2004BF1F219","x")</f>
        <v>x</v>
      </c>
      <c r="GR27" s="112" t="str">
        <f>HYPERLINK("http://www.tipdoc.com/bus/pdf/kraetze/tipdoc_Scabies_RUSS.pdf","x")</f>
        <v>x</v>
      </c>
      <c r="GS27" s="112" t="str">
        <f>HYPERLINK("http://www.tipdoc.com/bus/pdf/MagenDarmHaende/MagenDarmHaende_RUSS.pdf","x")</f>
        <v>x</v>
      </c>
      <c r="GT27" s="112" t="str">
        <f>HYPERLINK("http://www.medical-tribune.de/fileadmin/PDF/Migraene_russ.pdf","x")</f>
        <v>x</v>
      </c>
      <c r="GU27" s="112" t="str">
        <f>HYPERLINK("http://www.medical-tribune.de/fileadmin/PDF/Rueckenschmerzen_russisch.pdf","x")</f>
        <v>x</v>
      </c>
      <c r="GV27" s="112" t="str">
        <f>HYPERLINK("http://www.medical-tribune.de/fileadmin/PDF/Schlafapnoe_russisch.pdf","x")</f>
        <v>x</v>
      </c>
      <c r="GW27" s="112" t="str">
        <f>HYPERLINK("http://www.medical-tribune.de/fileadmin/PDF/Schlafstoerungen_russisch.pdf","x")</f>
        <v>x</v>
      </c>
      <c r="GX27" s="112" t="str">
        <f>HYPERLINK("http://www.medical-tribune.de/fileadmin/PDF/Schwindel_russisch.pdf","x")</f>
        <v>x</v>
      </c>
      <c r="GY27" s="112" t="str">
        <f>HYPERLINK("http://www.medical-tribune.de/fileadmin/PDF/Sodbrennen_russisch.pdf","x")</f>
        <v>x</v>
      </c>
      <c r="GZ27" s="112" t="str">
        <f>HYPERLINK("http://www.medical-tribune.de/fileadmin/PDF/Sportverletzungen_russisch.pdf","x")</f>
        <v>x</v>
      </c>
      <c r="HA27" s="112" t="str">
        <f>HYPERLINK("http://www.medical-tribune.de/fileadmin/PDF/Thrombose_russisch.pdf","x")</f>
        <v>x</v>
      </c>
      <c r="HB27" s="112" t="str">
        <f>HYPERLINK("http://www.medical-tribune.de/fileadmin/PDF/Verstopfung_russisch.pdf","x")</f>
        <v>x</v>
      </c>
      <c r="HC27" s="112" t="str">
        <f t="shared" si="16"/>
        <v>x</v>
      </c>
      <c r="HD27" s="111"/>
      <c r="HE27" s="111"/>
      <c r="HF27" s="111"/>
      <c r="HG27" s="111"/>
      <c r="HH27" s="111"/>
      <c r="HI27" s="112" t="str">
        <f>HYPERLINK("http://www.bvkm.de/fileadmin/web_data/Behinderung_und_Migation_russisch_2014.pdf","x")</f>
        <v>x</v>
      </c>
      <c r="HJ27" s="111"/>
      <c r="HK27" s="112"/>
      <c r="HL27" s="112" t="str">
        <f>HYPERLINK("http://www.ethno-medizinisches-zentrum.de/images/PDF-Files/lf_depression_rus.pdf","x")</f>
        <v>x</v>
      </c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 t="str">
        <f>HYPERLINK("http://www.medical-tribune.de/fileadmin/PDF/RestlessLegs_russ.pdf","x")</f>
        <v>x</v>
      </c>
      <c r="HX27" s="112" t="str">
        <f>HYPERLINK("http://www.bkk-psychisch-gesund.de/fileadmin/user_upload/bkk-psychisch-gesund.de/PDFs/Migrantenwegweiser_Psychotherpie_russisch.pdf","x")</f>
        <v>x</v>
      </c>
      <c r="HY27" s="112" t="str">
        <f t="shared" si="17"/>
        <v>x</v>
      </c>
      <c r="HZ27" s="112" t="str">
        <f t="shared" si="18"/>
        <v>x</v>
      </c>
      <c r="IA27" s="112"/>
      <c r="IB27" s="112"/>
      <c r="IC27" s="112"/>
      <c r="ID27" s="112"/>
      <c r="IE27" s="112"/>
      <c r="IF27" s="112"/>
      <c r="IG27" s="112"/>
      <c r="IH27" s="112" t="str">
        <f>HYPERLINK("http://www.ethno-medizinisches-zentrum.de/images/PDF-Files/lf_mediensucht_ru_geschutzt.pdf","x")</f>
        <v>x</v>
      </c>
      <c r="II27" s="112" t="str">
        <f>HYPERLINK("http://www.caritas.de/hilfeundberatung/onlineberatung/suchtberatung/haeufiggestelltefragensucht/haeufiggestelltefragen-sucht","x")</f>
        <v>x</v>
      </c>
      <c r="IJ27" s="112" t="str">
        <f>HYPERLINK("http://www.bzga.de/infomaterialien/suchtvorbeugung/","x")</f>
        <v>x</v>
      </c>
      <c r="IK27" s="112" t="str">
        <f>HYPERLINK("http://www.bamf.de/SharedDocs/Anlagen/RU/Publikationen/Flyer/Lassen-Sie-Sich-Beraten/lassen-sie-sich-beraten.pdf?__blob=publicationFile","x")</f>
        <v>x</v>
      </c>
      <c r="IL27" s="112" t="str">
        <f>HYPERLINK("http://www.bamf.de/SharedDocs/Anlagen/DE/Publikationen/Flyer/flyer-erstorientierung-asylsuchende_russisch.pdf?__blob=publicationFile","x")</f>
        <v>x</v>
      </c>
      <c r="IM27" s="111"/>
      <c r="IN27" s="112" t="str">
        <f>HYPERLINK("https://www.bamf.de/SharedDocs/Anlagen/RU/Publikationen/Broschueren/willkommen-in-deutschland-ru.pdf?__blob=publicationFile","x")</f>
        <v>x</v>
      </c>
      <c r="IO27" s="112"/>
      <c r="IP27" s="111"/>
      <c r="IQ27" s="112" t="str">
        <f>HYPERLINK("http://www.bamf.de/SharedDocs/Anlagen/RU/Publikationen/Flyer/Lernen-Sie-Deutsch/lernen-sie-deutsch.pdf?__blob=publicationFile","x")</f>
        <v>x</v>
      </c>
      <c r="IR27" s="112"/>
      <c r="IS27" s="111"/>
      <c r="IT27" s="111"/>
      <c r="IU27" s="111"/>
      <c r="IV27" s="112" t="str">
        <f>HYPERLINK("http://www.asyl.net/fileadmin/user_upload/infoblatt_anhoerung/Infoblatt_2015_russ_fin.pdf","x")</f>
        <v>x</v>
      </c>
      <c r="IW27" s="112"/>
      <c r="IX27" s="112" t="str">
        <f>HYPERLINK("http://www.berlin.de/labo/willkommen-in-berlin/service/downloads/artikel.273193.php","x")</f>
        <v>x</v>
      </c>
      <c r="IY27" s="112" t="str">
        <f>HYPERLINK("http://www.bamf.de/SharedDocs/Anlagen/RU/Publikationen/Broschueren/broschuere-eat-a4.pdf?__blob=publicationFile","x")</f>
        <v>x</v>
      </c>
      <c r="IZ27" s="111"/>
      <c r="JA27" s="112" t="str">
        <f>HYPERLINK("http://fluechtlingsrat-bw.de/informationen-fuer-fluechtlinge.html","x")</f>
        <v>x</v>
      </c>
      <c r="JB27" s="111"/>
      <c r="JC27" s="112"/>
      <c r="JD27" s="111"/>
      <c r="JE27" s="112"/>
      <c r="JF27" s="112"/>
      <c r="JG27" s="112" t="str">
        <f>HYPERLINK("http://www.bamf.de/SharedDocs/Anlagen/RU/Publikationen/Flyer/Ehegattennachzug/ehegattennachzug.pdf?__blob=publicationFile","x")</f>
        <v>x</v>
      </c>
      <c r="JH27" s="112"/>
      <c r="JI27" s="111"/>
      <c r="JJ27" s="112"/>
      <c r="JK27" s="112"/>
      <c r="JL27" s="112" t="str">
        <f>HYPERLINK("http://www.kub-berlin.org/formularprojekt/de/russisch-antraege-und-anlagen/","x")</f>
        <v>x</v>
      </c>
      <c r="JM27" s="112" t="str">
        <f>HYPERLINK("https://www.arbeitsagentur.de/web/content/DE/Formulare/Detail/index.htm?dfContentId=L6019022DSTBAI485740","x")</f>
        <v>x</v>
      </c>
      <c r="JN27" s="112"/>
      <c r="JO27" s="112"/>
      <c r="JP27" s="112"/>
      <c r="JQ27" s="112"/>
      <c r="JR27" s="112" t="str">
        <f>HYPERLINK("http://www.ibla-germany.de/merkblaetter.php","x")</f>
        <v>x</v>
      </c>
      <c r="JS27" s="112"/>
      <c r="JT27" s="112" t="str">
        <f>HYPERLINK("http://www.b-umf.de/images/willkommensbroschurerussisch-web.pdf","x")</f>
        <v>x</v>
      </c>
      <c r="JU27" s="111"/>
      <c r="JV27" s="111"/>
      <c r="JW27" s="112"/>
      <c r="JX27" s="112"/>
      <c r="JY27" s="112"/>
      <c r="JZ27" s="112"/>
      <c r="KA27" s="112"/>
      <c r="KB27" s="112" t="str">
        <f>HYPERLINK("http://www.refugeeguide.de/dl/RefugeeGuide_ru_1207.pdf","x")</f>
        <v>x</v>
      </c>
      <c r="KC27" s="111"/>
      <c r="KD27" s="112" t="str">
        <f>HYPERLINK("http://www.wedel.de/fileadmin/user_upload/media/pdf/Rathaus_und_Politik/20160118_PM_Broschuere.pdf","x")</f>
        <v>x</v>
      </c>
      <c r="KE27" s="112"/>
      <c r="KF27" s="112" t="str">
        <f>HYPERLINK("http://sab.landtag.sachsen.de/dokumente/landtagskurier/Grundwerte-A5-international_web_08012016.pdf","x")</f>
        <v>x</v>
      </c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2" t="str">
        <f>HYPERLINK("http://www.rki.de/DE/Content/Infekt/IfSG/Belehrungsbogen/belehrungsbogen_lebensmittel_russisch.pdf?__blob=publicationFile","x")</f>
        <v>x</v>
      </c>
      <c r="ME27" s="111"/>
      <c r="MF27" s="111"/>
      <c r="MG27" s="111"/>
      <c r="MH27" s="111"/>
      <c r="MI27" s="112" t="str">
        <f>HYPERLINK("http://www.kindersicherheit.de/pdf/2012_poster_achtunggiftig_8sprachig.pdf","x")</f>
        <v>x</v>
      </c>
    </row>
    <row r="28" spans="1:347" x14ac:dyDescent="0.25">
      <c r="A28" s="102" t="s">
        <v>413</v>
      </c>
      <c r="B28" s="127" t="s">
        <v>7</v>
      </c>
      <c r="C28" s="102"/>
      <c r="D28" s="102"/>
      <c r="E28" s="102"/>
      <c r="F28" s="102"/>
      <c r="G28" s="102"/>
      <c r="H28" s="102"/>
      <c r="I28" s="102"/>
      <c r="J28" s="102"/>
      <c r="K28" s="103"/>
      <c r="L28" s="111"/>
      <c r="M28" s="111"/>
      <c r="N28" s="112" t="str">
        <f>HYPERLINK("http://www.ag-fluechtlingshilfe-wetterau.de/uploads/infos/170.pdf","x")</f>
        <v>x</v>
      </c>
      <c r="O28" s="112"/>
      <c r="P28" s="112" t="str">
        <f>HYPERLINK("https://willkommensteamelmshorn.files.wordpress.com/2015/11/sortieranleitung_pinneberg_2015_russisch.pdf","x")</f>
        <v>x</v>
      </c>
      <c r="Q28" s="112"/>
      <c r="R28" s="112"/>
      <c r="S28" s="112"/>
      <c r="T28" s="112"/>
      <c r="U28" s="112"/>
      <c r="V28" s="112"/>
      <c r="W28" s="111"/>
      <c r="X28" s="112"/>
      <c r="Y28" s="111"/>
      <c r="Z28" s="111"/>
      <c r="AA28" s="111"/>
      <c r="AB28" s="111"/>
      <c r="AC28" s="111"/>
      <c r="AD28" s="112" t="str">
        <f>HYPERLINK("http://www.rundfunkbeitrag.de/e175/e1634/Informationsflyer_Buerginnen_und_Buerger_russisch.pdf","x")</f>
        <v>x</v>
      </c>
      <c r="AE28" s="111"/>
      <c r="AF28" s="112" t="str">
        <f>HYPERLINK("http://www.kub-berlin.org/formularprojekt/de/russisch-antraege-und-anlagen/","x")</f>
        <v>x</v>
      </c>
      <c r="AG28" s="111"/>
      <c r="AH28" s="112" t="str">
        <f>HYPERLINK("http://sghanstedt.elbnetz.com/ueber-uns/","x")</f>
        <v>x</v>
      </c>
      <c r="AI28" s="111"/>
      <c r="AJ28" s="111"/>
      <c r="AK28" s="111"/>
      <c r="AL28" s="111"/>
      <c r="AM28" s="111"/>
      <c r="AN28" s="111"/>
      <c r="AO28" s="112"/>
      <c r="AP28" s="112"/>
      <c r="AQ28" s="112"/>
      <c r="AR28" s="112"/>
      <c r="AS28" s="112"/>
      <c r="AT28" s="112"/>
      <c r="AU28" s="112"/>
      <c r="AV28" s="113"/>
      <c r="AW28" s="114" t="str">
        <f t="shared" si="0"/>
        <v>x</v>
      </c>
      <c r="AX28" s="114" t="str">
        <f t="shared" si="1"/>
        <v>x</v>
      </c>
      <c r="AY28" s="111"/>
      <c r="AZ28" s="111"/>
      <c r="BA28" s="112" t="str">
        <f t="shared" si="2"/>
        <v>x</v>
      </c>
      <c r="BB28" s="112" t="str">
        <f t="shared" si="3"/>
        <v>x</v>
      </c>
      <c r="BC28" s="111"/>
      <c r="BD28" s="111"/>
      <c r="BE28" s="111"/>
      <c r="BF28" s="111"/>
      <c r="BG28" s="111"/>
      <c r="BH28" s="111"/>
      <c r="BI28" s="111"/>
      <c r="BJ28" s="111"/>
      <c r="BK28" s="112" t="str">
        <f>HYPERLINK("http://www.agf-trier.de/sites/default/files/bersetzungshilfe%20russisch%20allgemein.pdf","x")</f>
        <v>x</v>
      </c>
      <c r="BL28" s="111"/>
      <c r="BM28" s="112" t="str">
        <f>HYPERLINK("http://www.frnrw.de/images/Aus_den_Initiativen/Ehrenamtler/2015/Dictionary_x10_print-2.pdf","x")</f>
        <v>x</v>
      </c>
      <c r="BN28" s="111"/>
      <c r="BO28" s="111"/>
      <c r="BP28" s="111"/>
      <c r="BQ28" s="111"/>
      <c r="BR28" s="111"/>
      <c r="BS28" s="112" t="str">
        <f t="shared" si="4"/>
        <v>x</v>
      </c>
      <c r="BT28" s="112"/>
      <c r="BU28" s="111"/>
      <c r="BV28" s="112" t="str">
        <f t="shared" si="5"/>
        <v>x</v>
      </c>
      <c r="BW28" s="112" t="str">
        <f>HYPERLINK("http://www.welcomegrooves.de/wp-content/uploads/2015/10/welcomegrooves_DE-RUSSISCH.pdf","x")</f>
        <v>x</v>
      </c>
      <c r="BX28" s="112"/>
      <c r="BY28" s="112"/>
      <c r="BZ28" s="112"/>
      <c r="CA28" s="112" t="str">
        <f t="shared" si="6"/>
        <v>x</v>
      </c>
      <c r="CB28" s="112" t="str">
        <f t="shared" si="7"/>
        <v>x</v>
      </c>
      <c r="CC28" s="112" t="str">
        <f t="shared" si="8"/>
        <v>x</v>
      </c>
      <c r="CD28" s="112"/>
      <c r="CE28" s="112"/>
      <c r="CF28" s="112" t="str">
        <f>HYPERLINK("http://www.agf-trier.de/sites/default/files/bersetzungshilfe%20russisch%20f%C3%BCr%20Frauen.pdf","x")</f>
        <v>x</v>
      </c>
      <c r="CG28" s="112" t="str">
        <f>HYPERLINK("http://www.braunschweig.de/leben/frauen/hilfe/Ohne-Gewalt-leben.pdf","x")</f>
        <v>x</v>
      </c>
      <c r="CH28" s="112" t="str">
        <f>HYPERLINK("http://mifkjf.rlp.de/fileadmin/mifkjf/Frauen/Gewalt_gegen_Frauen/Downloads/Broschueren_Flyer/Flyer_Gewalt_russisch.pdf","x")</f>
        <v>x</v>
      </c>
      <c r="CI28" s="112" t="str">
        <f>HYPERLINK("https://www.hilfetelefon.de/fileadmin/hilfetelefon_de/Materialien/Flyer/Infoflyer_Hilfetelefon_Gewalt_gegen_Frauen141105_b2.pdf","x")</f>
        <v>x</v>
      </c>
      <c r="CJ28" s="112" t="str">
        <f>HYPERLINK("https://www.hilfetelefon.de/fileadmin/hilfetelefon_de/Materialien/weitere_werbemittel/Klappflyer_Vorder-_und_Rueckseite_opt2.pdf","x")</f>
        <v>x</v>
      </c>
      <c r="CK28" s="112" t="str">
        <f t="shared" si="9"/>
        <v>x</v>
      </c>
      <c r="CL28" s="112" t="str">
        <f>HYPERLINK("http://www.frauenberatungsstelle.de/pdf/Migrantinnen-beraten-Migrantinnen.pdf","x")</f>
        <v>x</v>
      </c>
      <c r="CM28" s="112"/>
      <c r="CN28" s="112"/>
      <c r="CO28" s="112"/>
      <c r="CP28" s="112" t="str">
        <f>HYPERLINK("http://www.schwanger-und-viele-fragen.de/ru/","x")</f>
        <v>x</v>
      </c>
      <c r="CQ28" s="112"/>
      <c r="CR28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8" s="112"/>
      <c r="CT28" s="112"/>
      <c r="CU28" s="112" t="str">
        <f>HYPERLINK("http://www.profamilia.de/fileadmin/publikationen/Erwachsene/mehrsprachig/verhuetung_russisch_2011.pdf","x")</f>
        <v>x</v>
      </c>
      <c r="CV28" s="112" t="str">
        <f>HYPERLINK("http://www.profamilia.de/fileadmin/publikationen/Erwachsene/mehrsprachig/Pille_danach_russisch_2012.pdf","x")</f>
        <v>x</v>
      </c>
      <c r="CW28" s="112" t="str">
        <f>HYPERLINK("http://www.profamilia.de/fileadmin/publikationen/Reihe_Verhuetungsmethoden/Einleger_Russisch.pdf","x")</f>
        <v>x</v>
      </c>
      <c r="CX28" s="112" t="str">
        <f>HYPERLINK("http://www.profamilia.de/fileadmin/publikationen/Erwachsene/mehrsprachig/schwangerschaftsabbruch_russisch.pdf","x")</f>
        <v>x</v>
      </c>
      <c r="CY28" s="112" t="str">
        <f>HYPERLINK("http://www.caritas-schwarzwald-alb-donau.de/68854.html","x")</f>
        <v>x</v>
      </c>
      <c r="CZ28" s="112" t="str">
        <f>HYPERLINK("http://www.dgfpi.de/tl_files/download/medien/unwissen-macht-ru.pdf","x")</f>
        <v>x</v>
      </c>
      <c r="DA28" s="112"/>
      <c r="DB28" s="112"/>
      <c r="DC28" s="115" t="str">
        <f>HYPERLINK("http://www.kindersicherheit.de/pdf/2012_Bilderbuch-Gift-Russisch.pdf","x")</f>
        <v>x</v>
      </c>
      <c r="DD28" s="112"/>
      <c r="DE28" s="112"/>
      <c r="DF28" s="112" t="str">
        <f t="shared" si="10"/>
        <v>x</v>
      </c>
      <c r="DG28" s="115" t="str">
        <f t="shared" si="11"/>
        <v>x</v>
      </c>
      <c r="DH28" s="112" t="str">
        <f t="shared" si="12"/>
        <v>x</v>
      </c>
      <c r="DI28" s="112" t="str">
        <f t="shared" si="13"/>
        <v>x</v>
      </c>
      <c r="DJ28" s="112" t="str">
        <f>HYPERLINK("http://www.bibliomedia.ch/de/angebote/dokumente/Glossar_russisch.pdf","x")</f>
        <v>x</v>
      </c>
      <c r="DK28" s="112"/>
      <c r="DL28" s="112"/>
      <c r="DM28" s="112"/>
      <c r="DN28" s="112"/>
      <c r="DO28" s="112"/>
      <c r="DP28" s="111"/>
      <c r="DQ28" s="112" t="str">
        <f>HYPERLINK("http://tipdoc.de/bus/grafik/kinder-tip/SCHULTIP_give_didacta.pdf","x")</f>
        <v>x</v>
      </c>
      <c r="DR28" s="112" t="str">
        <f>HYPERLINK("https://broschueren.nordrheinwestfalendirekt.de/broschuerenservice/msw/rus-das-schulsystem-in-nordrhein-westfalen-einfach-und-schnell-erklaert/1905","x")</f>
        <v>x</v>
      </c>
      <c r="DS28" s="112" t="str">
        <f>HYPERLINK("http://bildung.koeln.de/materialbibliothek/download.php?idx=89409237e8c48c84d1f410e2c231c942","x")</f>
        <v>x</v>
      </c>
      <c r="DT28" s="112" t="str">
        <f>HYPERLINK("http://bildung.koeln.de/materialbibliothek/download.php?idx=3e35937e1b8f8986880efaf07701a323","x")</f>
        <v>x</v>
      </c>
      <c r="DU28" s="112"/>
      <c r="DV28" s="112" t="str">
        <f>HYPERLINK("https://www.bmbf.de/pub/Kausa_Elternbroschuere_russisch.pdf","x")</f>
        <v>x</v>
      </c>
      <c r="DW28" s="112"/>
      <c r="DX28" s="112"/>
      <c r="DY28" s="112" t="str">
        <f>HYPERLINK("http://www.bamf.de/SharedDocs/Anlagen/DE/Publikationen/Flyer/AnerkennungBerufsabschluss/berufliche_anerkennung_akademische-heilberufe_ru.pdf?__blob=publicationFile","x")</f>
        <v>x</v>
      </c>
      <c r="DZ28" s="112" t="str">
        <f>HYPERLINK("http://www.bamf.de/SharedDocs/Anlagen/RU/Publikationen/Flyer/AnerkennungBerufsabschluss/anerkennung-berufsabschluss.pdf?__blob=publicationFile","x")</f>
        <v>x</v>
      </c>
      <c r="EA28" s="112" t="str">
        <f>HYPERLINK("http://www.bamf.de/SharedDocs/Anlagen/RU/Publikationen/Flyer/AnerkennungBerufsabschluss/anerkennung-berufsabschluss_ausland.pdf?__blob=publicationFile","x")</f>
        <v>x</v>
      </c>
      <c r="EB28" s="112" t="str">
        <f>HYPERLINK("http://www.bamf.de/SharedDocs/Anlagen/DE/Publikationen/Broschueren/willkommen-in-deutschland-info-blaue-karte-eu_ru.pdf?__blob=publicationFile","x")</f>
        <v>x</v>
      </c>
      <c r="EC28" s="112" t="str">
        <f>HYPERLINK("http://www.bamf.de/SharedDocs/Anlagen/RU/Publikationen/Flyer/Berufsbezsprachf-ESF-BAMF/berufsbezsprachf-esf-bamf.pdf?__blob=publicationFile","x")</f>
        <v>x</v>
      </c>
      <c r="ED28" s="111"/>
      <c r="EE28" s="111"/>
      <c r="EF28" s="111"/>
      <c r="EG28" s="111"/>
      <c r="EH28" s="111"/>
      <c r="EI28" s="111"/>
      <c r="EJ28" s="112"/>
      <c r="EK28" s="112"/>
      <c r="EL28" s="112"/>
      <c r="EM28" s="112" t="str">
        <f>HYPERLINK("http://www.kvs-sachsen.de/fileadmin/img/Mitglieder/Asylbewerber/Allg-Informationen/Anlage_1_Russisch_LEK.pdf","x")</f>
        <v>x</v>
      </c>
      <c r="EN28" s="112" t="str">
        <f>HYPERLINK("http://www.medizin-hilft-fluechtlingen.de/images/Dokumente/gSch/gSch_ru.pdf","x")</f>
        <v>x</v>
      </c>
      <c r="EO28" s="111"/>
      <c r="EP28" s="117" t="str">
        <f t="shared" si="19"/>
        <v>x</v>
      </c>
      <c r="EQ28" s="117" t="str">
        <f>HYPERLINK("http://www.armut-gesundheit.de/fileadmin/redakteur/dokumente/Anamnesebogen%20-%20russischnew.pdf","x")</f>
        <v>x</v>
      </c>
      <c r="ER28" s="112" t="str">
        <f>HYPERLINK("http://www.kvs-sachsen.de/fileadmin/img/Mitglieder/Asylbewerber/Allg-Informationen/Anlagen_2-1_2-2_Russisch_LEK.pdf","x")</f>
        <v>x</v>
      </c>
      <c r="ES28" s="111"/>
      <c r="ET28" s="111"/>
      <c r="EU28" s="111"/>
      <c r="EV28" s="111"/>
      <c r="EW28" s="112" t="str">
        <f t="shared" si="14"/>
        <v>x</v>
      </c>
      <c r="EX28" s="112" t="str">
        <f>HYPERLINK("http://www.rki.de/DE/Content/Infekt/IfSG/Belehrungsbogen/belehrungsbogen_eltern_russisch.pdf?__blob=publicationFile","x")</f>
        <v>x</v>
      </c>
      <c r="EY28" s="112" t="str">
        <f>HYPERLINK("http://www.bzga.de/infomaterialien/?sid=236","x")</f>
        <v>x</v>
      </c>
      <c r="EZ28" s="112" t="str">
        <f>HYPERLINK("https://www.mh-hannover.de/fileadmin/mhh/bilder/aktuelles_presse/presseinformationen_news/-Pilzvergif_RUSSISCH_2.pdf","x")</f>
        <v>x</v>
      </c>
      <c r="FA28" s="112"/>
      <c r="FB28" s="111"/>
      <c r="FC28" s="111"/>
      <c r="FD28" s="112" t="str">
        <f t="shared" si="15"/>
        <v>x</v>
      </c>
      <c r="FE28" s="112" t="str">
        <f t="shared" si="20"/>
        <v>x</v>
      </c>
      <c r="FF28" s="111"/>
      <c r="FG28" s="112" t="str">
        <f>HYPERLINK("http://www.tipdoc.de/grafik/asyl/Gesundheitsheft_Asyl.pdf","x")</f>
        <v>x</v>
      </c>
      <c r="FH28" s="111"/>
      <c r="FI28" s="111"/>
      <c r="FJ28" s="112"/>
      <c r="FK28" s="112" t="str">
        <f>HYPERLINK("http://www.rki.de/DE/Content/Infekt/Impfen/Materialien/Downloads-Impfkalender/Impfkalender_Russisch.pdf?__blob=publicationFile","x")</f>
        <v>x</v>
      </c>
      <c r="FL28" s="112" t="str">
        <f>HYPERLINK("http://www.ethno-medizinisches-zentrum.de/images/PDF-Files/impfwegweiser_russisch_2013_online.pdf","x")</f>
        <v>x</v>
      </c>
      <c r="FM28" s="112"/>
      <c r="FN28" s="112" t="str">
        <f>HYPERLINK("http://www.rki.de/DE/Content/Infekt/Impfen/Materialien/Glossar-Downloads/glossar-de-russisch.pdf?__blob=publicationFile","x")</f>
        <v>x</v>
      </c>
      <c r="FO28" s="112" t="str">
        <f>HYPERLINK("http://tvoyashkola10.ru/img/VPD-Signs,-symptoms-and-complications-RUS.pdf","x")</f>
        <v>x</v>
      </c>
      <c r="FP28" s="112" t="str">
        <f>HYPERLINK("http://www.rki.de/DE/Content/Infekt/Impfen/Materialien/Downloads-MMR/MMR-Impfinfo-russisch.pdf?__blob=publicationFile","x")</f>
        <v>x</v>
      </c>
      <c r="FQ28" s="112"/>
      <c r="FR28" s="112" t="str">
        <f>HYPERLINK("http://www.rki.de/DE/Content/Infekt/Impfen/Materialien/Downloads_HepA/Aufklaerung_HAV-Impfung_Russisch.pdf?__blob=publicationFile","x")</f>
        <v>x</v>
      </c>
      <c r="FS28" s="112" t="str">
        <f>HYPERLINK("http://www.rki.de/DE/Content/Infekt/Impfen/Materialien/Downloads_Pneumokokken/Aufklaerung_Pneumo-Impfung_Russisch.pdf?__blob=publicationFile","x")</f>
        <v>x</v>
      </c>
      <c r="FT28" s="112" t="str">
        <f>HYPERLINK("http://www.rki.de/DE/Content/Infekt/Impfen/Materialien/Downloads-DTaPIPVHibHepB/DTaPIPVHibHepB-russisch.pdf?__blob=publicationFile","x")</f>
        <v>x</v>
      </c>
      <c r="FU28" s="112" t="str">
        <f>HYPERLINK("http://www.rki.de/DE/Content/Infekt/Impfen/Materialien/Downloads-Varizellen/Varizellen-Impfinfo-russisch.pdf;jsessionid=65B697F4EE7EDA8A1ED9E2C4CD6C74EC.2_cid363?__blob=publicationFile","x")</f>
        <v>x</v>
      </c>
      <c r="FV28" s="112" t="str">
        <f>HYPERLINK("http://www.rki.de/DE/Content/Infekt/Impfen/Materialien/Downloads-Tdap-IPV/Tdap-IPV-russisch.pdf?__blob=publicationFile","x")</f>
        <v>x</v>
      </c>
      <c r="FW28" s="112" t="str">
        <f>HYPERLINK("http://www.rki.de/DE/Content/Infekt/Impfen/Materialien/Downloads-Influenza_nasal/Influenza_nasal-russisch.pdf?__blob=publicationFile","x")</f>
        <v>x</v>
      </c>
      <c r="FX28" s="112" t="str">
        <f>HYPERLINK("http://www.medical-tribune.de/fileadmin/PDF/PI_Arthrose_russ.pdf","x")</f>
        <v>x</v>
      </c>
      <c r="FY28" s="112" t="str">
        <f>HYPERLINK("http://www.medical-tribune.de/fileadmin/PDF/Astma_russisch.pdf","x")</f>
        <v>x</v>
      </c>
      <c r="FZ28" s="112" t="str">
        <f>HYPERLINK("http://www.medical-tribune.de/fileadmin/PDF/Bluthochdruck_russisch.pdf","x")</f>
        <v>x</v>
      </c>
      <c r="GA28" s="112" t="str">
        <f>HYPERLINK("http://www.medical-tribune.de/fileadmin/PDF/Cholesterin_russisch.pdf","x")</f>
        <v>x</v>
      </c>
      <c r="GB28" s="112" t="str">
        <f>HYPERLINK("http://www.medical-tribune.de/fileadmin/PDF/COPD-Bronchitis-russ.pdf","x")</f>
        <v>x</v>
      </c>
      <c r="GC28" s="112" t="str">
        <f>HYPERLINK("http://www.medical-tribune.de/fileadmin/PDF/PI_Demenz_russ.pdf","x")</f>
        <v>x</v>
      </c>
      <c r="GD28" s="112" t="str">
        <f>HYPERLINK("http://www.ethno-medizinisches-zentrum.de/images/PDF-Files/lf_diabete_russisch.pdf","x")</f>
        <v>x</v>
      </c>
      <c r="GE28" s="112" t="str">
        <f>HYPERLINK("http://www.medical-tribune.de/fileadmin/PDF/PI_Divertikel_russ.pdf","x")</f>
        <v>x</v>
      </c>
      <c r="GF28" s="112" t="str">
        <f>HYPERLINK("http://www.medical-tribune.de/fileadmin/PDF/PAVK_russ.pdf","x")</f>
        <v>x</v>
      </c>
      <c r="GG28" s="112" t="str">
        <f>HYPERLINK("http://www.medical-tribune.de/fileadmin/PDF/PI_Gallensteine_russ.pdf","x")</f>
        <v>x</v>
      </c>
      <c r="GH28" s="112" t="str">
        <f>HYPERLINK("http://www.medical-tribune.de/fileadmin/PDF/Gicht_russisch.pdf","x")</f>
        <v>x</v>
      </c>
      <c r="GI28" s="112" t="str">
        <f>HYPERLINK("http://www.tipdoc.de/bus/pdf/hepatitis/Hep_B_Webseite.pdf","x")</f>
        <v>x</v>
      </c>
      <c r="GJ28" s="112" t="str">
        <f>HYPERLINK("http://www.tipdoc.de/bus/pdf/hepatitis/Hep_C_Webseite.pdf","x")</f>
        <v>x</v>
      </c>
      <c r="GK28" s="112" t="str">
        <f>HYPERLINK("http://www.tipdoc.de/bus/pdf/hiv/HIV%20SRF_Webseite.pdf","x")</f>
        <v>x</v>
      </c>
      <c r="GL28" s="111"/>
      <c r="GM28" s="112" t="str">
        <f>HYPERLINK("http://www.rki.de/DE/Content/Infekt/Impfen/Materialien/Downloads-Influenza/Influenza-russisch.pdf?__blob=publicationFile","x")</f>
        <v>x</v>
      </c>
      <c r="GN28" s="112" t="str">
        <f>HYPERLINK("http://www.medical-tribune.de/fileadmin/PDF/PI_Erkaeltung_russ.pdf","x")</f>
        <v>x</v>
      </c>
      <c r="GO28" s="112"/>
      <c r="GP28" s="112" t="str">
        <f>HYPERLINK("http://www.tipdoc.de/grafik/pdf/kopflaeuse/Kopflaeuse_RUSS.pdf","x")</f>
        <v>x</v>
      </c>
      <c r="GQ28" s="112" t="str">
        <f>HYPERLINK("http://www.bing.com/search?q=Medical+tribune+KHK+russ&amp;qs=n&amp;form=QBRE&amp;pq=medical+tribune+khk+russ&amp;sc=0-16&amp;sp=-1&amp;sk=&amp;cvid=9C7440E0A0144B029D31F2004BF1F219","x")</f>
        <v>x</v>
      </c>
      <c r="GR28" s="112" t="str">
        <f>HYPERLINK("http://www.tipdoc.com/bus/pdf/kraetze/tipdoc_Scabies_RUSS.pdf","x")</f>
        <v>x</v>
      </c>
      <c r="GS28" s="112" t="str">
        <f>HYPERLINK("http://www.tipdoc.com/bus/pdf/MagenDarmHaende/MagenDarmHaende_RUSS.pdf","x")</f>
        <v>x</v>
      </c>
      <c r="GT28" s="112" t="str">
        <f>HYPERLINK("http://www.medical-tribune.de/fileadmin/PDF/Migraene_russ.pdf","x")</f>
        <v>x</v>
      </c>
      <c r="GU28" s="112" t="str">
        <f>HYPERLINK("http://www.medical-tribune.de/fileadmin/PDF/Rueckenschmerzen_russisch.pdf","x")</f>
        <v>x</v>
      </c>
      <c r="GV28" s="112" t="str">
        <f>HYPERLINK("http://www.medical-tribune.de/fileadmin/PDF/Schlafapnoe_russisch.pdf","x")</f>
        <v>x</v>
      </c>
      <c r="GW28" s="112" t="str">
        <f>HYPERLINK("http://www.medical-tribune.de/fileadmin/PDF/Schlafstoerungen_russisch.pdf","x")</f>
        <v>x</v>
      </c>
      <c r="GX28" s="112" t="str">
        <f>HYPERLINK("http://www.medical-tribune.de/fileadmin/PDF/Schwindel_russisch.pdf","x")</f>
        <v>x</v>
      </c>
      <c r="GY28" s="112" t="str">
        <f>HYPERLINK("http://www.medical-tribune.de/fileadmin/PDF/Sodbrennen_russisch.pdf","x")</f>
        <v>x</v>
      </c>
      <c r="GZ28" s="112" t="str">
        <f>HYPERLINK("http://www.medical-tribune.de/fileadmin/PDF/Sportverletzungen_russisch.pdf","x")</f>
        <v>x</v>
      </c>
      <c r="HA28" s="112" t="str">
        <f>HYPERLINK("http://www.medical-tribune.de/fileadmin/PDF/Thrombose_russisch.pdf","x")</f>
        <v>x</v>
      </c>
      <c r="HB28" s="112" t="str">
        <f>HYPERLINK("http://www.medical-tribune.de/fileadmin/PDF/Verstopfung_russisch.pdf","x")</f>
        <v>x</v>
      </c>
      <c r="HC28" s="112" t="str">
        <f t="shared" si="16"/>
        <v>x</v>
      </c>
      <c r="HD28" s="111"/>
      <c r="HE28" s="111"/>
      <c r="HF28" s="111"/>
      <c r="HG28" s="111"/>
      <c r="HH28" s="111"/>
      <c r="HI28" s="112" t="str">
        <f>HYPERLINK("http://www.bvkm.de/fileadmin/web_data/Behinderung_und_Migation_russisch_2014.pdf","x")</f>
        <v>x</v>
      </c>
      <c r="HJ28" s="111"/>
      <c r="HK28" s="112"/>
      <c r="HL28" s="112" t="str">
        <f>HYPERLINK("http://www.ethno-medizinisches-zentrum.de/images/PDF-Files/lf_depression_rus.pdf","x")</f>
        <v>x</v>
      </c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 t="str">
        <f>HYPERLINK("http://www.medical-tribune.de/fileadmin/PDF/RestlessLegs_russ.pdf","x")</f>
        <v>x</v>
      </c>
      <c r="HX28" s="112" t="str">
        <f>HYPERLINK("http://www.bkk-psychisch-gesund.de/fileadmin/user_upload/bkk-psychisch-gesund.de/PDFs/Migrantenwegweiser_Psychotherpie_russisch.pdf","x")</f>
        <v>x</v>
      </c>
      <c r="HY28" s="112" t="str">
        <f t="shared" si="17"/>
        <v>x</v>
      </c>
      <c r="HZ28" s="112" t="str">
        <f t="shared" si="18"/>
        <v>x</v>
      </c>
      <c r="IA28" s="112"/>
      <c r="IB28" s="112"/>
      <c r="IC28" s="112"/>
      <c r="ID28" s="112"/>
      <c r="IE28" s="112"/>
      <c r="IF28" s="112"/>
      <c r="IG28" s="112"/>
      <c r="IH28" s="112" t="str">
        <f>HYPERLINK("http://www.ethno-medizinisches-zentrum.de/images/PDF-Files/lf_mediensucht_ru_geschutzt.pdf","x")</f>
        <v>x</v>
      </c>
      <c r="II28" s="112" t="str">
        <f>HYPERLINK("http://www.caritas.de/hilfeundberatung/onlineberatung/suchtberatung/haeufiggestelltefragensucht/haeufiggestelltefragen-sucht","x")</f>
        <v>x</v>
      </c>
      <c r="IJ28" s="112" t="str">
        <f>HYPERLINK("http://www.bzga.de/infomaterialien/suchtvorbeugung/","x")</f>
        <v>x</v>
      </c>
      <c r="IK28" s="112" t="str">
        <f>HYPERLINK("http://www.bamf.de/SharedDocs/Anlagen/RU/Publikationen/Flyer/Lassen-Sie-Sich-Beraten/lassen-sie-sich-beraten.pdf?__blob=publicationFile","x")</f>
        <v>x</v>
      </c>
      <c r="IL28" s="112" t="str">
        <f>HYPERLINK("http://www.bamf.de/SharedDocs/Anlagen/DE/Publikationen/Flyer/flyer-erstorientierung-asylsuchende_russisch.pdf?__blob=publicationFile","x")</f>
        <v>x</v>
      </c>
      <c r="IM28" s="111"/>
      <c r="IN28" s="112" t="str">
        <f>HYPERLINK("https://www.bamf.de/SharedDocs/Anlagen/RU/Publikationen/Broschueren/willkommen-in-deutschland-ru.pdf?__blob=publicationFile","x")</f>
        <v>x</v>
      </c>
      <c r="IO28" s="112"/>
      <c r="IP28" s="111"/>
      <c r="IQ28" s="112" t="str">
        <f>HYPERLINK("http://www.bamf.de/SharedDocs/Anlagen/RU/Publikationen/Flyer/Lernen-Sie-Deutsch/lernen-sie-deutsch.pdf?__blob=publicationFile","x")</f>
        <v>x</v>
      </c>
      <c r="IR28" s="112"/>
      <c r="IS28" s="111"/>
      <c r="IT28" s="111"/>
      <c r="IU28" s="111"/>
      <c r="IV28" s="112" t="str">
        <f>HYPERLINK("http://www.asyl.net/fileadmin/user_upload/infoblatt_anhoerung/Infoblatt_2015_russ_fin.pdf","x")</f>
        <v>x</v>
      </c>
      <c r="IW28" s="112"/>
      <c r="IX28" s="112" t="str">
        <f>HYPERLINK("http://www.berlin.de/labo/willkommen-in-berlin/service/downloads/artikel.273193.php","x")</f>
        <v>x</v>
      </c>
      <c r="IY28" s="112" t="str">
        <f>HYPERLINK("http://www.bamf.de/SharedDocs/Anlagen/RU/Publikationen/Broschueren/broschuere-eat-a4.pdf?__blob=publicationFile","x")</f>
        <v>x</v>
      </c>
      <c r="IZ28" s="111"/>
      <c r="JA28" s="112" t="str">
        <f>HYPERLINK("http://fluechtlingsrat-bw.de/informationen-fuer-fluechtlinge.html","x")</f>
        <v>x</v>
      </c>
      <c r="JB28" s="111"/>
      <c r="JC28" s="112"/>
      <c r="JD28" s="111"/>
      <c r="JE28" s="112"/>
      <c r="JF28" s="112"/>
      <c r="JG28" s="112" t="str">
        <f>HYPERLINK("http://www.bamf.de/SharedDocs/Anlagen/RU/Publikationen/Flyer/Ehegattennachzug/ehegattennachzug.pdf?__blob=publicationFile","x")</f>
        <v>x</v>
      </c>
      <c r="JH28" s="112"/>
      <c r="JI28" s="111"/>
      <c r="JJ28" s="112"/>
      <c r="JK28" s="112"/>
      <c r="JL28" s="112" t="str">
        <f>HYPERLINK("http://www.kub-berlin.org/formularprojekt/de/russisch-antraege-und-anlagen/","x")</f>
        <v>x</v>
      </c>
      <c r="JM28" s="112" t="str">
        <f>HYPERLINK("https://www.arbeitsagentur.de/web/content/DE/Formulare/Detail/index.htm?dfContentId=L6019022DSTBAI485740","x")</f>
        <v>x</v>
      </c>
      <c r="JN28" s="112"/>
      <c r="JO28" s="112"/>
      <c r="JP28" s="112"/>
      <c r="JQ28" s="112"/>
      <c r="JR28" s="112" t="str">
        <f>HYPERLINK("http://www.ibla-germany.de/merkblaetter.php","x")</f>
        <v>x</v>
      </c>
      <c r="JS28" s="112"/>
      <c r="JT28" s="112" t="str">
        <f>HYPERLINK("http://www.b-umf.de/images/willkommensbroschurerussisch-web.pdf","x")</f>
        <v>x</v>
      </c>
      <c r="JU28" s="111"/>
      <c r="JV28" s="111"/>
      <c r="JW28" s="112"/>
      <c r="JX28" s="112"/>
      <c r="JY28" s="112"/>
      <c r="JZ28" s="112"/>
      <c r="KA28" s="112"/>
      <c r="KB28" s="112" t="str">
        <f>HYPERLINK("http://www.refugeeguide.de/dl/RefugeeGuide_ru_1207.pdf","x")</f>
        <v>x</v>
      </c>
      <c r="KC28" s="111"/>
      <c r="KD28" s="112" t="str">
        <f>HYPERLINK("http://www.wedel.de/fileadmin/user_upload/media/pdf/Rathaus_und_Politik/20160118_PM_Broschuere.pdf","x")</f>
        <v>x</v>
      </c>
      <c r="KE28" s="112"/>
      <c r="KF28" s="112" t="str">
        <f>HYPERLINK("http://sab.landtag.sachsen.de/dokumente/landtagskurier/Grundwerte-A5-international_web_08012016.pdf","x")</f>
        <v>x</v>
      </c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2" t="str">
        <f>HYPERLINK("http://www.rki.de/DE/Content/Infekt/IfSG/Belehrungsbogen/belehrungsbogen_lebensmittel_russisch.pdf?__blob=publicationFile","x")</f>
        <v>x</v>
      </c>
      <c r="ME28" s="111"/>
      <c r="MF28" s="111"/>
      <c r="MG28" s="111"/>
      <c r="MH28" s="111"/>
      <c r="MI28" s="112" t="str">
        <f>HYPERLINK("http://www.kindersicherheit.de/pdf/2012_poster_achtunggiftig_8sprachig.pdf","x")</f>
        <v>x</v>
      </c>
    </row>
    <row r="29" spans="1:347" x14ac:dyDescent="0.25">
      <c r="A29" s="102" t="s">
        <v>48</v>
      </c>
      <c r="B29" s="127" t="s">
        <v>38</v>
      </c>
      <c r="C29" s="102"/>
      <c r="D29" s="102"/>
      <c r="E29" s="102"/>
      <c r="F29" s="102"/>
      <c r="G29" s="102"/>
      <c r="H29" s="102"/>
      <c r="I29" s="102"/>
      <c r="J29" s="102"/>
      <c r="K29" s="103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2"/>
      <c r="AP29" s="112"/>
      <c r="AQ29" s="112"/>
      <c r="AR29" s="112"/>
      <c r="AS29" s="112"/>
      <c r="AT29" s="112"/>
      <c r="AU29" s="112"/>
      <c r="AV29" s="113"/>
      <c r="AW29" s="114" t="str">
        <f t="shared" si="0"/>
        <v>x</v>
      </c>
      <c r="AX29" s="114" t="str">
        <f t="shared" si="1"/>
        <v>x</v>
      </c>
      <c r="AY29" s="111"/>
      <c r="AZ29" s="111"/>
      <c r="BA29" s="112" t="str">
        <f t="shared" si="2"/>
        <v>x</v>
      </c>
      <c r="BB29" s="112" t="str">
        <f t="shared" si="3"/>
        <v>x</v>
      </c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2" t="str">
        <f t="shared" si="4"/>
        <v>x</v>
      </c>
      <c r="BT29" s="112"/>
      <c r="BU29" s="111"/>
      <c r="BV29" s="112" t="str">
        <f t="shared" si="5"/>
        <v>x</v>
      </c>
      <c r="BW29" s="112"/>
      <c r="BX29" s="112"/>
      <c r="BY29" s="112"/>
      <c r="BZ29" s="112"/>
      <c r="CA29" s="112" t="str">
        <f t="shared" si="6"/>
        <v>x</v>
      </c>
      <c r="CB29" s="112" t="str">
        <f t="shared" si="7"/>
        <v>x</v>
      </c>
      <c r="CC29" s="112" t="str">
        <f t="shared" si="8"/>
        <v>x</v>
      </c>
      <c r="CD29" s="112"/>
      <c r="CE29" s="112"/>
      <c r="CF29" s="111"/>
      <c r="CG29" s="111"/>
      <c r="CH29" s="111"/>
      <c r="CI29" s="111"/>
      <c r="CJ29" s="111"/>
      <c r="CK29" s="112" t="str">
        <f t="shared" si="9"/>
        <v>x</v>
      </c>
      <c r="CL29" s="112"/>
      <c r="CM29" s="112"/>
      <c r="CN29" s="112"/>
      <c r="CO29" s="112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2"/>
      <c r="DA29" s="112" t="str">
        <f>HYPERLINK("http://sichere-orte-schaffen.de/wp-content/uploads/Minibrosch_Fluechtlinge_multilang.pdf","x")</f>
        <v>x</v>
      </c>
      <c r="DB29" s="112"/>
      <c r="DC29" s="115"/>
      <c r="DD29" s="112"/>
      <c r="DE29" s="112"/>
      <c r="DF29" s="112" t="str">
        <f t="shared" si="10"/>
        <v>x</v>
      </c>
      <c r="DG29" s="115" t="str">
        <f t="shared" si="11"/>
        <v>x</v>
      </c>
      <c r="DH29" s="112" t="str">
        <f t="shared" si="12"/>
        <v>x</v>
      </c>
      <c r="DI29" s="112" t="str">
        <f t="shared" si="13"/>
        <v>x</v>
      </c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2"/>
      <c r="DV29" s="111"/>
      <c r="DW29" s="111"/>
      <c r="DX29" s="111"/>
      <c r="DY29" s="111"/>
      <c r="DZ29" s="111"/>
      <c r="EA29" s="111"/>
      <c r="EB29" s="112"/>
      <c r="EC29" s="111"/>
      <c r="ED29" s="111"/>
      <c r="EE29" s="111"/>
      <c r="EF29" s="111"/>
      <c r="EG29" s="111"/>
      <c r="EH29" s="111"/>
      <c r="EI29" s="111"/>
      <c r="EJ29" s="112"/>
      <c r="EK29" s="112"/>
      <c r="EL29" s="111"/>
      <c r="EM29" s="111"/>
      <c r="EN29" s="111"/>
      <c r="EO29" s="111"/>
      <c r="EP29" s="117" t="str">
        <f t="shared" si="19"/>
        <v>x</v>
      </c>
      <c r="EQ29" s="117" t="str">
        <f>HYPERLINK("http://www.medi-bild.de/pdf/anamnese/tipdoc_Anamnese_amh.pdf","x")</f>
        <v>x</v>
      </c>
      <c r="ER29" s="111"/>
      <c r="ES29" s="111"/>
      <c r="ET29" s="111"/>
      <c r="EU29" s="111"/>
      <c r="EV29" s="111"/>
      <c r="EW29" s="112" t="str">
        <f t="shared" si="14"/>
        <v>x</v>
      </c>
      <c r="EX29" s="111"/>
      <c r="EY29" s="111"/>
      <c r="EZ29" s="111"/>
      <c r="FA29" s="111"/>
      <c r="FB29" s="111"/>
      <c r="FC29" s="111"/>
      <c r="FD29" s="112" t="str">
        <f t="shared" si="15"/>
        <v>x</v>
      </c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2" t="str">
        <f t="shared" si="16"/>
        <v>x</v>
      </c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2" t="str">
        <f t="shared" si="17"/>
        <v>x</v>
      </c>
      <c r="HZ29" s="112" t="str">
        <f t="shared" si="18"/>
        <v>x</v>
      </c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2"/>
      <c r="IL29" s="112" t="str">
        <f>HYPERLINK("http://www.bamf.de/SharedDocs/Anlagen/DE/Publikationen/Flyer/flyer-erstorientierung-asylsuchende_amharisch.pdf?__blob=publicationFile","x")</f>
        <v>x</v>
      </c>
      <c r="IM29" s="111"/>
      <c r="IN29" s="111"/>
      <c r="IO29" s="111"/>
      <c r="IP29" s="111"/>
      <c r="IQ29" s="112"/>
      <c r="IR29" s="112"/>
      <c r="IS29" s="111"/>
      <c r="IT29" s="111"/>
      <c r="IU29" s="111"/>
      <c r="IV29" s="112" t="str">
        <f>HYPERLINK("http://www.asyl.net/fileadmin/user_upload/infoblatt_anhoerung/Infoblatt_2015_amh_fin.pdf","x")</f>
        <v>x</v>
      </c>
      <c r="IW29" s="112"/>
      <c r="IX29" s="112"/>
      <c r="IY29" s="112" t="str">
        <f>HYPERLINK("http://www.bamf.de/SharedDocs/Anlagen/DE/Publikationen/Broschueren/broschuere-eat-a4-am-amharisch.pdf?__blob=publicationFile","x")</f>
        <v>x</v>
      </c>
      <c r="IZ29" s="111"/>
      <c r="JA29" s="111"/>
      <c r="JB29" s="111"/>
      <c r="JC29" s="112"/>
      <c r="JD29" s="111"/>
      <c r="JE29" s="112"/>
      <c r="JF29" s="112"/>
      <c r="JG29" s="111"/>
      <c r="JH29" s="111"/>
      <c r="JI29" s="111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1"/>
      <c r="JU29" s="111"/>
      <c r="JV29" s="111"/>
      <c r="JW29" s="112"/>
      <c r="JX29" s="112"/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11"/>
      <c r="KL29" s="111"/>
      <c r="KM29" s="111"/>
      <c r="KN29" s="111"/>
      <c r="KO29" s="111"/>
      <c r="KP29" s="111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11"/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1"/>
      <c r="LT29" s="111"/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11"/>
      <c r="MH29" s="111"/>
      <c r="MI29" s="111"/>
    </row>
    <row r="30" spans="1:347" x14ac:dyDescent="0.25">
      <c r="A30" s="102" t="s">
        <v>48</v>
      </c>
      <c r="B30" s="127" t="s">
        <v>39</v>
      </c>
      <c r="C30" s="102"/>
      <c r="D30" s="102"/>
      <c r="E30" s="102"/>
      <c r="F30" s="102"/>
      <c r="G30" s="102"/>
      <c r="H30" s="102"/>
      <c r="I30" s="102"/>
      <c r="J30" s="102"/>
      <c r="K30" s="103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3"/>
      <c r="AW30" s="114" t="str">
        <f t="shared" si="0"/>
        <v>x</v>
      </c>
      <c r="AX30" s="114" t="str">
        <f t="shared" si="1"/>
        <v>x</v>
      </c>
      <c r="AY30" s="111"/>
      <c r="AZ30" s="111"/>
      <c r="BA30" s="112" t="str">
        <f t="shared" si="2"/>
        <v>x</v>
      </c>
      <c r="BB30" s="112" t="str">
        <f t="shared" si="3"/>
        <v>x</v>
      </c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2" t="str">
        <f t="shared" si="4"/>
        <v>x</v>
      </c>
      <c r="BT30" s="112"/>
      <c r="BU30" s="111"/>
      <c r="BV30" s="112" t="str">
        <f t="shared" si="5"/>
        <v>x</v>
      </c>
      <c r="BW30" s="112" t="str">
        <f>HYPERLINK("http://www.welcomegrooves.de/wp-content/uploads/2015/10/welcomegrooves_DE-SOMALI.pdf","x")</f>
        <v>x</v>
      </c>
      <c r="BX30" s="112"/>
      <c r="BY30" s="112"/>
      <c r="BZ30" s="112"/>
      <c r="CA30" s="112" t="str">
        <f t="shared" si="6"/>
        <v>x</v>
      </c>
      <c r="CB30" s="112" t="str">
        <f t="shared" si="7"/>
        <v>x</v>
      </c>
      <c r="CC30" s="112" t="str">
        <f t="shared" si="8"/>
        <v>x</v>
      </c>
      <c r="CD30" s="112"/>
      <c r="CE30" s="112"/>
      <c r="CF30" s="111"/>
      <c r="CG30" s="111"/>
      <c r="CH30" s="111"/>
      <c r="CI30" s="111"/>
      <c r="CJ30" s="111"/>
      <c r="CK30" s="112" t="str">
        <f t="shared" si="9"/>
        <v>x</v>
      </c>
      <c r="CL30" s="112"/>
      <c r="CM30" s="112"/>
      <c r="CN30" s="112"/>
      <c r="CO30" s="112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2"/>
      <c r="DA30" s="112" t="str">
        <f>HYPERLINK("http://sichere-orte-schaffen.de/wp-content/uploads/Minibrosch_Fluechtlinge_multilang.pdf","x")</f>
        <v>x</v>
      </c>
      <c r="DB30" s="112"/>
      <c r="DC30" s="115"/>
      <c r="DD30" s="112"/>
      <c r="DE30" s="112"/>
      <c r="DF30" s="112" t="str">
        <f t="shared" si="10"/>
        <v>x</v>
      </c>
      <c r="DG30" s="115" t="str">
        <f t="shared" si="11"/>
        <v>x</v>
      </c>
      <c r="DH30" s="112" t="str">
        <f t="shared" si="12"/>
        <v>x</v>
      </c>
      <c r="DI30" s="112" t="str">
        <f t="shared" si="13"/>
        <v>x</v>
      </c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8"/>
      <c r="EQ30" s="118"/>
      <c r="ER30" s="111"/>
      <c r="ES30" s="111"/>
      <c r="ET30" s="111"/>
      <c r="EU30" s="111"/>
      <c r="EV30" s="111"/>
      <c r="EW30" s="112" t="str">
        <f t="shared" si="14"/>
        <v>x</v>
      </c>
      <c r="EX30" s="111"/>
      <c r="EY30" s="111"/>
      <c r="EZ30" s="111"/>
      <c r="FA30" s="111"/>
      <c r="FB30" s="111"/>
      <c r="FC30" s="111"/>
      <c r="FD30" s="112" t="str">
        <f t="shared" si="15"/>
        <v>x</v>
      </c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2" t="str">
        <f t="shared" si="16"/>
        <v>x</v>
      </c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2" t="str">
        <f t="shared" si="17"/>
        <v>x</v>
      </c>
      <c r="HZ30" s="112" t="str">
        <f t="shared" si="18"/>
        <v>x</v>
      </c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2" t="str">
        <f>HYPERLINK("http://www.bamf.de/SharedDocs/Anlagen/DE/Publikationen/Flyer/flyer-erstorientierung-asylsuchende_somali.pdf?__blob=publicationFile","x")</f>
        <v>x</v>
      </c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1"/>
      <c r="IZ30" s="111"/>
      <c r="JA30" s="112" t="str">
        <f>HYPERLINK("http://fluechtlingsrat-bw.de/informationen-fuer-fluechtlinge.html","x")</f>
        <v>x</v>
      </c>
      <c r="JB30" s="111"/>
      <c r="JC30" s="111"/>
      <c r="JD30" s="111"/>
      <c r="JE30" s="111"/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11"/>
      <c r="JR30" s="111"/>
      <c r="JS30" s="111"/>
      <c r="JT30" s="112" t="str">
        <f>HYPERLINK("http://www.b-umf.de/images/willkommen/wkb-soomali.pdf","x")</f>
        <v>x</v>
      </c>
      <c r="JU30" s="111"/>
      <c r="JV30" s="111"/>
      <c r="JW30" s="111"/>
      <c r="JX30" s="111"/>
      <c r="JY30" s="111"/>
      <c r="JZ30" s="111"/>
      <c r="KA30" s="111"/>
      <c r="KB30" s="111"/>
      <c r="KC30" s="111"/>
      <c r="KD30" s="111"/>
      <c r="KE30" s="111"/>
      <c r="KF30" s="112"/>
      <c r="KG30" s="111"/>
      <c r="KH30" s="111"/>
      <c r="KI30" s="111"/>
      <c r="KJ30" s="111"/>
      <c r="KK30" s="111"/>
      <c r="KL30" s="111"/>
      <c r="KM30" s="111"/>
      <c r="KN30" s="111"/>
      <c r="KO30" s="111"/>
      <c r="KP30" s="111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11"/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1"/>
      <c r="LT30" s="111"/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11"/>
      <c r="MH30" s="111"/>
      <c r="MI30" s="111"/>
    </row>
    <row r="31" spans="1:347" x14ac:dyDescent="0.25">
      <c r="A31" s="102" t="s">
        <v>48</v>
      </c>
      <c r="B31" s="127" t="s">
        <v>10</v>
      </c>
      <c r="C31" s="102"/>
      <c r="D31" s="102"/>
      <c r="E31" s="102"/>
      <c r="F31" s="102"/>
      <c r="G31" s="102"/>
      <c r="H31" s="102"/>
      <c r="I31" s="102"/>
      <c r="J31" s="102"/>
      <c r="K31" s="103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2" t="str">
        <f>HYPERLINK("http://sghanstedt.elbnetz.com/ueber-uns/","x")</f>
        <v>x</v>
      </c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3"/>
      <c r="AW31" s="114" t="str">
        <f t="shared" si="0"/>
        <v>x</v>
      </c>
      <c r="AX31" s="114" t="str">
        <f t="shared" si="1"/>
        <v>x</v>
      </c>
      <c r="AY31" s="111"/>
      <c r="AZ31" s="111"/>
      <c r="BA31" s="112" t="str">
        <f t="shared" si="2"/>
        <v>x</v>
      </c>
      <c r="BB31" s="112" t="str">
        <f t="shared" si="3"/>
        <v>x</v>
      </c>
      <c r="BC31" s="111"/>
      <c r="BD31" s="111"/>
      <c r="BE31" s="111"/>
      <c r="BF31" s="111"/>
      <c r="BG31" s="111"/>
      <c r="BH31" s="111"/>
      <c r="BI31" s="112" t="str">
        <f>HYPERLINK("https://www.advanced-online.eu/downloads/RefugeePhrasebookCards_German-Tigrinya.pdf","x")</f>
        <v>x</v>
      </c>
      <c r="BJ31" s="111"/>
      <c r="BK31" s="111"/>
      <c r="BL31" s="111"/>
      <c r="BM31" s="111"/>
      <c r="BN31" s="111"/>
      <c r="BO31" s="111"/>
      <c r="BP31" s="111"/>
      <c r="BQ31" s="111"/>
      <c r="BR31" s="111"/>
      <c r="BS31" s="112" t="str">
        <f t="shared" si="4"/>
        <v>x</v>
      </c>
      <c r="BT31" s="112"/>
      <c r="BU31" s="112" t="str">
        <f>HYPERLINK("http://www.memhr.org/dic/ebook/tigr-germ.pdf","x")</f>
        <v>x</v>
      </c>
      <c r="BV31" s="112" t="str">
        <f t="shared" si="5"/>
        <v>x</v>
      </c>
      <c r="BW31" s="112" t="str">
        <f>HYPERLINK("http://www.welcomegrooves.de/wp-content/uploads/2015/10/welcomegrooves_DE-TIGRINYA.pdf","x")</f>
        <v>x</v>
      </c>
      <c r="BX31" s="112"/>
      <c r="BY31" s="112" t="str">
        <f>HYPERLINK("http://www.tigrigna-german.ch/","x")</f>
        <v>x</v>
      </c>
      <c r="BZ31" s="112"/>
      <c r="CA31" s="112" t="str">
        <f t="shared" si="6"/>
        <v>x</v>
      </c>
      <c r="CB31" s="112" t="str">
        <f t="shared" si="7"/>
        <v>x</v>
      </c>
      <c r="CC31" s="112" t="str">
        <f t="shared" si="8"/>
        <v>x</v>
      </c>
      <c r="CD31" s="112"/>
      <c r="CE31" s="112"/>
      <c r="CF31" s="111"/>
      <c r="CG31" s="111"/>
      <c r="CH31" s="111"/>
      <c r="CI31" s="111"/>
      <c r="CJ31" s="111"/>
      <c r="CK31" s="112" t="str">
        <f t="shared" si="9"/>
        <v>x</v>
      </c>
      <c r="CL31" s="112"/>
      <c r="CM31" s="112"/>
      <c r="CN31" s="112"/>
      <c r="CO31" s="112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2"/>
      <c r="DA31" s="112"/>
      <c r="DB31" s="112"/>
      <c r="DC31" s="115"/>
      <c r="DD31" s="112"/>
      <c r="DE31" s="112"/>
      <c r="DF31" s="112" t="str">
        <f t="shared" si="10"/>
        <v>x</v>
      </c>
      <c r="DG31" s="115" t="str">
        <f t="shared" si="11"/>
        <v>x</v>
      </c>
      <c r="DH31" s="112" t="str">
        <f t="shared" si="12"/>
        <v>x</v>
      </c>
      <c r="DI31" s="112" t="str">
        <f t="shared" si="13"/>
        <v>x</v>
      </c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2" t="str">
        <f>HYPERLINK("http://www.kvs-sachsen.de/fileadmin/img/Mitglieder/Asylbewerber/Allg-Informationen/Anlage_1_Anlage_2-1_2-2_Tigrinia_LEK.PDF","x")</f>
        <v>x</v>
      </c>
      <c r="EN31" s="111"/>
      <c r="EO31" s="111"/>
      <c r="EP31" s="117" t="str">
        <f>HYPERLINK("http://www.medi-bild.de/pdf/anamnese/Welche_Sprache.pdf","x")</f>
        <v>x</v>
      </c>
      <c r="EQ31" s="118"/>
      <c r="ER31" s="112" t="str">
        <f>HYPERLINK("http://www.kvs-sachsen.de/fileadmin/img/Mitglieder/Asylbewerber/Allg-Informationen/Anlage_1_Anlage_2-1_2-2_Tigrinia_LEK.PDF","x")</f>
        <v>x</v>
      </c>
      <c r="ES31" s="111"/>
      <c r="ET31" s="111"/>
      <c r="EU31" s="111"/>
      <c r="EV31" s="111"/>
      <c r="EW31" s="112" t="str">
        <f t="shared" si="14"/>
        <v>x</v>
      </c>
      <c r="EX31" s="111"/>
      <c r="EY31" s="111"/>
      <c r="EZ31" s="111"/>
      <c r="FA31" s="111"/>
      <c r="FB31" s="111"/>
      <c r="FC31" s="111"/>
      <c r="FD31" s="112" t="str">
        <f t="shared" si="15"/>
        <v>x</v>
      </c>
      <c r="FE31" s="111"/>
      <c r="FF31" s="111"/>
      <c r="FG31" s="112" t="str">
        <f>HYPERLINK("http://www.tipdoc.de/grafik/asyl/Gesundheitsheft_Asyl.pdf","x")</f>
        <v>x</v>
      </c>
      <c r="FH31" s="111"/>
      <c r="FI31" s="111"/>
      <c r="FJ31" s="112"/>
      <c r="FK31" s="112" t="str">
        <f>HYPERLINK("http://www.rki.de/DE/Content/Infekt/Impfen/Materialien/Downloads-Impfkalender/Impfkalender_Tigrinya.pdf?__blob=publicationFile","x")</f>
        <v>x</v>
      </c>
      <c r="FL31" s="111"/>
      <c r="FM31" s="111"/>
      <c r="FN31" s="111"/>
      <c r="FO31" s="111"/>
      <c r="FP31" s="112" t="str">
        <f>HYPERLINK("http://www.rki.de/DE/Content/Infekt/Impfen/Materialien/Downloads-MMR/MMR-Impfinfo-tigrinya.pdf?__blob=publicationFile","x")</f>
        <v>x</v>
      </c>
      <c r="FQ31" s="111"/>
      <c r="FR31" s="112" t="str">
        <f>HYPERLINK("http://www.rki.de/DE/Content/Infekt/Impfen/Materialien/Downloads_HepA/Aufklaerung_HAV-Impfung_Tigrinya.pdf?__blob=publicationFile","x")</f>
        <v>x</v>
      </c>
      <c r="FS31" s="112" t="str">
        <f>HYPERLINK("http://www.rki.de/DE/Content/Infekt/Impfen/Materialien/Downloads_Pneumokokken/Aufklaerung_Pneumo-Impfung_Tigrinya.pdf?__blob=publicationFile","x")</f>
        <v>x</v>
      </c>
      <c r="FT31" s="112" t="str">
        <f>HYPERLINK("http://www.rki.de/DE/Content/Infekt/Impfen/Materialien/Downloads-DTaPIPVHibHepB/DTaPIPVHibHepB_tigrinya.pdf?__blob=publicationFile","x")</f>
        <v>x</v>
      </c>
      <c r="FU31" s="112" t="str">
        <f>HYPERLINK("http://www.rki.de/DE/Content/Infekt/Impfen/Materialien/Downloads-Varizellen/Varizellen-Impfinfo-tigrinya.pdf;jsessionid=65B697F4EE7EDA8A1ED9E2C4CD6C74EC.2_cid363?__blob=publicationFile","x")</f>
        <v>x</v>
      </c>
      <c r="FV31" s="112" t="str">
        <f>HYPERLINK("http://www.rki.de/DE/Content/Infekt/Impfen/Materialien/Downloads-Tdap-IPV/Tdap-IPV-tigrinya.pdf?__blob=publicationFile","x")</f>
        <v>x</v>
      </c>
      <c r="FW31" s="112" t="str">
        <f>HYPERLINK("http://www.rki.de/DE/Content/Infekt/Impfen/Materialien/Downloads-Influenza_nasal/Influenza_nasal-tigrinya.pdf?__blob=publicationFile","x")</f>
        <v>x</v>
      </c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2" t="str">
        <f>HYPERLINK("http://www.rki.de/DE/Content/Infekt/Impfen/Materialien/Downloads-Influenza/Influenza-tigrinya.pdf?__blob=publicationFile","x")</f>
        <v>x</v>
      </c>
      <c r="GN31" s="111"/>
      <c r="GO31" s="111"/>
      <c r="GP31" s="112" t="str">
        <f>HYPERLINK("http://www.tipdoc.de/bus/pdf/kopflaeuse2/Kopflaeuse_TIGR.pdf","x")</f>
        <v>x</v>
      </c>
      <c r="GQ31" s="112"/>
      <c r="GR31" s="112" t="str">
        <f>HYPERLINK("http://www.tipdoc.com/bus/pdf/kraetze/tipdoc_Scabies_TIGR.pdf","x")</f>
        <v>x</v>
      </c>
      <c r="GS31" s="112" t="str">
        <f>HYPERLINK("http://www.tipdoc.com/bus/pdf/MagenDarmHaende/MagenDarmHaende_TIGRINYA.pdf","x")</f>
        <v>x</v>
      </c>
      <c r="GT31" s="111"/>
      <c r="GU31" s="111"/>
      <c r="GV31" s="111"/>
      <c r="GW31" s="111"/>
      <c r="GX31" s="111"/>
      <c r="GY31" s="111"/>
      <c r="GZ31" s="111"/>
      <c r="HA31" s="111"/>
      <c r="HB31" s="111"/>
      <c r="HC31" s="112" t="str">
        <f t="shared" si="16"/>
        <v>x</v>
      </c>
      <c r="HD31" s="111"/>
      <c r="HE31" s="111"/>
      <c r="HF31" s="111"/>
      <c r="HG31" s="111"/>
      <c r="HH31" s="111"/>
      <c r="HI31" s="111"/>
      <c r="HJ31" s="111"/>
      <c r="HK31" s="112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2" t="str">
        <f t="shared" si="17"/>
        <v>x</v>
      </c>
      <c r="HZ31" s="112" t="str">
        <f t="shared" si="18"/>
        <v>x</v>
      </c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2" t="str">
        <f>HYPERLINK("http://www.bamf.de/SharedDocs/Anlagen/DE/Publikationen/Flyer/flyer-erstorientierung-asylsuchende_tigrinya.pdf?__blob=publicationFile","x")</f>
        <v>x</v>
      </c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2" t="str">
        <f>HYPERLINK("http://www.bamf.de/SharedDocs/Anlagen/DE/Publikationen/Broschueren/broschuere-eat-a4-ti-tigrinya.pdf?__blob=publicationFile","x")</f>
        <v>x</v>
      </c>
      <c r="IZ31" s="111"/>
      <c r="JA31" s="111"/>
      <c r="JB31" s="111"/>
      <c r="JC31" s="111"/>
      <c r="JD31" s="111"/>
      <c r="JE31" s="111"/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11"/>
      <c r="JR31" s="111"/>
      <c r="JS31" s="111"/>
      <c r="JT31" s="111"/>
      <c r="JU31" s="111"/>
      <c r="JV31" s="111"/>
      <c r="JW31" s="111"/>
      <c r="JX31" s="111"/>
      <c r="JY31" s="112"/>
      <c r="JZ31" s="112"/>
      <c r="KA31" s="112"/>
      <c r="KB31" s="112" t="str">
        <f>HYPERLINK("http://www.refugeeguide.de/dl/RefugeeGuide_tr_1115.pdf","x")</f>
        <v>x</v>
      </c>
      <c r="KC31" s="111"/>
      <c r="KD31" s="111"/>
      <c r="KE31" s="111"/>
      <c r="KF31" s="111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1"/>
      <c r="LT31" s="111"/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11"/>
      <c r="MH31" s="111"/>
      <c r="MI31" s="111"/>
    </row>
    <row r="32" spans="1:347" x14ac:dyDescent="0.25">
      <c r="A32" s="102" t="s">
        <v>482</v>
      </c>
      <c r="B32" s="127" t="s">
        <v>481</v>
      </c>
      <c r="C32" s="102"/>
      <c r="D32" s="102"/>
      <c r="E32" s="102"/>
      <c r="F32" s="102"/>
      <c r="G32" s="102"/>
      <c r="H32" s="102"/>
      <c r="I32" s="102"/>
      <c r="J32" s="102"/>
      <c r="K32" s="103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2"/>
      <c r="AP32" s="112"/>
      <c r="AQ32" s="112"/>
      <c r="AR32" s="112"/>
      <c r="AS32" s="112"/>
      <c r="AT32" s="112"/>
      <c r="AU32" s="112"/>
      <c r="AV32" s="113"/>
      <c r="AW32" s="114" t="str">
        <f t="shared" si="0"/>
        <v>x</v>
      </c>
      <c r="AX32" s="114" t="str">
        <f t="shared" si="1"/>
        <v>x</v>
      </c>
      <c r="AY32" s="111"/>
      <c r="AZ32" s="111"/>
      <c r="BA32" s="112" t="str">
        <f t="shared" si="2"/>
        <v>x</v>
      </c>
      <c r="BB32" s="112" t="str">
        <f t="shared" si="3"/>
        <v>x</v>
      </c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2" t="str">
        <f t="shared" si="4"/>
        <v>x</v>
      </c>
      <c r="BT32" s="112"/>
      <c r="BU32" s="111"/>
      <c r="BV32" s="112" t="str">
        <f t="shared" si="5"/>
        <v>x</v>
      </c>
      <c r="BW32" s="112"/>
      <c r="BX32" s="112"/>
      <c r="BY32" s="112"/>
      <c r="BZ32" s="112"/>
      <c r="CA32" s="112" t="str">
        <f t="shared" si="6"/>
        <v>x</v>
      </c>
      <c r="CB32" s="112" t="str">
        <f t="shared" si="7"/>
        <v>x</v>
      </c>
      <c r="CC32" s="112" t="str">
        <f t="shared" si="8"/>
        <v>x</v>
      </c>
      <c r="CD32" s="112"/>
      <c r="CE32" s="112"/>
      <c r="CF32" s="111"/>
      <c r="CG32" s="111"/>
      <c r="CH32" s="111"/>
      <c r="CI32" s="111"/>
      <c r="CJ32" s="112"/>
      <c r="CK32" s="112" t="str">
        <f t="shared" si="9"/>
        <v>x</v>
      </c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5"/>
      <c r="DD32" s="112"/>
      <c r="DE32" s="112"/>
      <c r="DF32" s="112" t="str">
        <f t="shared" si="10"/>
        <v>x</v>
      </c>
      <c r="DG32" s="115" t="str">
        <f t="shared" si="11"/>
        <v>x</v>
      </c>
      <c r="DH32" s="112" t="str">
        <f t="shared" si="12"/>
        <v>x</v>
      </c>
      <c r="DI32" s="112" t="str">
        <f t="shared" si="13"/>
        <v>x</v>
      </c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2"/>
      <c r="DV32" s="111"/>
      <c r="DW32" s="111"/>
      <c r="DX32" s="111"/>
      <c r="DY32" s="111"/>
      <c r="DZ32" s="111"/>
      <c r="EA32" s="111"/>
      <c r="EB32" s="112"/>
      <c r="EC32" s="112"/>
      <c r="ED32" s="111"/>
      <c r="EE32" s="111"/>
      <c r="EF32" s="111"/>
      <c r="EG32" s="111"/>
      <c r="EH32" s="111"/>
      <c r="EI32" s="111"/>
      <c r="EJ32" s="112"/>
      <c r="EK32" s="112"/>
      <c r="EL32" s="111"/>
      <c r="EM32" s="112" t="str">
        <f>HYPERLINK("http://www.kvs-sachsen.de/fileadmin/img/Mitglieder/Asylbewerber/Allg-Informationen/Anlage_1_Sorani_LEK.pdf","x")</f>
        <v>x</v>
      </c>
      <c r="EN32" s="112"/>
      <c r="EO32" s="111"/>
      <c r="EP32" s="117"/>
      <c r="EQ32" s="118"/>
      <c r="ER32" s="112" t="str">
        <f>HYPERLINK("http://www.kvs-sachsen.de/fileadmin/img/Mitglieder/Asylbewerber/Allg-Informationen/Anlagen_2-1_2-2_Sorani_LEK.pdf","x")</f>
        <v>x</v>
      </c>
      <c r="ES32" s="111"/>
      <c r="ET32" s="111"/>
      <c r="EU32" s="111"/>
      <c r="EV32" s="111"/>
      <c r="EW32" s="112" t="str">
        <f t="shared" si="14"/>
        <v>x</v>
      </c>
      <c r="EX32" s="111"/>
      <c r="EY32" s="111"/>
      <c r="EZ32" s="111"/>
      <c r="FA32" s="111"/>
      <c r="FB32" s="111"/>
      <c r="FC32" s="111"/>
      <c r="FD32" s="112" t="str">
        <f t="shared" si="15"/>
        <v>x</v>
      </c>
      <c r="FE32" s="112"/>
      <c r="FF32" s="111"/>
      <c r="FG32" s="111"/>
      <c r="FH32" s="111"/>
      <c r="FI32" s="111"/>
      <c r="FJ32" s="112"/>
      <c r="FK32" s="112"/>
      <c r="FL32" s="111"/>
      <c r="FM32" s="111"/>
      <c r="FN32" s="112"/>
      <c r="FO32" s="112"/>
      <c r="FP32" s="112"/>
      <c r="FQ32" s="111"/>
      <c r="FR32" s="112"/>
      <c r="FS32" s="112"/>
      <c r="FT32" s="112"/>
      <c r="FU32" s="112"/>
      <c r="FV32" s="112"/>
      <c r="FW32" s="112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2"/>
      <c r="GI32" s="111"/>
      <c r="GJ32" s="111"/>
      <c r="GK32" s="111"/>
      <c r="GL32" s="111"/>
      <c r="GM32" s="112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2" t="str">
        <f t="shared" si="16"/>
        <v>x</v>
      </c>
      <c r="HD32" s="112" t="str">
        <f>HYPERLINK("https://www.zahnaerzte-wl.de/images/_PDF-suche/KZV_ZÄK/ENDSTAND_Ankreuzbogen_Ich_verstehe.pdf","x")</f>
        <v>x</v>
      </c>
      <c r="HE32" s="112" t="str">
        <f>HYPERLINK("https://www.zahnaerzte-wl.de/images/_PDF-suche/KZV_ZÄK/Anschreiben_Patienten_kurdisch_sorani.pdf","x")</f>
        <v>x</v>
      </c>
      <c r="HF32" s="112" t="str">
        <f>HYPERLINK("https://www.zahnaerzte-wl.de/images/_PDF-suche/KZV_ZÄK/Fragebogen_Kurdisch-Sorani.pdf","x")</f>
        <v>x</v>
      </c>
      <c r="HG32" s="112" t="str">
        <f>HYPERLINK("https://www.zahnaerzte-wl.de/images/_PDF-suche/KZV_ZÄK/Patientenerhebungsbogen_Kurdisch-Sorani.pdf","x")</f>
        <v>x</v>
      </c>
      <c r="HH32" s="111"/>
      <c r="HI32" s="111"/>
      <c r="HJ32" s="111"/>
      <c r="HK32" s="112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2" t="str">
        <f t="shared" si="17"/>
        <v>x</v>
      </c>
      <c r="HZ32" s="112" t="str">
        <f t="shared" si="18"/>
        <v>x</v>
      </c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2"/>
      <c r="IL32" s="111"/>
      <c r="IM32" s="111"/>
      <c r="IN32" s="111"/>
      <c r="IO32" s="111"/>
      <c r="IP32" s="111"/>
      <c r="IQ32" s="112"/>
      <c r="IR32" s="112"/>
      <c r="IS32" s="111"/>
      <c r="IT32" s="111"/>
      <c r="IU32" s="111"/>
      <c r="IV32" s="112"/>
      <c r="IW32" s="112"/>
      <c r="IX32" s="112"/>
      <c r="IY32" s="112"/>
      <c r="IZ32" s="111"/>
      <c r="JA32" s="111"/>
      <c r="JB32" s="111"/>
      <c r="JC32" s="112"/>
      <c r="JD32" s="111"/>
      <c r="JE32" s="112"/>
      <c r="JF32" s="112"/>
      <c r="JG32" s="112"/>
      <c r="JH32" s="112"/>
      <c r="JI32" s="111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1"/>
      <c r="JV32" s="111"/>
      <c r="JW32" s="112"/>
      <c r="JX32" s="112"/>
      <c r="JY32" s="111"/>
      <c r="JZ32" s="111"/>
      <c r="KA32" s="111"/>
      <c r="KB32" s="111"/>
      <c r="KC32" s="111"/>
      <c r="KD32" s="111"/>
      <c r="KE32" s="111"/>
      <c r="KF32" s="112"/>
      <c r="KG32" s="111"/>
      <c r="KH32" s="111"/>
      <c r="KI32" s="111"/>
      <c r="KJ32" s="111"/>
      <c r="KK32" s="111"/>
      <c r="KL32" s="111"/>
      <c r="KM32" s="111"/>
      <c r="KN32" s="111"/>
      <c r="KO32" s="111"/>
      <c r="KP32" s="111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11"/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1"/>
      <c r="LT32" s="111"/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11"/>
      <c r="MH32" s="111"/>
      <c r="MI32" s="111"/>
    </row>
    <row r="33" spans="1:347" x14ac:dyDescent="0.25">
      <c r="A33" s="102" t="s">
        <v>50</v>
      </c>
      <c r="B33" s="127" t="s">
        <v>1</v>
      </c>
      <c r="C33" s="102"/>
      <c r="D33" s="102"/>
      <c r="E33" s="102"/>
      <c r="F33" s="102"/>
      <c r="G33" s="102"/>
      <c r="H33" s="102"/>
      <c r="I33" s="102"/>
      <c r="J33" s="102"/>
      <c r="K33" s="103"/>
      <c r="L33" s="112" t="str">
        <f>HYPERLINK("http://sghanstedt.elbnetz.com/ueber-uns/","x")</f>
        <v>x</v>
      </c>
      <c r="M33" s="111"/>
      <c r="N33" s="112" t="str">
        <f>HYPERLINK("http://www.ag-fluechtlingshilfe-wetterau.de/uploads/infos/170.pdf","x")</f>
        <v>x</v>
      </c>
      <c r="O33" s="112" t="str">
        <f>HYPERLINK("http://www.ag-fluechtlingshilfe-wetterau.de/uploads/infos/220.pdf","x")</f>
        <v>x</v>
      </c>
      <c r="P33" s="112" t="str">
        <f>HYPERLINK("http://www.awb-ahrweiler.de/admin/data/ddownload/Abfall%20Sonderhinweise-Arabisch%202015.pdf","x")</f>
        <v>x</v>
      </c>
      <c r="Q33" s="112" t="str">
        <f>HYPERLINK("http://www.ag-fluechtlingshilfe-wetterau.de/uploads/infos/221.pdf","x")</f>
        <v>x</v>
      </c>
      <c r="R33" s="112" t="str">
        <f>HYPERLINK("http://www.konto.org/download/merkblatt-basiskonto-asylbewerber-arabisch.pdf","x")</f>
        <v>x</v>
      </c>
      <c r="S33" s="112"/>
      <c r="T33" s="112" t="str">
        <f>HYPERLINK("https://antworten.sparkasse.de/wp-content/uploads/2015/10/Arabisch.pdf","x")</f>
        <v>x</v>
      </c>
      <c r="U33" s="112" t="str">
        <f>HYPERLINK("http://www.ag-fluechtlingshilfe-wetterau.de/uploads/infos/191.pdf","x")</f>
        <v>x</v>
      </c>
      <c r="V33" s="112"/>
      <c r="W33" s="112"/>
      <c r="X3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3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33" s="112"/>
      <c r="AA33" s="112"/>
      <c r="AB33" s="112"/>
      <c r="AC33" s="112"/>
      <c r="AD33" s="112" t="str">
        <f>HYPERLINK("http://www.rundfunkbeitrag.de/e175/e1629/Informationsflyer_Buergerinnen_und_Buerger_arabisch.pdf","x")</f>
        <v>x</v>
      </c>
      <c r="AE33" s="112"/>
      <c r="AF33" s="112" t="str">
        <f>HYPERLINK("http://www.kub-berlin.org/formularprojekt/de/arabisch-antraege-und-anlagen/","x")</f>
        <v>x</v>
      </c>
      <c r="AG33" s="112" t="str">
        <f>HYPERLINK("http://asyl-in-moenchengladbach.de/wp-content/uploads/2015/11/100711-Flyer_arab.pdf","x")</f>
        <v>x</v>
      </c>
      <c r="AH33" s="111"/>
      <c r="AI33" s="112" t="str">
        <f>HYPERLINK("https://www.adac.de/sp/stiftung/_mmm/pdf/SGE_FOL_Verkehrssicherheit_Fl%C3%BCchtlinge_A3_01_16_Internet_250277.pdf","x")</f>
        <v>x</v>
      </c>
      <c r="AJ33" s="112" t="str">
        <f>HYPERLINK("http://www.stadt-koeln.de/mediaasset/content/العربية_kvb_kinderleicht_und_spielend_einfach__arabisch_.pdf","x")</f>
        <v>x</v>
      </c>
      <c r="AK33" s="112" t="str">
        <f>HYPERLINK("https://www.vrsinfo.de/fileadmin/Dateien/downloadcenter/Folder_MobilPassTicket_Refugees01012016.pdf","x")</f>
        <v>x</v>
      </c>
      <c r="AL33" s="112" t="str">
        <f>HYPERLINK("https://www.vrsinfo.de/fileadmin/Dateien/downloadcenter/Willkommen_im_VRS2016_Druck.pdf","x")</f>
        <v>x</v>
      </c>
      <c r="AM33" s="112"/>
      <c r="AN33" s="112" t="str">
        <f>HYPERLINK("https://www.deutschebahn.com/file/de/2191748/eYdgZpqGpp5sMJ2KMKtg2r8aE4Q/10123812/data/infos_fuer_fluechtlinge.pdf","x")</f>
        <v>x</v>
      </c>
      <c r="AO33" s="112"/>
      <c r="AP33" s="112"/>
      <c r="AQ33" s="112"/>
      <c r="AR33" s="112"/>
      <c r="AS33" s="112"/>
      <c r="AT33" s="112" t="str">
        <f>HYPERLINK("http://www.koelnerkarneval.de/fileadmin/content/images/news/Festkomitee_Flyer_DE_AR.pdf","x")</f>
        <v>x</v>
      </c>
      <c r="AU33" s="112"/>
      <c r="AV33" s="114" t="str">
        <f>HYPERLINK("http://www.studentenwerke.de/de/content/illustriertes-wohnheimw%C3%B6rterbuch-1","x")</f>
        <v>x</v>
      </c>
      <c r="AW33" s="114" t="str">
        <f t="shared" si="0"/>
        <v>x</v>
      </c>
      <c r="AX33" s="114" t="str">
        <f t="shared" si="1"/>
        <v>x</v>
      </c>
      <c r="AY33" s="112" t="str">
        <f>HYPERLINK("http://fi-lohmar-siegburg.de/data/documents/Findefix_arabisch-Bildwoerterbuch.pdf","x")</f>
        <v>x</v>
      </c>
      <c r="AZ33" s="111"/>
      <c r="BA33" s="112" t="str">
        <f t="shared" si="2"/>
        <v>x</v>
      </c>
      <c r="BB33" s="112" t="str">
        <f t="shared" si="3"/>
        <v>x</v>
      </c>
      <c r="BC33" s="112"/>
      <c r="BD33" s="112" t="str">
        <f>HYPERLINK("http://www.rehavista.de/?at=Mat_Boardmaker&amp;d=1&amp;dtype=mat&amp;id=1014","x")</f>
        <v>x</v>
      </c>
      <c r="BE33" s="112" t="str">
        <f>HYPERLINK("http://fi-lohmar-siegburg.de/data/documents/communicationboard-arabic-english.pdf","x")</f>
        <v>x</v>
      </c>
      <c r="BF33" s="112" t="str">
        <f>HYPERLINK("http://fi-lohmar-siegburg.de/data/documents/communicationboard-arabic-french.pdf","x")</f>
        <v>x</v>
      </c>
      <c r="BG33" s="111"/>
      <c r="BH33" s="112" t="str">
        <f>HYPERLINK("http://www.refugeephrasebook.de/pdf/germany150920.pdf","x")</f>
        <v>x</v>
      </c>
      <c r="BI33" s="112" t="str">
        <f>HYPERLINK("https://www.advanced-online.eu/downloads/RefugeePhrasebookCards_German-Arabic.pdf","x")</f>
        <v>x</v>
      </c>
      <c r="BJ33" s="112" t="str">
        <f>HYPERLINK("http://www.klett-sprachen.de/download/8638/W100255_Refugees_Welcome_Wortschatz.pdf","x")</f>
        <v>x</v>
      </c>
      <c r="BK33" s="112" t="str">
        <f>HYPERLINK("http://www.agf-trier.de/sites/default/files/bersetzungshilfe%20allgemein%20Arab..pdf","x")</f>
        <v>x</v>
      </c>
      <c r="BL33" s="112" t="str">
        <f>HYPERLINK("http://www.bundessprachenamt.de/deutsch/wir_ueber_uns/nachrichten/2015/20151103/Verständigungshilfe_Syrisch-Arabisch_07_12_2015.pdf","x")</f>
        <v>x</v>
      </c>
      <c r="BM33" s="112" t="str">
        <f>HYPERLINK("http://www.frnrw.de/images/Aus_den_Initiativen/Ehrenamtler/2015/Dictionary_x10_print-2.pdf","x")</f>
        <v>x</v>
      </c>
      <c r="BN33" s="112" t="str">
        <f>HYPERLINK("http://www.medbox.org/toolboxes/kleines-worterbuch-little-dictionary-deutsch-englisch-arabisch/preview","x")</f>
        <v>x</v>
      </c>
      <c r="BO33" s="111"/>
      <c r="BP33" s="111"/>
      <c r="BQ33" s="112" t="str">
        <f>HYPERLINK("https://www.friedensdorf.de/documents/Woerterbuch_Arabisch.pdf","x")</f>
        <v>x</v>
      </c>
      <c r="BR33" s="111"/>
      <c r="BS33" s="112" t="str">
        <f t="shared" si="4"/>
        <v>x</v>
      </c>
      <c r="BT33" s="112" t="str">
        <f>HYPERLINK("http://de.langenscheidt.com/doc/arabisch-deutsch-sprachfuehrer.pdf","x")</f>
        <v>x</v>
      </c>
      <c r="BU33" s="111"/>
      <c r="BV33" s="112" t="str">
        <f t="shared" si="5"/>
        <v>x</v>
      </c>
      <c r="BW33" s="112" t="str">
        <f>HYPERLINK("http://www.welcomegrooves.de/wp-content/uploads/2015/10/welcomegrooves_DE-ARABISCH.pdf","x")</f>
        <v>x</v>
      </c>
      <c r="BX33" s="112"/>
      <c r="BY33" s="112"/>
      <c r="BZ33" s="112" t="str">
        <f>HYPERLINK("http://fluechtlingshilfe-nettetal.de/ausbildung/video-sprachkurse-deutsch-fuer-fluechtlinge/video-sprachkurs-syrisch-deutsch/","x")</f>
        <v>x</v>
      </c>
      <c r="CA33" s="112" t="str">
        <f t="shared" si="6"/>
        <v>x</v>
      </c>
      <c r="CB33" s="112" t="str">
        <f t="shared" si="7"/>
        <v>x</v>
      </c>
      <c r="CC33" s="112" t="str">
        <f t="shared" si="8"/>
        <v>x</v>
      </c>
      <c r="CD33" s="112"/>
      <c r="CE33" s="112"/>
      <c r="CF33" s="112" t="str">
        <f>HYPERLINK("http://www.agf-trier.de/sites/default/files/bersetzungshilfe%20%20f%C3%BCr%20Frauen%20Arab..pdf","x")</f>
        <v>x</v>
      </c>
      <c r="CG33" s="112" t="str">
        <f>HYPERLINK("http://www.braunschweig.de/leben/frauen/hilfe/Ohne-Gewalt-leben.pdf","x")</f>
        <v>x</v>
      </c>
      <c r="CH33" s="112" t="str">
        <f>HYPERLINK("http://mifkjf.rlp.de/fileadmin/mifkjf/Frauen/Gewalt_gegen_Frauen/Downloads/Broschueren_Flyer/Flyer_Gewalt_arabisch_fuer_ANSICHT.pdf","x")</f>
        <v>x</v>
      </c>
      <c r="CI33" s="112"/>
      <c r="CJ33" s="112" t="str">
        <f>HYPERLINK("https://www.hilfetelefon.de/fileadmin/hilfetelefon_de/Materialien/weitere_werbemittel/Klappflyer_Vorder-_und_Rueckseite_opt2.pdf","x")</f>
        <v>x</v>
      </c>
      <c r="CK33" s="112" t="str">
        <f t="shared" si="9"/>
        <v>x</v>
      </c>
      <c r="CL33" s="112" t="str">
        <f>HYPERLINK("http://www.frauenberatungsstelle.de/pdf/Migrantinnen-beraten-Migrantinnen.pdf","x")</f>
        <v>x</v>
      </c>
      <c r="CM33" s="112"/>
      <c r="CN33" s="112"/>
      <c r="CO33" s="112"/>
      <c r="CP33" s="112" t="str">
        <f>HYPERLINK("http://www.schwanger-und-viele-fragen.de/ar/","x")</f>
        <v>x</v>
      </c>
      <c r="CQ33" s="112"/>
      <c r="CR3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33" s="112"/>
      <c r="CT33" s="112"/>
      <c r="CU33" s="112" t="str">
        <f>HYPERLINK("http://www.profamilia.de/fileadmin/publikationen/Erwachsene/mehrsprachig/verhuetung_arabisch.pdf","x")</f>
        <v>x</v>
      </c>
      <c r="CV33" s="112"/>
      <c r="CW33" s="112"/>
      <c r="CX33" s="112"/>
      <c r="CY33" s="112" t="str">
        <f>HYPERLINK("http://www.caritas-schwarzwald-alb-donau.de/68854.html","x")</f>
        <v>x</v>
      </c>
      <c r="CZ33" s="112"/>
      <c r="DA33" s="112" t="str">
        <f>HYPERLINK("http://sichere-orte-schaffen.de/wp-content/uploads/Minibrosch_Fluechtlinge_multilang.pdf","x")</f>
        <v>x</v>
      </c>
      <c r="DB33" s="112"/>
      <c r="DC33" s="115" t="str">
        <f>HYPERLINK("http://www.kindersicherheit.de/pdf/2012_Bilderbuch-Gift-Arabisch.pdf","x")</f>
        <v>x</v>
      </c>
      <c r="DD33" s="112"/>
      <c r="DE33" s="112"/>
      <c r="DF33" s="112" t="str">
        <f t="shared" si="10"/>
        <v>x</v>
      </c>
      <c r="DG33" s="115" t="str">
        <f t="shared" si="11"/>
        <v>x</v>
      </c>
      <c r="DH33" s="112" t="str">
        <f t="shared" si="12"/>
        <v>x</v>
      </c>
      <c r="DI33" s="112" t="str">
        <f t="shared" si="13"/>
        <v>x</v>
      </c>
      <c r="DJ33" s="112" t="str">
        <f>HYPERLINK("http://www.bibliomedia.ch/de/angebote/dokumente/Glossar_arabisch.pdf","x")</f>
        <v>x</v>
      </c>
      <c r="DK33" s="112"/>
      <c r="DL33" s="112" t="str">
        <f>HYPERLINK("http://www.carlsen.de/sites/default/files/Walter-ebook_arabisch_klein.pdf","x")</f>
        <v>x</v>
      </c>
      <c r="DM33" s="112"/>
      <c r="DN33" s="112"/>
      <c r="DO33" s="112" t="str">
        <f>HYPERLINK("http://www.wdrmaus.de/sachgeschichten/maus-international/","x")</f>
        <v>x</v>
      </c>
      <c r="DP33" s="111"/>
      <c r="DQ33" s="112" t="str">
        <f>HYPERLINK("http://tipdoc.de/bus/grafik/kinder-tip/SCHULTIP_give_didacta.pdf","x")</f>
        <v>x</v>
      </c>
      <c r="DR33" s="112" t="str">
        <f>HYPERLINK("https://broschueren.nordrheinwestfalendirekt.de/broschuerenservice/msw/ar-das-schulsystem-in-nordrhein-westfalen-einfach-und-schnell-erklaert/1901","x")</f>
        <v>x</v>
      </c>
      <c r="DS33" s="112" t="str">
        <f>HYPERLINK("http://bildung.koeln.de/materialbibliothek/download.php?idx=7479da9798519efb4e1944d46a76011b","x")</f>
        <v>x</v>
      </c>
      <c r="DT33" s="112" t="str">
        <f>HYPERLINK("http://bildung.koeln.de/materialbibliothek/download.php?idx=dd3a964c240308ea1c8e0d161e49e314","x")</f>
        <v>x</v>
      </c>
      <c r="DU33" s="112"/>
      <c r="DV33" s="112" t="str">
        <f>HYPERLINK("https://www.bmbf.de/pub/Kausa_Elternbroschuere_arabisch.pdf","x")</f>
        <v>x</v>
      </c>
      <c r="DW33" s="112"/>
      <c r="DX33" s="112" t="str">
        <f>HYPERLINK("http://www.wissenschaft.nrw.de/studium/informieren/informationen-fuer-fluechtlinge-die-in-nrw-studieren-moechten/","x")</f>
        <v>x</v>
      </c>
      <c r="DY33" s="112" t="str">
        <f>HYPERLINK("http://www.bamf.de/SharedDocs/Anlagen/DE/Publikationen/Flyer/AnerkennungBerufsabschluss/berufliche_anerkennung_akademische-heilberufe_ar.pdf?__blob=publicationFile","x")</f>
        <v>x</v>
      </c>
      <c r="DZ33" s="112" t="str">
        <f>HYPERLINK("http://www.bamf.de/SharedDocs/Anlagen/DE/Publikationen/Flyer/AnerkennungBerufsabschluss/anerkennung-berufsabschluss_ar.pdf?__blob=publicationFile","x")</f>
        <v>x</v>
      </c>
      <c r="EA33" s="112" t="str">
        <f>HYPERLINK("http://www.bamf.de/SharedDocs/Anlagen/DE/Publikationen/Flyer/AnerkennungBerufsabschluss/anerkennung-berufsabschluss_ausland_ar.pdf?__blob=publicationFile","x")</f>
        <v>x</v>
      </c>
      <c r="EB33" s="112" t="str">
        <f>HYPERLINK("http://www.bamf.de/SharedDocs/Anlagen/DE/Publikationen/Broschueren/willkommen-in-deutschland-info-blaue-karte-eu_ar.pdf?__blob=publicationFile","x")</f>
        <v>x</v>
      </c>
      <c r="EC33" s="112" t="str">
        <f>HYPERLINK("http://www.bamf.de/SharedDocs/Anlagen/DE/Publikationen/Flyer/Berufsbezsprachf-ESF-BAMF/berufsbezsprachf-esf-bamf_ar.pdf?__blob=publicationFile","x")</f>
        <v>x</v>
      </c>
      <c r="ED33" s="111"/>
      <c r="EE33" s="111"/>
      <c r="EF33" s="111"/>
      <c r="EG33" s="111"/>
      <c r="EH33" s="111"/>
      <c r="EI33" s="111"/>
      <c r="EJ33" s="112"/>
      <c r="EK33" s="112" t="str">
        <f>HYPERLINK("http://fluechtlingsrat-bw.de/files/Dateien/Dokumente/Materialbestellung/2014-12-flyer%20arbeitserlaubnis%20AR%20WEB_final.pdf","x")</f>
        <v>x</v>
      </c>
      <c r="EL33" s="112" t="str">
        <f>HYPERLINK("http://www.aponet.de/arabisch/20151019-fuer-den-notfall-wichtige-rufnummern-im-ueberblick.html","x")</f>
        <v>x</v>
      </c>
      <c r="EM33" s="112" t="str">
        <f>HYPERLINK("http://www.kvs-sachsen.de/fileadmin/img/Mitglieder/Asylbewerber/Allg-Informationen/Anlage_1_Arabisch_LEK.pdf","x")</f>
        <v>x</v>
      </c>
      <c r="EN33" s="112" t="str">
        <f>HYPERLINK("http://www.medizin-hilft-fluechtlingen.de/images/Dokumente/gSch/gSch_arab.pdf","x")</f>
        <v>x</v>
      </c>
      <c r="EO33" s="112" t="str">
        <f>HYPERLINK("http://www.aponet.de/arabisch/20151016-medizinische-leistungen-fuer-asylbewerber.html","x")</f>
        <v>x</v>
      </c>
      <c r="EP33" s="117" t="str">
        <f>HYPERLINK("http://www.medi-bild.de/pdf/anamnese/Welche_Sprache.pdf","x")</f>
        <v>x</v>
      </c>
      <c r="EQ33" s="117" t="str">
        <f>HYPERLINK("http://www.armut-gesundheit.de/fileadmin/redakteur/dokumente/Anamnesebogen%20-%20Arabischnew.pdf","x")</f>
        <v>x</v>
      </c>
      <c r="ER33" s="112" t="str">
        <f>HYPERLINK("http://www.kvs-sachsen.de/fileadmin/img/Mitglieder/Asylbewerber/Allg-Informationen/Anlagen_2-1_2-2_Arabisch_LEK.pdf","x")</f>
        <v>x</v>
      </c>
      <c r="ES33" s="112"/>
      <c r="ET33" s="112" t="str">
        <f>HYPERLINK("http://www.pharmazeutische-zeitung.de/fileadmin/pdf/Fragebogen_PZ_43_2015.pdf","x")</f>
        <v>x</v>
      </c>
      <c r="EU33" s="112" t="str">
        <f>HYPERLINK("http://www.medizin-hilft-fluechtlingen.de/images/Dokumente/ein/ein_arab.pdf","x")</f>
        <v>x</v>
      </c>
      <c r="EV33" s="112" t="str">
        <f>HYPERLINK("http://www.adler-apotheke-hh.de/fileadmin/user_upload/PDF-Dateien/Dosierzettel_mehrsprachig_AUF_0_.pdf","x")</f>
        <v>x</v>
      </c>
      <c r="EW33" s="112" t="str">
        <f t="shared" si="14"/>
        <v>x</v>
      </c>
      <c r="EX33" s="112" t="str">
        <f>HYPERLINK("http://www.rki.de/DE/Content/Infekt/IfSG/Belehrungsbogen/belehrungsbogen_eltern_arabisch.pdf?__blob=publicationFile","x")</f>
        <v>x</v>
      </c>
      <c r="EY33" s="112" t="str">
        <f>HYPERLINK("http://www.bzga.de/infomaterialien/?sid=236","x")</f>
        <v>x</v>
      </c>
      <c r="EZ33" s="112" t="str">
        <f>HYPERLINK("https://www.mh-hannover.de/fileadmin/mhh/bilder/aktuelles_presse/presseinformationen_news/150921_Pilz_Vergif_Arab_3.pdf","x")</f>
        <v>x</v>
      </c>
      <c r="FA33" s="112"/>
      <c r="FB33" s="112" t="str">
        <f>HYPERLINK("http://static.apotheken-umschau.de/media/gp/article_506373/bildwoerterbuch.pdf","x")</f>
        <v>x</v>
      </c>
      <c r="FC33" s="111"/>
      <c r="FD33" s="112" t="str">
        <f t="shared" si="15"/>
        <v>x</v>
      </c>
      <c r="FE33" s="112" t="str">
        <f>HYPERLINK("http://sghanstedt.elbnetz.com/ueber-uns/","x")</f>
        <v>x</v>
      </c>
      <c r="FF33" s="112" t="str">
        <f>HYPERLINK("http://www.fuhlenhagen.com/pdf_dateien/uebertzungshilfe_aerzte_mehrsprachig.pdf","x")</f>
        <v>x</v>
      </c>
      <c r="FG33" s="112" t="str">
        <f>HYPERLINK("http://www.tipdoc.de/grafik/asyl/Gesundheitsheft_Asyl.pdf","x")</f>
        <v>x</v>
      </c>
      <c r="FH33" s="111"/>
      <c r="FI33" s="111"/>
      <c r="FJ33" s="112" t="str">
        <f>HYPERLINK("http://www.bundesgesundheitsministerium.de/fileadmin/dateien/Publikationen/Gesundheit/Broschueren/Ratgeber_Asylsuchende/Ratgeber_Asylsuchende_arab.PDF","x")</f>
        <v>x</v>
      </c>
      <c r="FK33" s="112" t="str">
        <f>HYPERLINK("http://www.rki.de/DE/Content/Infekt/Impfen/Materialien/Downloads-Impfkalender/Impfkalender_Arabisch.pdf?__blob=publicationFile","x")</f>
        <v>x</v>
      </c>
      <c r="FL33" s="112" t="str">
        <f>HYPERLINK("http://www.ethno-medizinisches-zentrum.de/images/PDF-Files/impfwegweiser_arabbisch_2013_online.pdf","x")</f>
        <v>x</v>
      </c>
      <c r="FM33" s="112"/>
      <c r="FN33" s="112" t="str">
        <f>HYPERLINK("http://www.rki.de/DE/Content/Infekt/Impfen/Materialien/Glossar-Downloads/glossar-de-arabisch.pdf?__blob=publicationFile","x")</f>
        <v>x</v>
      </c>
      <c r="FO33" s="112"/>
      <c r="FP33" s="112" t="str">
        <f>HYPERLINK("http://www.rki.de/DE/Content/Infekt/Impfen/Materialien/Downloads-MMR/MMR-Impfinfo-arabisch.pdf?__blob=publicationFile","x")</f>
        <v>x</v>
      </c>
      <c r="FQ33" s="112" t="str">
        <f>HYPERLINK("http://www.rki.de/DE/Content/InfAZ/P/Polio/Ausbruch_Syrien/Informationsblatt_Polio_Arabisch.pdf?__blob=publicationFile","x")</f>
        <v>x</v>
      </c>
      <c r="FR33" s="112" t="str">
        <f>HYPERLINK("http://www.rki.de/DE/Content/Infekt/Impfen/Materialien/Downloads_HepA/Aufklaerung_HAV-Impfung_arabisch.pdf?__blob=publicationFile","x")</f>
        <v>x</v>
      </c>
      <c r="FS33" s="112" t="str">
        <f>HYPERLINK("http://www.rki.de/DE/Content/Infekt/Impfen/Materialien/Downloads_Pneumokokken/Aufklaerung_Pneumo-Impfung_Arabisch.pdf?__blob=publicationFile","x")</f>
        <v>x</v>
      </c>
      <c r="FT33" s="112" t="str">
        <f>HYPERLINK("http://www.rki.de/DE/Content/Infekt/Impfen/Materialien/Downloads-DTaPIPVHibHepB/DTaPIPVHibHepB_arabisch.pdf?__blob=publicationFile","x")</f>
        <v>x</v>
      </c>
      <c r="FU33" s="112" t="str">
        <f>HYPERLINK("http://www.rki.de/DE/Content/Infekt/Impfen/Materialien/Downloads-Varizellen/Varizellen-Impfinfo-arabisch.pdf;jsessionid=65B697F4EE7EDA8A1ED9E2C4CD6C74EC.2_cid363?__blob=publicationFile","x")</f>
        <v>x</v>
      </c>
      <c r="FV33" s="112" t="str">
        <f>HYPERLINK("http://www.rki.de/DE/Content/Infekt/Impfen/Materialien/Downloads-Tdap-IPV/Tdap-IPV-arabisch.pdf?__blob=publicationFile","x")</f>
        <v>x</v>
      </c>
      <c r="FW33" s="112" t="str">
        <f>HYPERLINK("http://www.rki.de/DE/Content/Infekt/Impfen/Materialien/Downloads-Influenza_nasal/Influenza_nasal-arabisch.pdf?__blob=publicationFile","x")</f>
        <v>x</v>
      </c>
      <c r="FX33" s="112" t="str">
        <f>HYPERLINK("http://www.medical-tribune.de/fileadmin/PDF/Arthrose_arabisch.pdf","x")</f>
        <v>x</v>
      </c>
      <c r="FY33" s="112" t="str">
        <f>HYPERLINK("http://www.medical-tribune.de/fileadmin/PDF/Asthma_arabisch.pdf","x")</f>
        <v>x</v>
      </c>
      <c r="FZ33" s="112" t="str">
        <f>HYPERLINK("http://www.medical-tribune.de/fileadmin/PDF/Bluthochdruck_arabisch.pdf","x")</f>
        <v>x</v>
      </c>
      <c r="GA33" s="112"/>
      <c r="GB33" s="112" t="str">
        <f>HYPERLINK("http://www.medical-tribune.de/fileadmin/PDF/COPD_arabisch.pdf","x")</f>
        <v>x</v>
      </c>
      <c r="GC33" s="112"/>
      <c r="GD33" s="112" t="str">
        <f>HYPERLINK("http://www.ethno-medizinisches-zentrum.de/images/PDF-Files/lf_diabete_arab.pdf","x")</f>
        <v>x</v>
      </c>
      <c r="GE33" s="112"/>
      <c r="GF33" s="112"/>
      <c r="GG33" s="112"/>
      <c r="GH33" s="112"/>
      <c r="GI33" s="112" t="str">
        <f>HYPERLINK("http://www.tipdoc.de/bus/pdf/hepatitis/Hep_B_Webseite.pdf","x")</f>
        <v>x</v>
      </c>
      <c r="GJ33" s="112" t="str">
        <f>HYPERLINK("http://www.tipdoc.de/bus/pdf/hepatitis/Hep_C_Webseite.pdf","x")</f>
        <v>x</v>
      </c>
      <c r="GK33" s="111"/>
      <c r="GL33" s="111"/>
      <c r="GM33" s="112" t="str">
        <f>HYPERLINK("http://www.rki.de/DE/Content/Infekt/Impfen/Materialien/Downloads-Influenza/Influenza-arabisch.pdf?__blob=publicationFile","x")</f>
        <v>x</v>
      </c>
      <c r="GN33" s="112"/>
      <c r="GO33" s="112" t="str">
        <f>HYPERLINK("http://www.aponet.de/arabisch/20151111-so-unterscheiden-sich-grippe-und-erkaeltung.html","x")</f>
        <v>x</v>
      </c>
      <c r="GP33" s="112" t="str">
        <f>HYPERLINK("http://www.tipdoc.de/grafik/pdf/kopflaeuse/Kopflaeuse_ARAB.pdf","x")</f>
        <v>x</v>
      </c>
      <c r="GQ33" s="112"/>
      <c r="GR33" s="112" t="str">
        <f>HYPERLINK("http://www.tipdoc.com/bus/pdf/kraetze/tipdoc_Scabies_ARAB.pdf","x")</f>
        <v>x</v>
      </c>
      <c r="GS33" s="112" t="str">
        <f>HYPERLINK("http://www.tipdoc.com/bus/pdf/MagenDarmHaende/MagenDarmHaende_Arab.pdf","x")</f>
        <v>x</v>
      </c>
      <c r="GT33" s="112"/>
      <c r="GU33" s="112" t="str">
        <f>HYPERLINK("http://www.medical-tribune.de/fileadmin/PDF/Rueckenschmerzen_arabisch.pdf","x")</f>
        <v>x</v>
      </c>
      <c r="GV33" s="112"/>
      <c r="GW33" s="112"/>
      <c r="GX33" s="112" t="str">
        <f>HYPERLINK("http://www.medical-tribune.de/fileadmin/PDF/Schwindel_arabisch.pdf","x")</f>
        <v>x</v>
      </c>
      <c r="GY33" s="112"/>
      <c r="GZ33" s="112"/>
      <c r="HA33" s="112"/>
      <c r="HB33" s="112"/>
      <c r="HC33" s="112" t="str">
        <f t="shared" si="16"/>
        <v>x</v>
      </c>
      <c r="HD33" s="112" t="str">
        <f>HYPERLINK("https://www.zahnaerzte-wl.de/images/_PDF-suche/KZV_ZÄK/ENDSTAND_Ankreuzbogen_Ich_verstehe.pdf","x")</f>
        <v>x</v>
      </c>
      <c r="HE33" s="112" t="str">
        <f>HYPERLINK("https://www.zahnaerzte-wl.de/images/_PDF-suche/KZV_ZÄK/Anschreiben_Patienten_arabisch.pdf","x")</f>
        <v>x</v>
      </c>
      <c r="HF33" s="112" t="str">
        <f>HYPERLINK("https://www.zahnaerzte-wl.de/images/_PDF-suche/KZV_ZÄK/Fragebogen_arabisch.pdf","x")</f>
        <v>x</v>
      </c>
      <c r="HG33" s="112" t="str">
        <f>HYPERLINK("https://www.zahnaerzte-wl.de/images/_PDF-suche/KZV_ZÄK/Patientenerhebungsbogen_arabisch.pdf","x")</f>
        <v>x</v>
      </c>
      <c r="HH33" s="112"/>
      <c r="HI33" s="112"/>
      <c r="HJ33" s="112" t="str">
        <f>HYPERLINK("http://www.ibbc-berlin.de/media/Bro_de-arab.pdf","x")</f>
        <v>x</v>
      </c>
      <c r="HK33" s="112"/>
      <c r="HL33" s="112" t="str">
        <f>HYPERLINK("http://www.ethno-medizinisches-zentrum.de/images/PDF-Files/lf_depression__arab.pdf","x")</f>
        <v>x</v>
      </c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 t="str">
        <f>HYPERLINK("http://www.bkk-psychisch-gesund.de/fileadmin/user_upload/Dokumente/Versicherte/Broschueren/Wegweiser_Psychotherapie_arabisch.pdf","x")</f>
        <v>x</v>
      </c>
      <c r="HY33" s="112" t="str">
        <f t="shared" si="17"/>
        <v>x</v>
      </c>
      <c r="HZ33" s="112" t="str">
        <f t="shared" si="18"/>
        <v>x</v>
      </c>
      <c r="IA33" s="112"/>
      <c r="IB33" s="112"/>
      <c r="IC33" s="112"/>
      <c r="ID33" s="112" t="str">
        <f>HYPERLINK("http://www.susannestein.de/VIA-online/trauma-bilderbuch-arabisch.pdf","x")</f>
        <v>x</v>
      </c>
      <c r="IE33" s="112"/>
      <c r="IF33" s="112"/>
      <c r="IG33" s="112"/>
      <c r="IH33" s="111"/>
      <c r="II33" s="112"/>
      <c r="IJ33" s="112"/>
      <c r="IK33" s="112" t="str">
        <f>HYPERLINK("http://www.bamf.de/SharedDocs/Anlagen/DE/Publikationen/Flyer/Lassen-Sie-Sich-Beraten/lassen-sie-sich-beraten_ar.pdf?__blob=publicationFile","x")</f>
        <v>x</v>
      </c>
      <c r="IL33" s="112" t="str">
        <f>HYPERLINK("http://www.bamf.de/SharedDocs/Anlagen/DE/Publikationen/Flyer/flyer-erstorientierung-asylsuchende_arabisch.pdf?__blob=publicationFile","x")</f>
        <v>x</v>
      </c>
      <c r="IM33" s="111"/>
      <c r="IN33" s="112" t="str">
        <f>HYPERLINK("https://www.bamf.de/SharedDocs/Anlagen/DE/Publikationen/Broschueren/willkommen-in-deutschland_ar.pdf?__blob=publicationFile","x")</f>
        <v>x</v>
      </c>
      <c r="IO33" s="112"/>
      <c r="IP33" s="111"/>
      <c r="IQ33" s="112" t="str">
        <f>HYPERLINK("http://www.bamf.de/SharedDocs/Anlagen/DE/Publikationen/Flyer/Lernen-Sie-Deutsch/lernen-sie-deutsch_ar.pdf?__blob=publicationFile","x")</f>
        <v>x</v>
      </c>
      <c r="IR33" s="112" t="str">
        <f>HYPERLINK("http://www.asyl.net/fileadmin/user_upload/redaktion/Dokumente/Arbeitshilfen/150910_Wie_l%C3%A4uft_ein_Asylverfahren_ab_%C3%9Cberblickstext_Arabisch.pdf","x")</f>
        <v>x</v>
      </c>
      <c r="IS33" s="111"/>
      <c r="IT33" s="111"/>
      <c r="IU33" s="111"/>
      <c r="IV33" s="112" t="str">
        <f>HYPERLINK("http://www.asyl.net/fileadmin/user_upload/infoblatt_anhoerung/Infoblatt_2015_ar_fin.pdf","x")</f>
        <v>x</v>
      </c>
      <c r="IW33" s="112" t="str">
        <f>HYPERLINK("http://efi-landsberg.de/asyl/wp-content/uploads/2014/04/Merkblatt-Asylbewerber-Fluechtlinge.pdf","x")</f>
        <v>x</v>
      </c>
      <c r="IX33" s="112"/>
      <c r="IY33" s="112" t="str">
        <f>HYPERLINK("http://www.bamf.de/SharedDocs/Anlagen/DE/Publikationen/Broschueren/broschuere-eat-a4-ar-arabisch.pdf?__blob=publicationFile","x")</f>
        <v>x</v>
      </c>
      <c r="IZ33" s="111"/>
      <c r="JA33" s="112" t="str">
        <f>HYPERLINK("http://fluechtlingsrat-bw.de/informationen-fuer-fluechtlinge.html","x")</f>
        <v>x</v>
      </c>
      <c r="JB33" s="111"/>
      <c r="JC33" s="112"/>
      <c r="JD33" s="111"/>
      <c r="JE33" s="112"/>
      <c r="JF33" s="112"/>
      <c r="JG33" s="112" t="str">
        <f>HYPERLINK("http://www.bamf.de/SharedDocs/Anlagen/DE/Publikationen/Flyer/Ehegattennachzug/ehegattennachzug-ar.pdf?__blob=publicationFile","x")</f>
        <v>x</v>
      </c>
      <c r="JH33" s="112" t="str">
        <f>HYPERLINK("https://familyreunion-syria.diplo.de/webportal/index.html#start","x")</f>
        <v>x</v>
      </c>
      <c r="JI33" s="111"/>
      <c r="JJ33" s="112"/>
      <c r="JK33" s="112" t="str">
        <f>HYPERLINK("https://www.arbeitsagentur.de/web/wcm/idc/groups/public/documents/webdatei/mdaw/mjgz/~edisp/l6019022dstbai784629.pdf?_ba.sid=L6019022DSTBAI788745","x")</f>
        <v>x</v>
      </c>
      <c r="JL33" s="112" t="str">
        <f>HYPERLINK("http://www.kub-berlin.org/formularprojekt/de/arabisch-antraege-und-anlagen/","x")</f>
        <v>x</v>
      </c>
      <c r="JM33" s="112" t="str">
        <f>HYPERLINK("https://www.arbeitsagentur.de/web/content/DE/Formulare/Detail/index.htm?dfContentId=L6019022DSTBAI485740","x")</f>
        <v>x</v>
      </c>
      <c r="JN33" s="112"/>
      <c r="JO33" s="112"/>
      <c r="JP33" s="112"/>
      <c r="JQ33" s="112"/>
      <c r="JR33" s="112" t="str">
        <f>HYPERLINK("http://www.ibla-germany.de/merkblaetter.php","x")</f>
        <v>x</v>
      </c>
      <c r="JS33" s="112"/>
      <c r="JT33" s="112" t="str">
        <f>HYPERLINK("http://www.b-umf.de/images/willkommen/willkommensbroschurearabisch-web.pdf","x")</f>
        <v>x</v>
      </c>
      <c r="JU33" s="111"/>
      <c r="JV33" s="111"/>
      <c r="JW33" s="112"/>
      <c r="JX33" s="112"/>
      <c r="JY33" s="112"/>
      <c r="JZ33" s="112"/>
      <c r="KA33" s="112" t="str">
        <f>HYPERLINK("http://www.kas.de/wf/de/33.43117/","x")</f>
        <v>x</v>
      </c>
      <c r="KB33" s="112" t="str">
        <f>HYPERLINK("http://www.refugeeguide.de/dl/RefugeeGuide_ar_930.pdf","x")</f>
        <v>x</v>
      </c>
      <c r="KC33" s="112" t="str">
        <f>HYPERLINK("http://www.bpb.de/shop/buecher/grundgesetz/215136/grundgesetz-auf-arabisch","x")</f>
        <v>x</v>
      </c>
      <c r="KD33" s="112" t="str">
        <f>HYPERLINK("http://www.wedel.de/fileadmin/user_upload/media/pdf/Rathaus_und_Politik/20160118_PM_Broschuere.pdf","x")</f>
        <v>x</v>
      </c>
      <c r="KE33" s="112" t="str">
        <f>HYPERLINK("http://www.frauenrechte.de/online/images/downloads/allgemein/TDF_Flyer_Women_Men.pdf","x")</f>
        <v>x</v>
      </c>
      <c r="KF33" s="112" t="str">
        <f>HYPERLINK("http://sab.landtag.sachsen.de/dokumente/landtagskurier/Grundwerte-A5-international_web_08012016.pdf","x")</f>
        <v>x</v>
      </c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1"/>
      <c r="LD33" s="111"/>
      <c r="LE33" s="111"/>
      <c r="LF33" s="111"/>
      <c r="LG33" s="112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1"/>
      <c r="LT33" s="112"/>
      <c r="LU33" s="111"/>
      <c r="LV33" s="111"/>
      <c r="LW33" s="111"/>
      <c r="LX33" s="111"/>
      <c r="LY33" s="111"/>
      <c r="LZ33" s="112" t="str">
        <f>HYPERLINK("http://www.bjf.info/projekte/cinemanya","x")</f>
        <v>x</v>
      </c>
      <c r="MA33" s="111"/>
      <c r="MB33" s="111"/>
      <c r="MC33" s="111"/>
      <c r="MD33" s="112" t="str">
        <f>HYPERLINK("http://www.rki.de/DE/Content/Infekt/IfSG/Belehrungsbogen/belehrungsbogen_lebensmittel_arabisch.pdf?__blob=publicationFile","x")</f>
        <v>x</v>
      </c>
      <c r="ME33" s="111"/>
      <c r="MF33" s="112" t="str">
        <f>HYPERLINK("http://www.gdv.de/wp-content/uploads/2016/01/Information_Brandschutz_Fluechtlingsheim_-Sicherheit_mehrsprachig.pdf","x")</f>
        <v>x</v>
      </c>
      <c r="MG33" s="112" t="str">
        <f>HYPERLINK("http://www.gdv.de/wp-content/uploads/2016/01/Information_Verhalten-im-Brandfall_mehrsprachig.pdf","x")</f>
        <v>x</v>
      </c>
      <c r="MH33" s="112" t="str">
        <f>HYPERLINK("http://www.aha-region.de/fileadmin/Download/pdf/aha_Plakat_Muelltrennung_ar.pdf","x")</f>
        <v>x</v>
      </c>
      <c r="MI33" s="112" t="str">
        <f>HYPERLINK("http://www.kindersicherheit.de/pdf/2012_poster_achtunggiftig_8sprachig.pdf","x")</f>
        <v>x</v>
      </c>
    </row>
    <row r="34" spans="1:347" x14ac:dyDescent="0.25">
      <c r="A34" s="102" t="s">
        <v>50</v>
      </c>
      <c r="B34" s="127" t="s">
        <v>17</v>
      </c>
      <c r="C34" s="102"/>
      <c r="D34" s="102"/>
      <c r="E34" s="102"/>
      <c r="F34" s="102"/>
      <c r="G34" s="102"/>
      <c r="H34" s="102"/>
      <c r="I34" s="102"/>
      <c r="J34" s="102"/>
      <c r="K34" s="103"/>
      <c r="L34" s="111"/>
      <c r="M34" s="111"/>
      <c r="N34" s="112" t="str">
        <f>HYPERLINK("http://www.ag-fluechtlingshilfe-wetterau.de/uploads/infos/170.pdf","x")</f>
        <v>x</v>
      </c>
      <c r="O34" s="112"/>
      <c r="P34" s="112" t="str">
        <f>HYPERLINK("https://willkommensteamelmshorn.files.wordpress.com/2015/11/sortieranleitung_pinneberg_2015_farsi.pd","x")</f>
        <v>x</v>
      </c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 t="str">
        <f>HYPERLINK("http://asyl-in-moenchengladbach.de/wp-content/uploads/2015/11/100711-Flyer_farsi.pdf","x")</f>
        <v>x</v>
      </c>
      <c r="AH34" s="112" t="str">
        <f>HYPERLINK("http://sghanstedt.elbnetz.com/ueber-uns/","x")</f>
        <v>x</v>
      </c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3"/>
      <c r="AW34" s="114" t="str">
        <f t="shared" si="0"/>
        <v>x</v>
      </c>
      <c r="AX34" s="114" t="str">
        <f t="shared" si="1"/>
        <v>x</v>
      </c>
      <c r="AY34" s="112" t="str">
        <f>HYPERLINK("http://fi-lohmar-siegburg.de/data/documents/Findefix_farsi-Bildwoerterbuch.pdf","x")</f>
        <v>x</v>
      </c>
      <c r="AZ34" s="111"/>
      <c r="BA34" s="112" t="str">
        <f t="shared" si="2"/>
        <v>x</v>
      </c>
      <c r="BB34" s="112" t="str">
        <f t="shared" si="3"/>
        <v>x</v>
      </c>
      <c r="BC34" s="112" t="str">
        <f>HYPERLINK("http://www.tobiidynavox.com/wp-content/uploads/2015/09/Tobii-Dynavox-Kommunikationstafel-farsi-deutsch.pdf","x")</f>
        <v>x</v>
      </c>
      <c r="BD34" s="111"/>
      <c r="BE34" s="111"/>
      <c r="BF34" s="111"/>
      <c r="BG34" s="111"/>
      <c r="BH34" s="111"/>
      <c r="BI34" s="112" t="str">
        <f>HYPERLINK("https://www.advanced-online.eu/downloads/RefugeePhrasebookCards_German-Farsi.pdf","x")</f>
        <v>x</v>
      </c>
      <c r="BJ34" s="111"/>
      <c r="BK34" s="111"/>
      <c r="BL34" s="111"/>
      <c r="BM34" s="111"/>
      <c r="BN34" s="111"/>
      <c r="BO34" s="111"/>
      <c r="BP34" s="111"/>
      <c r="BQ34" s="111"/>
      <c r="BR34" s="111"/>
      <c r="BS34" s="112" t="str">
        <f t="shared" si="4"/>
        <v>x</v>
      </c>
      <c r="BT34" s="112"/>
      <c r="BU34" s="111"/>
      <c r="BV34" s="112" t="str">
        <f t="shared" si="5"/>
        <v>x</v>
      </c>
      <c r="BW34" s="112" t="str">
        <f>HYPERLINK("http://www.welcomegrooves.de/wp-content/uploads/2015/10/welcomegrooves_DE-FARSI.pdf","x")</f>
        <v>x</v>
      </c>
      <c r="BX34" s="112" t="str">
        <f>HYPERLINK("http://www.almanibefarsi.com/","x")</f>
        <v>x</v>
      </c>
      <c r="BY34" s="112"/>
      <c r="BZ34" s="112"/>
      <c r="CA34" s="112" t="str">
        <f t="shared" si="6"/>
        <v>x</v>
      </c>
      <c r="CB34" s="112" t="str">
        <f t="shared" si="7"/>
        <v>x</v>
      </c>
      <c r="CC34" s="112" t="str">
        <f t="shared" si="8"/>
        <v>x</v>
      </c>
      <c r="CD34" s="112"/>
      <c r="CE34" s="112"/>
      <c r="CF34" s="111"/>
      <c r="CG34" s="111"/>
      <c r="CH34" s="111"/>
      <c r="CI34" s="111"/>
      <c r="CJ34" s="111"/>
      <c r="CK34" s="112" t="str">
        <f t="shared" si="9"/>
        <v>x</v>
      </c>
      <c r="CL34" s="112"/>
      <c r="CM34" s="112"/>
      <c r="CN34" s="112"/>
      <c r="CO34" s="112"/>
      <c r="CP34" s="112" t="str">
        <f>HYPERLINK("http://www.schwanger-und-viele-fragen.de/fa/","x")</f>
        <v>x</v>
      </c>
      <c r="CQ34" s="112"/>
      <c r="CR34" s="112"/>
      <c r="CS34" s="112"/>
      <c r="CT34" s="111"/>
      <c r="CU34" s="111"/>
      <c r="CV34" s="111"/>
      <c r="CW34" s="111"/>
      <c r="CX34" s="111"/>
      <c r="CY34" s="111"/>
      <c r="CZ34" s="112"/>
      <c r="DA34" s="112"/>
      <c r="DB34" s="112"/>
      <c r="DC34" s="115"/>
      <c r="DD34" s="112"/>
      <c r="DE34" s="112"/>
      <c r="DF34" s="112" t="str">
        <f t="shared" si="10"/>
        <v>x</v>
      </c>
      <c r="DG34" s="115" t="str">
        <f t="shared" si="11"/>
        <v>x</v>
      </c>
      <c r="DH34" s="112" t="str">
        <f t="shared" si="12"/>
        <v>x</v>
      </c>
      <c r="DI34" s="112" t="str">
        <f t="shared" si="13"/>
        <v>x</v>
      </c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2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7" t="str">
        <f>HYPERLINK("http://www.medi-bild.de/pdf/anamnese/Welche_Sprache.pdf","x")</f>
        <v>x</v>
      </c>
      <c r="EQ34" s="117" t="str">
        <f>HYPERLINK("http://www.medknowledge.de/migration/tipdoc/anamnesebogen/tipdoc_Anamnese_farsi.pdf","x")</f>
        <v>x</v>
      </c>
      <c r="ER34" s="111"/>
      <c r="ES34" s="111"/>
      <c r="ET34" s="111"/>
      <c r="EU34" s="111"/>
      <c r="EV34" s="112" t="str">
        <f>HYPERLINK("http://www.adler-apotheke-hh.de/fileadmin/user_upload/PDF-Dateien/Dosierzettel_mehrsprachig_AUF_0_.pdf","x")</f>
        <v>x</v>
      </c>
      <c r="EW34" s="112" t="str">
        <f t="shared" si="14"/>
        <v>x</v>
      </c>
      <c r="EX34" s="111"/>
      <c r="EY34" s="111"/>
      <c r="EZ34" s="111"/>
      <c r="FA34" s="111"/>
      <c r="FB34" s="111"/>
      <c r="FC34" s="111"/>
      <c r="FD34" s="112" t="str">
        <f t="shared" si="15"/>
        <v>x</v>
      </c>
      <c r="FE34" s="112" t="str">
        <f>HYPERLINK("http://sghanstedt.elbnetz.com/ueber-uns/","x")</f>
        <v>x</v>
      </c>
      <c r="FF34" s="112" t="str">
        <f>HYPERLINK("http://www.fuhlenhagen.com/pdf_dateien/uebertzungshilfe_aerzte_mehrsprachig.pdf","x")</f>
        <v>x</v>
      </c>
      <c r="FG34" s="112" t="str">
        <f>HYPERLINK("http://www.tipdoc.de/grafik/asyl/Gesundheitsheft_Asyl.pdf","x")</f>
        <v>x</v>
      </c>
      <c r="FH34" s="111"/>
      <c r="FI34" s="111"/>
      <c r="FJ34" s="111"/>
      <c r="FK34" s="112" t="str">
        <f>HYPERLINK("http://www.rki.de/DE/Content/Infekt/Impfen/Materialien/Downloads-Impfkalender/Impfkalender_Farsi.pdf?__blob=publicationFile","x")</f>
        <v>x</v>
      </c>
      <c r="FL34" s="111"/>
      <c r="FM34" s="111"/>
      <c r="FN34" s="111"/>
      <c r="FO34" s="111"/>
      <c r="FP34" s="112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2" t="str">
        <f>HYPERLINK("http://www.tipdoc.de/grafik/pdf/kopflaeuse/Kopflaeuse_FARSI.pdf","x")</f>
        <v>x</v>
      </c>
      <c r="GQ34" s="112"/>
      <c r="GR34" s="112" t="str">
        <f>HYPERLINK("http://www.tipdoc.com/bus/pdf/kraetze/tipdoc_Scabies_FARSI.pdf","x")</f>
        <v>x</v>
      </c>
      <c r="GS34" s="112" t="str">
        <f>HYPERLINK("http://www.tipdoc.com/bus/pdf/MagenDarmHaende/MagenDarmHaende_FARSI.pdf","x")</f>
        <v>x</v>
      </c>
      <c r="GT34" s="111"/>
      <c r="GU34" s="111"/>
      <c r="GV34" s="111"/>
      <c r="GW34" s="111"/>
      <c r="GX34" s="111"/>
      <c r="GY34" s="111"/>
      <c r="GZ34" s="111"/>
      <c r="HA34" s="111"/>
      <c r="HB34" s="111"/>
      <c r="HC34" s="112" t="str">
        <f t="shared" si="16"/>
        <v>x</v>
      </c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2" t="str">
        <f t="shared" si="17"/>
        <v>x</v>
      </c>
      <c r="HZ34" s="112" t="str">
        <f t="shared" si="18"/>
        <v>x</v>
      </c>
      <c r="IA34" s="111"/>
      <c r="IB34" s="111"/>
      <c r="IC34" s="111"/>
      <c r="ID34" s="112" t="str">
        <f>HYPERLINK("http://www.susannestein.de/VIA-online/assets/trauma-bilderbuch-farsi.pdf","x")</f>
        <v>x</v>
      </c>
      <c r="IE34" s="111"/>
      <c r="IF34" s="111"/>
      <c r="IG34" s="111"/>
      <c r="IH34" s="111"/>
      <c r="II34" s="111"/>
      <c r="IJ34" s="111"/>
      <c r="IK34" s="111"/>
      <c r="IL34" s="112" t="str">
        <f>HYPERLINK("http://www.bamf.de/SharedDocs/Anlagen/DE/Publikationen/Flyer/flyer-erstorientierung-asylsuchende_farsi.pdf?__blob=publicationFile","x")</f>
        <v>x</v>
      </c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1"/>
      <c r="IZ34" s="111"/>
      <c r="JA34" s="112" t="str">
        <f>HYPERLINK("http://fluechtlingsrat-bw.de/informationen-fuer-fluechtlinge.html","x")</f>
        <v>x</v>
      </c>
      <c r="JB34" s="111"/>
      <c r="JC34" s="111"/>
      <c r="JD34" s="111"/>
      <c r="JE34" s="111"/>
      <c r="JF34" s="111"/>
      <c r="JG34" s="111"/>
      <c r="JH34" s="111"/>
      <c r="JI34" s="111"/>
      <c r="JJ34" s="112"/>
      <c r="JK34" s="112" t="str">
        <f>HYPERLINK("https://www.arbeitsagentur.de/web/wcm/idc/groups/public/documents/webdatei/mdaw/mjkw/~edisp/l6019022dstbai800463.pdf?_ba.sid=L6019022DSTBAI800470","x")</f>
        <v>x</v>
      </c>
      <c r="JL34" s="111"/>
      <c r="JM34" s="111"/>
      <c r="JN34" s="111"/>
      <c r="JO34" s="111"/>
      <c r="JP34" s="111"/>
      <c r="JQ34" s="111"/>
      <c r="JR34" s="111"/>
      <c r="JS34" s="111"/>
      <c r="JT34" s="111"/>
      <c r="JU34" s="111"/>
      <c r="JV34" s="111"/>
      <c r="JW34" s="111"/>
      <c r="JX34" s="111"/>
      <c r="JY34" s="111"/>
      <c r="JZ34" s="111"/>
      <c r="KA34" s="111"/>
      <c r="KB34" s="111"/>
      <c r="KC34" s="111"/>
      <c r="KD34" s="112" t="str">
        <f>HYPERLINK("http://www.wedel.de/fileadmin/user_upload/media/pdf/Rathaus_und_Politik/20160118_PM_Broschuere.pdf","x")</f>
        <v>x</v>
      </c>
      <c r="KE34" s="112" t="str">
        <f>HYPERLINK("http://www.frauenrechte.de/online/images/downloads/allgemein/TDF_Flyer_Women_Men.pdf","x")</f>
        <v>x</v>
      </c>
      <c r="KF34" s="112" t="str">
        <f>HYPERLINK("http://sab.landtag.sachsen.de/dokumente/landtagskurier/Grundwerte-A5-international_web_08012016.pdf","x")</f>
        <v>x</v>
      </c>
      <c r="KG34" s="111"/>
      <c r="KH34" s="111"/>
      <c r="KI34" s="111"/>
      <c r="KJ34" s="111"/>
      <c r="KK34" s="111"/>
      <c r="KL34" s="111"/>
      <c r="KM34" s="111"/>
      <c r="KN34" s="111"/>
      <c r="KO34" s="111"/>
      <c r="KP34" s="111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11"/>
      <c r="LB34" s="111"/>
      <c r="LC34" s="111"/>
      <c r="LD34" s="111"/>
      <c r="LE34" s="111"/>
      <c r="LF34" s="111"/>
      <c r="LG34" s="112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1"/>
      <c r="LT34" s="112"/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2" t="str">
        <f>HYPERLINK("http://www.gdv.de/wp-content/uploads/2016/01/Information_Brandschutz_Fluechtlingsheim_-Sicherheit_mehrsprachig.pdf","x")</f>
        <v>x</v>
      </c>
      <c r="MG34" s="112" t="str">
        <f>HYPERLINK("http://www.gdv.de/wp-content/uploads/2016/01/Information_Verhalten-im-Brandfall_mehrsprachig.pdf","x")</f>
        <v>x</v>
      </c>
      <c r="MH34" s="112"/>
      <c r="MI34" s="112" t="str">
        <f>HYPERLINK("http://www.kindersicherheit.de/pdf/2012_poster_achtunggiftig_8sprachig.pdf","x")</f>
        <v>x</v>
      </c>
    </row>
    <row r="35" spans="1:347" x14ac:dyDescent="0.25">
      <c r="A35" s="102" t="s">
        <v>70</v>
      </c>
      <c r="B35" s="127" t="s">
        <v>45</v>
      </c>
      <c r="C35" s="102"/>
      <c r="D35" s="102"/>
      <c r="E35" s="102"/>
      <c r="F35" s="102"/>
      <c r="G35" s="102"/>
      <c r="H35" s="102"/>
      <c r="I35" s="102"/>
      <c r="J35" s="102"/>
      <c r="K35" s="103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3"/>
      <c r="AW35" s="114" t="str">
        <f t="shared" si="0"/>
        <v>x</v>
      </c>
      <c r="AX35" s="114" t="str">
        <f t="shared" si="1"/>
        <v>x</v>
      </c>
      <c r="AY35" s="111"/>
      <c r="AZ35" s="111"/>
      <c r="BA35" s="112" t="str">
        <f t="shared" si="2"/>
        <v>x</v>
      </c>
      <c r="BB35" s="112" t="str">
        <f t="shared" si="3"/>
        <v>x</v>
      </c>
      <c r="BC35" s="111"/>
      <c r="BD35" s="111"/>
      <c r="BE35" s="111"/>
      <c r="BF35" s="111"/>
      <c r="BG35" s="111"/>
      <c r="BH35" s="112" t="str">
        <f>HYPERLINK("http://www.refugeephrasebook.de/pdf/germany150920.pdf","x")</f>
        <v>x</v>
      </c>
      <c r="BI35" s="112"/>
      <c r="BJ35" s="111"/>
      <c r="BK35" s="111"/>
      <c r="BL35" s="111"/>
      <c r="BM35" s="111"/>
      <c r="BN35" s="111"/>
      <c r="BO35" s="111"/>
      <c r="BP35" s="111"/>
      <c r="BQ35" s="111"/>
      <c r="BR35" s="111"/>
      <c r="BS35" s="112" t="str">
        <f t="shared" si="4"/>
        <v>x</v>
      </c>
      <c r="BT35" s="112"/>
      <c r="BU35" s="111"/>
      <c r="BV35" s="112" t="str">
        <f t="shared" si="5"/>
        <v>x</v>
      </c>
      <c r="BW35" s="112" t="str">
        <f>HYPERLINK("http://www.welcomegrooves.de/wp-content/uploads/2015/11/welcomegrooves_DE-BENGALISCH_V2.pdf","x")</f>
        <v>x</v>
      </c>
      <c r="BX35" s="112"/>
      <c r="BY35" s="112"/>
      <c r="BZ35" s="112"/>
      <c r="CA35" s="112" t="str">
        <f t="shared" si="6"/>
        <v>x</v>
      </c>
      <c r="CB35" s="112" t="str">
        <f t="shared" si="7"/>
        <v>x</v>
      </c>
      <c r="CC35" s="112" t="str">
        <f t="shared" si="8"/>
        <v>x</v>
      </c>
      <c r="CD35" s="112"/>
      <c r="CE35" s="112"/>
      <c r="CF35" s="111"/>
      <c r="CG35" s="111"/>
      <c r="CH35" s="111"/>
      <c r="CI35" s="111"/>
      <c r="CJ35" s="111"/>
      <c r="CK35" s="112" t="str">
        <f t="shared" si="9"/>
        <v>x</v>
      </c>
      <c r="CL35" s="112"/>
      <c r="CM35" s="112"/>
      <c r="CN35" s="112"/>
      <c r="CO35" s="112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2"/>
      <c r="DA35" s="112"/>
      <c r="DB35" s="112"/>
      <c r="DC35" s="115"/>
      <c r="DD35" s="112"/>
      <c r="DE35" s="112"/>
      <c r="DF35" s="112" t="str">
        <f t="shared" si="10"/>
        <v>x</v>
      </c>
      <c r="DG35" s="115" t="str">
        <f t="shared" si="11"/>
        <v>x</v>
      </c>
      <c r="DH35" s="112" t="str">
        <f t="shared" si="12"/>
        <v>x</v>
      </c>
      <c r="DI35" s="112" t="str">
        <f t="shared" si="13"/>
        <v>x</v>
      </c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8"/>
      <c r="EQ35" s="118"/>
      <c r="ER35" s="111"/>
      <c r="ES35" s="111"/>
      <c r="ET35" s="111"/>
      <c r="EU35" s="111"/>
      <c r="EV35" s="111"/>
      <c r="EW35" s="112" t="str">
        <f t="shared" si="14"/>
        <v>x</v>
      </c>
      <c r="EX35" s="111"/>
      <c r="EY35" s="111"/>
      <c r="EZ35" s="111"/>
      <c r="FA35" s="111"/>
      <c r="FB35" s="111"/>
      <c r="FC35" s="111"/>
      <c r="FD35" s="112" t="str">
        <f t="shared" si="15"/>
        <v>x</v>
      </c>
      <c r="FE35" s="112" t="str">
        <f>HYPERLINK("http://sghanstedt.elbnetz.com/ueber-uns/","x")</f>
        <v>x</v>
      </c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2" t="str">
        <f t="shared" si="16"/>
        <v>x</v>
      </c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2" t="str">
        <f t="shared" si="17"/>
        <v>x</v>
      </c>
      <c r="HZ35" s="112" t="str">
        <f t="shared" si="18"/>
        <v>x</v>
      </c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11"/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11"/>
      <c r="JR35" s="111"/>
      <c r="JS35" s="111"/>
      <c r="JT35" s="111"/>
      <c r="JU35" s="111"/>
      <c r="JV35" s="111"/>
      <c r="JW35" s="111"/>
      <c r="JX35" s="111"/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11"/>
      <c r="KL35" s="111"/>
      <c r="KM35" s="111"/>
      <c r="KN35" s="111"/>
      <c r="KO35" s="111"/>
      <c r="KP35" s="111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11"/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1"/>
      <c r="LT35" s="111"/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11"/>
      <c r="MH35" s="111"/>
      <c r="MI35" s="111"/>
    </row>
    <row r="36" spans="1:347" x14ac:dyDescent="0.25">
      <c r="A36" s="102" t="s">
        <v>70</v>
      </c>
      <c r="B36" s="127" t="s">
        <v>485</v>
      </c>
      <c r="C36" s="102"/>
      <c r="D36" s="102"/>
      <c r="E36" s="102"/>
      <c r="F36" s="102"/>
      <c r="G36" s="102"/>
      <c r="H36" s="102"/>
      <c r="I36" s="102"/>
      <c r="J36" s="102"/>
      <c r="K36" s="103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2"/>
      <c r="AP36" s="112"/>
      <c r="AQ36" s="112"/>
      <c r="AR36" s="112"/>
      <c r="AS36" s="112"/>
      <c r="AT36" s="112"/>
      <c r="AU36" s="112"/>
      <c r="AV36" s="113"/>
      <c r="AW36" s="114" t="str">
        <f t="shared" si="0"/>
        <v>x</v>
      </c>
      <c r="AX36" s="114" t="str">
        <f t="shared" si="1"/>
        <v>x</v>
      </c>
      <c r="AY36" s="111"/>
      <c r="AZ36" s="111"/>
      <c r="BA36" s="112" t="str">
        <f t="shared" si="2"/>
        <v>x</v>
      </c>
      <c r="BB36" s="112" t="str">
        <f t="shared" si="3"/>
        <v>x</v>
      </c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2" t="str">
        <f t="shared" si="4"/>
        <v>x</v>
      </c>
      <c r="BT36" s="112"/>
      <c r="BU36" s="111"/>
      <c r="BV36" s="112" t="str">
        <f t="shared" si="5"/>
        <v>x</v>
      </c>
      <c r="BW36" s="112"/>
      <c r="BX36" s="112"/>
      <c r="BY36" s="112"/>
      <c r="BZ36" s="112"/>
      <c r="CA36" s="112" t="str">
        <f t="shared" si="6"/>
        <v>x</v>
      </c>
      <c r="CB36" s="112" t="str">
        <f t="shared" si="7"/>
        <v>x</v>
      </c>
      <c r="CC36" s="112" t="str">
        <f t="shared" si="8"/>
        <v>x</v>
      </c>
      <c r="CD36" s="112"/>
      <c r="CE36" s="112"/>
      <c r="CF36" s="111"/>
      <c r="CG36" s="111"/>
      <c r="CH36" s="111"/>
      <c r="CI36" s="111"/>
      <c r="CJ36" s="112"/>
      <c r="CK36" s="112" t="str">
        <f t="shared" si="9"/>
        <v>x</v>
      </c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5"/>
      <c r="DD36" s="112"/>
      <c r="DE36" s="112"/>
      <c r="DF36" s="112" t="str">
        <f t="shared" si="10"/>
        <v>x</v>
      </c>
      <c r="DG36" s="115" t="str">
        <f t="shared" si="11"/>
        <v>x</v>
      </c>
      <c r="DH36" s="112" t="str">
        <f t="shared" si="12"/>
        <v>x</v>
      </c>
      <c r="DI36" s="112" t="str">
        <f t="shared" si="13"/>
        <v>x</v>
      </c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2"/>
      <c r="DV36" s="111"/>
      <c r="DW36" s="111"/>
      <c r="DX36" s="111"/>
      <c r="DY36" s="111"/>
      <c r="DZ36" s="111"/>
      <c r="EA36" s="111"/>
      <c r="EB36" s="112"/>
      <c r="EC36" s="112"/>
      <c r="ED36" s="111"/>
      <c r="EE36" s="111"/>
      <c r="EF36" s="111"/>
      <c r="EG36" s="111"/>
      <c r="EH36" s="111"/>
      <c r="EI36" s="111"/>
      <c r="EJ36" s="112"/>
      <c r="EK36" s="112"/>
      <c r="EL36" s="111"/>
      <c r="EM36" s="112" t="str">
        <f>HYPERLINK("http://www.kvs-sachsen.de/fileadmin/img/Mitglieder/Asylbewerber/Allg-Informationen/Anlage_1_Burmese_LEK.PDF","x")</f>
        <v>x</v>
      </c>
      <c r="EN36" s="112"/>
      <c r="EO36" s="111"/>
      <c r="EP36" s="117"/>
      <c r="EQ36" s="117"/>
      <c r="ER36" s="112" t="str">
        <f>HYPERLINK("http://www.kvs-sachsen.de/fileadmin/img/Mitglieder/Asylbewerber/Allg-Informationen/Anlagen_2-1_2-2_Burmese_LEK.PDF","x")</f>
        <v>x</v>
      </c>
      <c r="ES36" s="111"/>
      <c r="ET36" s="111"/>
      <c r="EU36" s="111"/>
      <c r="EV36" s="111"/>
      <c r="EW36" s="112" t="str">
        <f t="shared" si="14"/>
        <v>x</v>
      </c>
      <c r="EX36" s="111"/>
      <c r="EY36" s="111"/>
      <c r="EZ36" s="111"/>
      <c r="FA36" s="111"/>
      <c r="FB36" s="111"/>
      <c r="FC36" s="111"/>
      <c r="FD36" s="112" t="str">
        <f t="shared" si="15"/>
        <v>x</v>
      </c>
      <c r="FE36" s="112"/>
      <c r="FF36" s="111"/>
      <c r="FG36" s="111"/>
      <c r="FH36" s="111"/>
      <c r="FI36" s="111"/>
      <c r="FJ36" s="112"/>
      <c r="FK36" s="112"/>
      <c r="FL36" s="111"/>
      <c r="FM36" s="111"/>
      <c r="FN36" s="112"/>
      <c r="FO36" s="112"/>
      <c r="FP36" s="112"/>
      <c r="FQ36" s="111"/>
      <c r="FR36" s="112"/>
      <c r="FS36" s="112"/>
      <c r="FT36" s="112"/>
      <c r="FU36" s="112"/>
      <c r="FV36" s="112"/>
      <c r="FW36" s="112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2"/>
      <c r="GI36" s="111"/>
      <c r="GJ36" s="111"/>
      <c r="GK36" s="111"/>
      <c r="GL36" s="111"/>
      <c r="GM36" s="112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2" t="str">
        <f t="shared" si="16"/>
        <v>x</v>
      </c>
      <c r="HD36" s="111"/>
      <c r="HE36" s="111"/>
      <c r="HF36" s="111"/>
      <c r="HG36" s="111"/>
      <c r="HH36" s="111"/>
      <c r="HI36" s="111"/>
      <c r="HJ36" s="111"/>
      <c r="HK36" s="112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2" t="str">
        <f t="shared" si="17"/>
        <v>x</v>
      </c>
      <c r="HZ36" s="112" t="str">
        <f t="shared" si="18"/>
        <v>x</v>
      </c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2"/>
      <c r="IL36" s="111"/>
      <c r="IM36" s="111"/>
      <c r="IN36" s="111"/>
      <c r="IO36" s="111"/>
      <c r="IP36" s="111"/>
      <c r="IQ36" s="112"/>
      <c r="IR36" s="112"/>
      <c r="IS36" s="111"/>
      <c r="IT36" s="111"/>
      <c r="IU36" s="111"/>
      <c r="IV36" s="112"/>
      <c r="IW36" s="112"/>
      <c r="IX36" s="112"/>
      <c r="IY36" s="112"/>
      <c r="IZ36" s="111"/>
      <c r="JA36" s="111"/>
      <c r="JB36" s="111"/>
      <c r="JC36" s="112"/>
      <c r="JD36" s="111"/>
      <c r="JE36" s="112"/>
      <c r="JF36" s="112"/>
      <c r="JG36" s="112"/>
      <c r="JH36" s="112"/>
      <c r="JI36" s="111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1"/>
      <c r="JV36" s="111"/>
      <c r="JW36" s="112"/>
      <c r="JX36" s="112"/>
      <c r="JY36" s="111"/>
      <c r="JZ36" s="111"/>
      <c r="KA36" s="111"/>
      <c r="KB36" s="111"/>
      <c r="KC36" s="111"/>
      <c r="KD36" s="111"/>
      <c r="KE36" s="111"/>
      <c r="KF36" s="112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</row>
    <row r="37" spans="1:347" x14ac:dyDescent="0.25">
      <c r="A37" s="102" t="s">
        <v>399</v>
      </c>
      <c r="B37" s="127" t="s">
        <v>5</v>
      </c>
      <c r="C37" s="102"/>
      <c r="D37" s="102"/>
      <c r="E37" s="102"/>
      <c r="F37" s="102"/>
      <c r="G37" s="102"/>
      <c r="H37" s="102"/>
      <c r="I37" s="102"/>
      <c r="J37" s="102"/>
      <c r="K37" s="103"/>
      <c r="L37" s="111"/>
      <c r="M37" s="111"/>
      <c r="N37" s="111"/>
      <c r="O37" s="111"/>
      <c r="P37" s="112" t="str">
        <f>HYPERLINK("http://www.awb-ahrweiler.de/admin/data/ddownload/Abfall%20Sonderhinweise-Franzoesisch%202015.pdf","x")</f>
        <v>x</v>
      </c>
      <c r="Q37" s="111"/>
      <c r="R37" s="111"/>
      <c r="S37" s="111"/>
      <c r="T37" s="111"/>
      <c r="U37" s="112" t="str">
        <f>HYPERLINK("http://www.ag-fluechtlingshilfe-wetterau.de/uploads/infos/191.pdf","x")</f>
        <v>x</v>
      </c>
      <c r="V37" s="112"/>
      <c r="W37" s="112"/>
      <c r="X37" s="111"/>
      <c r="Y37" s="112"/>
      <c r="Z37" s="112"/>
      <c r="AA37" s="112"/>
      <c r="AB37" s="112"/>
      <c r="AC37" s="112"/>
      <c r="AD37" s="112" t="str">
        <f>HYPERLINK("http://www.rundfunkbeitrag.de/e175/e1632/Informationsflyer_Buergerinnen_und_Buerger_franzoesisch.pdf","x")</f>
        <v>x</v>
      </c>
      <c r="AE37" s="112"/>
      <c r="AF37" s="112" t="str">
        <f>HYPERLINK("http://www.kub-berlin.org/formularprojekt/franzoesisch-antraege-und-anlagen-uebersetzungshilfen/","x")</f>
        <v>x</v>
      </c>
      <c r="AG37" s="112" t="str">
        <f>HYPERLINK("http://asyl-in-moenchengladbach.de/wp-content/uploads/2015/11/100711-Flyer_FR.pdf","x")</f>
        <v>x</v>
      </c>
      <c r="AH37" s="112" t="str">
        <f>HYPERLINK("http://sghanstedt.elbnetz.com/ueber-uns/","x")</f>
        <v>x</v>
      </c>
      <c r="AI37" s="111"/>
      <c r="AJ37" s="111"/>
      <c r="AK37" s="112" t="str">
        <f>HYPERLINK("https://www.vrsinfo.de/fileadmin/Dateien/downloadcenter/Folder_MobilPassTicket_Refugees01012016.pdf","x")</f>
        <v>x</v>
      </c>
      <c r="AL37" s="112" t="str">
        <f>HYPERLINK("https://www.vrsinfo.de/fileadmin/Dateien/downloadcenter/Willkommen_im_VRS2016_Druck.pdf","x")</f>
        <v>x</v>
      </c>
      <c r="AM37" s="112"/>
      <c r="AN37" s="112" t="str">
        <f>HYPERLINK("https://www.deutschebahn.com/file/de/2191748/eYdgZpqGpp5sMJ2KMKtg2r8aE4Q/10123812/data/infos_fuer_fluechtlinge.pdf","x")</f>
        <v>x</v>
      </c>
      <c r="AO37" s="112"/>
      <c r="AP37" s="112"/>
      <c r="AQ37" s="112"/>
      <c r="AR37" s="112"/>
      <c r="AS37" s="112"/>
      <c r="AT37" s="112"/>
      <c r="AU37" s="112"/>
      <c r="AV37" s="114" t="str">
        <f>HYPERLINK("http://www.studentenwerke.de/de/content/illustriertes-wohnheimw%C3%B6rterbuch-1","x")</f>
        <v>x</v>
      </c>
      <c r="AW37" s="114" t="str">
        <f t="shared" si="0"/>
        <v>x</v>
      </c>
      <c r="AX37" s="114" t="str">
        <f t="shared" si="1"/>
        <v>x</v>
      </c>
      <c r="AY37" s="111"/>
      <c r="AZ37" s="111"/>
      <c r="BA37" s="112" t="str">
        <f t="shared" si="2"/>
        <v>x</v>
      </c>
      <c r="BB37" s="112" t="str">
        <f t="shared" si="3"/>
        <v>x</v>
      </c>
      <c r="BC37" s="111"/>
      <c r="BD37" s="111"/>
      <c r="BE37" s="111"/>
      <c r="BF37" s="112" t="str">
        <f>HYPERLINK("http://fi-lohmar-siegburg.de/data/documents/communicationboard-arabic-french.pdf","x")</f>
        <v>x</v>
      </c>
      <c r="BG37" s="111"/>
      <c r="BH37" s="112" t="str">
        <f>HYPERLINK("http://www.refugeephrasebook.de/pdf/germany150920.pdf","x")</f>
        <v>x</v>
      </c>
      <c r="BI37" s="112" t="str">
        <f>HYPERLINK("https://www.advanced-online.eu/downloads/RefugeePhrasebookCards_German-French.pdf","x")</f>
        <v>x</v>
      </c>
      <c r="BJ37" s="112" t="str">
        <f>HYPERLINK("http://www.klett-sprachen.de/download/8638/W100255_Refugees_Welcome_Wortschatz.pdf","x")</f>
        <v>x</v>
      </c>
      <c r="BK37" s="111"/>
      <c r="BL37" s="112" t="str">
        <f>HYPERLINK("http://www.bundessprachenamt.de/deutsch/wir_ueber_uns/nachrichten/2015/20151103/Verständigungshilfe_Französisch_26_11_2015.pdf","x")</f>
        <v>x</v>
      </c>
      <c r="BM37" s="111"/>
      <c r="BN37" s="111"/>
      <c r="BO37" s="111"/>
      <c r="BP37" s="111"/>
      <c r="BQ37" s="111"/>
      <c r="BR37" s="111"/>
      <c r="BS37" s="112" t="str">
        <f t="shared" si="4"/>
        <v>x</v>
      </c>
      <c r="BT37" s="112"/>
      <c r="BU37" s="111"/>
      <c r="BV37" s="112" t="str">
        <f t="shared" si="5"/>
        <v>x</v>
      </c>
      <c r="BW37" s="112" t="str">
        <f>HYPERLINK("http://www.welcomegrooves.de/wp-content/uploads/2015/11/welcomegrooves-de-franzoesisch.pdf","x")</f>
        <v>x</v>
      </c>
      <c r="BX37" s="112"/>
      <c r="BY37" s="112"/>
      <c r="BZ37" s="112" t="str">
        <f>HYPERLINK("http://fluechtlingshilfe-nettetal.de/ausbildung/video-sprachkurse-deutsch-fuer-fluechtlinge/video-sprachkurs-franzoesisch-deutsch/","x")</f>
        <v>x</v>
      </c>
      <c r="CA37" s="112" t="str">
        <f t="shared" si="6"/>
        <v>x</v>
      </c>
      <c r="CB37" s="112" t="str">
        <f t="shared" si="7"/>
        <v>x</v>
      </c>
      <c r="CC37" s="112" t="str">
        <f t="shared" si="8"/>
        <v>x</v>
      </c>
      <c r="CD37" s="112"/>
      <c r="CE37" s="112"/>
      <c r="CF37" s="111"/>
      <c r="CG37" s="111"/>
      <c r="CH37" s="112" t="str">
        <f>HYPERLINK("http://mifkjf.rlp.de/fileadmin/mifkjf/Frauen/Gewalt_gegen_Frauen/Downloads/Broschueren_Flyer/Flyer_Gewalt_franzoesisch.pdf","x")</f>
        <v>x</v>
      </c>
      <c r="CI37" s="112" t="str">
        <f>HYPERLINK("https://www.hilfetelefon.de/fileadmin/hilfetelefon_de/Materialien/Flyer/Infoflyer_Hilfetelefon_Gewalt_gegen_Frauen141105_b2.pdf","x")</f>
        <v>x</v>
      </c>
      <c r="CJ37" s="112" t="str">
        <f>HYPERLINK("https://www.hilfetelefon.de/fileadmin/hilfetelefon_de/Materialien/weitere_werbemittel/Klappflyer_Vorder-_und_Rueckseite_opt2.pdf","x")</f>
        <v>x</v>
      </c>
      <c r="CK37" s="112" t="str">
        <f t="shared" si="9"/>
        <v>x</v>
      </c>
      <c r="CL37" s="112"/>
      <c r="CM37" s="112"/>
      <c r="CN37" s="112"/>
      <c r="CO37" s="112"/>
      <c r="CP37" s="112" t="str">
        <f>HYPERLINK("http://www.schwanger-und-viele-fragen.de/fr/","x")</f>
        <v>x</v>
      </c>
      <c r="CQ37" s="112"/>
      <c r="CR37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37" s="112" t="str">
        <f>HYPERLINK("http://en.beststart.org/for_parents/are-you-looking-resources-languages-other-english-and-french","x")</f>
        <v>x</v>
      </c>
      <c r="CT37" s="112"/>
      <c r="CU37" s="112" t="str">
        <f>HYPERLINK("http://www.profamilia.de/fileadmin/publikationen/Erwachsene/mehrsprachig/Bro_Verhuetung_frz_141002.pdf","x")</f>
        <v>x</v>
      </c>
      <c r="CV37" s="112"/>
      <c r="CW37" s="112"/>
      <c r="CX37" s="112"/>
      <c r="CY37" s="112" t="str">
        <f>HYPERLINK("http://www.caritas-schwarzwald-alb-donau.de/68854.html","x")</f>
        <v>x</v>
      </c>
      <c r="CZ37" s="112"/>
      <c r="DA37" s="112"/>
      <c r="DB37" s="112"/>
      <c r="DC37" s="115" t="str">
        <f>HYPERLINK("http://www.kindersicherheit.de/pdf/2013_BAG_Tomi_and_Mila_Deutsch_Francais.pdf","x")</f>
        <v>x</v>
      </c>
      <c r="DD37" s="112"/>
      <c r="DE37" s="112"/>
      <c r="DF37" s="112" t="str">
        <f t="shared" si="10"/>
        <v>x</v>
      </c>
      <c r="DG37" s="115" t="str">
        <f t="shared" si="11"/>
        <v>x</v>
      </c>
      <c r="DH37" s="112" t="str">
        <f t="shared" si="12"/>
        <v>x</v>
      </c>
      <c r="DI37" s="112" t="str">
        <f t="shared" si="13"/>
        <v>x</v>
      </c>
      <c r="DJ37" s="112"/>
      <c r="DK37" s="112"/>
      <c r="DL37" s="112"/>
      <c r="DM37" s="112"/>
      <c r="DN37" s="112"/>
      <c r="DO37" s="112"/>
      <c r="DP37" s="111"/>
      <c r="DQ37" s="111"/>
      <c r="DR37" s="112" t="str">
        <f>HYPERLINK("https://broschueren.nordrheinwestfalendirekt.de/broschuerenservice/msw/fr-das-schulsystem-in-nordrhein-westfalen-einfach-und-schnell-erklaert/1903","x")</f>
        <v>x</v>
      </c>
      <c r="DS37" s="112" t="str">
        <f>HYPERLINK("http://bildung.koeln.de/materialbibliothek/download.php?idx=6f75d59e17e7868506c0a48e6f7a44f2","x")</f>
        <v>x</v>
      </c>
      <c r="DT37" s="112" t="str">
        <f>HYPERLINK("http://bildung.koeln.de/materialbibliothek/download.php?idx=bde72be3f1bc4c51a4b0bcfe4a4187c4","x")</f>
        <v>x</v>
      </c>
      <c r="DU37" s="112"/>
      <c r="DV37" s="112" t="str">
        <f>HYPERLINK("https://www.bmbf.de/pub/KAUSA_Elternratgeber_deutsch_franzoesisch.pdf","x")</f>
        <v>x</v>
      </c>
      <c r="DW37" s="111"/>
      <c r="DX37" s="112" t="str">
        <f>HYPERLINK("http://www.wissenschaft.nrw.de/studium/informieren/informationen-fuer-fluechtlinge-die-in-nrw-studieren-moechten/","x")</f>
        <v>x</v>
      </c>
      <c r="DY37" s="111"/>
      <c r="DZ37" s="112" t="str">
        <f>HYPERLINK("http://www.bamf.de/SharedDocs/Anlagen/DE/Publikationen/Flyer/AnerkennungBerufsabschluss/anerkennung-berufsabschluss_fr.pdf?__blob=publicationFile","x")</f>
        <v>x</v>
      </c>
      <c r="EA37" s="112" t="str">
        <f>HYPERLINK("http://www.bamf.de/SharedDocs/Anlagen/DE/Publikationen/Flyer/AnerkennungBerufsabschluss/anerkennung-berufsabschluss_ausland_fr.pdf?__blob=publicationFile","x")</f>
        <v>x</v>
      </c>
      <c r="EB37" s="112" t="str">
        <f>HYPERLINK("http://www.bamf.de/SharedDocs/Anlagen/DE/Publikationen/Broschueren/willkommen-in-deutschland-info-blaue-karte-eu_fr.pdf?__blob=publicationFile","x")</f>
        <v>x</v>
      </c>
      <c r="EC37" s="112" t="str">
        <f>HYPERLINK("http://www.bamf.de/SharedDocs/Anlagen/DE/Publikationen/Flyer/Berufsbezsprachf-ESF-BAMF/berufsbezsprachf-esf-bamf_fr.pdf?__blob=publicationFile","x")</f>
        <v>x</v>
      </c>
      <c r="ED37" s="111"/>
      <c r="EE37" s="111"/>
      <c r="EF37" s="111"/>
      <c r="EG37" s="111"/>
      <c r="EH37" s="111"/>
      <c r="EI37" s="111"/>
      <c r="EJ37" s="112"/>
      <c r="EK37" s="112" t="str">
        <f>HYPERLINK("http://fluechtlingsrat-bw.de/files/Dateien/Dokumente/Materialbestellung/2014-12-flyer%20arbeitserlaubnis%20FRZ%20WEB.pdf","x")</f>
        <v>x</v>
      </c>
      <c r="EL37" s="111"/>
      <c r="EM37" s="112" t="str">
        <f>HYPERLINK("http://www.kvs-sachsen.de/fileadmin/img/Mitglieder/Asylbewerber/Allg-Informationen/Anlage_1_Franzoesisch_LEK.pdf","x")</f>
        <v>x</v>
      </c>
      <c r="EN37" s="112" t="str">
        <f>HYPERLINK("http://www.medizin-hilft-fluechtlingen.de/images/Dokumente/gSch/gSch_fra.pdf","x")</f>
        <v>x</v>
      </c>
      <c r="EO37" s="112"/>
      <c r="EP37" s="117" t="str">
        <f>HYPERLINK("http://www.medi-bild.de/pdf/anamnese/Welche_Sprache.pdf","x")</f>
        <v>x</v>
      </c>
      <c r="EQ37" s="117" t="str">
        <f>HYPERLINK("http://www.armut-gesundheit.de/fileadmin/redakteur/dokumente/Anamnesebogen%20-%20franz%C3%B6sischnew.pdf","x")</f>
        <v>x</v>
      </c>
      <c r="ER37" s="112" t="str">
        <f>HYPERLINK("http://www.kvs-sachsen.de/fileadmin/img/Mitglieder/Asylbewerber/Allg-Informationen/Anlagen_2-1_2-2_Franzoesisch_LEK.pdf","x")</f>
        <v>x</v>
      </c>
      <c r="ES37" s="111"/>
      <c r="ET37" s="111"/>
      <c r="EU37" s="112" t="str">
        <f>HYPERLINK("http://medizin-hilft-fluechtlingen.de/images/Dokumente/ein/ein_per.pdf","x")</f>
        <v>x</v>
      </c>
      <c r="EV37" s="112" t="str">
        <f>HYPERLINK("http://www.adler-apotheke-hh.de/fileadmin/user_upload/PDF-Dateien/Dosierzettel_mehrsprachig_AUF_0_.pdf","x")</f>
        <v>x</v>
      </c>
      <c r="EW37" s="112" t="str">
        <f t="shared" si="14"/>
        <v>x</v>
      </c>
      <c r="EX37" s="112" t="str">
        <f>HYPERLINK("http://www.rki.de/DE/Content/Infekt/IfSG/Belehrungsbogen/belehrungsbogen_eltern_franzoesisch.pdf?__blob=publicationFile","x")</f>
        <v>x</v>
      </c>
      <c r="EY37" s="111"/>
      <c r="EZ37" s="112" t="str">
        <f>HYPERLINK("https://www.mh-hannover.de/fileadmin/mhh/bilder/aktuelles_presse/pressestelle/bilder/Pilzvergif_franzoesisch.pdf","x")</f>
        <v>x</v>
      </c>
      <c r="FA37" s="112"/>
      <c r="FB37" s="112" t="str">
        <f>HYPERLINK("http://static.apotheken-umschau.de/media/gp/article_506373/bildwoerterbuch.pdf","x")</f>
        <v>x</v>
      </c>
      <c r="FC37" s="111"/>
      <c r="FD37" s="112" t="str">
        <f t="shared" si="15"/>
        <v>x</v>
      </c>
      <c r="FE37" s="112" t="str">
        <f>HYPERLINK("http://sghanstedt.elbnetz.com/ueber-uns/","x")</f>
        <v>x</v>
      </c>
      <c r="FF37" s="111"/>
      <c r="FG37" s="112" t="str">
        <f>HYPERLINK("http://www.tipdoc.de/grafik/asyl/Gesundheitsheft_Asyl.pdf","x")</f>
        <v>x</v>
      </c>
      <c r="FH37" s="111"/>
      <c r="FI37" s="111"/>
      <c r="FJ37" s="112"/>
      <c r="FK37" s="112" t="str">
        <f>HYPERLINK("http://www.rki.de/DE/Content/Infekt/Impfen/Materialien/Downloads-Impfkalender/Impfkalender_Franzoesisch.pdf?__blob=publicationFile","x")</f>
        <v>x</v>
      </c>
      <c r="FL37" s="112" t="str">
        <f>HYPERLINK("http://www.ethno-medizinisches-zentrum.de/images/PDF-Files/impfwegweiser_franzosisch_2013_online.pdf","x")</f>
        <v>x</v>
      </c>
      <c r="FM37" s="112"/>
      <c r="FN37" s="112" t="str">
        <f>HYPERLINK("http://www.rki.de/DE/Content/Infekt/Impfen/Materialien/Glossar-Downloads/glossar-de-franzoesisch.pdf?__blob=publicationFile","x")</f>
        <v>x</v>
      </c>
      <c r="FO37" s="112" t="str">
        <f>HYPERLINK("http://www.euro.who.int/__data/assets/pdf_file/0012/162300/VPD-Signs,-symptoms-and-complications-FRE.pdf","x")</f>
        <v>x</v>
      </c>
      <c r="FP37" s="112" t="str">
        <f>HYPERLINK("http://www.rki.de/DE/Content/Infekt/Impfen/Materialien/Downloads-MMR/MMR-Impfinfo-franzoesisch.pdf?__blob=publicationFile","x")</f>
        <v>x</v>
      </c>
      <c r="FQ37" s="112" t="str">
        <f>HYPERLINK("http://www.rki.de/DE/Content/InfAZ/P/Polio/Ausbruch_Syrien/Informationsblatt_Polio_Franzoesisch.pdf?__blob=publicationFile","x")</f>
        <v>x</v>
      </c>
      <c r="FR37" s="112" t="str">
        <f>HYPERLINK("http://www.rki.de/DE/Content/Infekt/Impfen/Materialien/Downloads_HepA/Aufklaerung_HAV-Impfung_Franzoesisch.pdf?__blob=publicationFile","x")</f>
        <v>x</v>
      </c>
      <c r="FS37" s="112" t="str">
        <f>HYPERLINK("http://www.rki.de/DE/Content/Infekt/Impfen/Materialien/Downloads_Pneumokokken/Aufklaerung_Pneumo-Impfung_Franzoesisch.pdf?__blob=publicationFile","x")</f>
        <v>x</v>
      </c>
      <c r="FT37" s="112" t="str">
        <f>HYPERLINK("http://www.rki.de/DE/Content/Infekt/Impfen/Materialien/Downloads-DTaPIPVHibHepB/DTaPIPVHibHepB-franzoesisch.pdf?__blob=publicationFile","x")</f>
        <v>x</v>
      </c>
      <c r="FU37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37" s="112" t="str">
        <f>HYPERLINK("http://www.rki.de/DE/Content/Infekt/Impfen/Materialien/Downloads-Tdap-IPV/Tdap-IPV-franzoesisch.pdf?__blob=publicationFile","x")</f>
        <v>x</v>
      </c>
      <c r="FW37" s="112" t="str">
        <f>HYPERLINK("http://www.rki.de/DE/Content/Infekt/Impfen/Materialien/Downloads-Influenza_nasal/Influenza_nasal-franzoesisch.pdf?__blob=publicationFile","x")</f>
        <v>x</v>
      </c>
      <c r="FX37" s="111"/>
      <c r="FY37" s="112"/>
      <c r="FZ37" s="112"/>
      <c r="GA37" s="111"/>
      <c r="GB37" s="111"/>
      <c r="GC37" s="111"/>
      <c r="GD37" s="112" t="str">
        <f>HYPERLINK("http://www.ethno-medizinisches-zentrum.de/images/PDF-Files/lf_diabete_franzosisch.pdf","x")</f>
        <v>x</v>
      </c>
      <c r="GE37" s="111"/>
      <c r="GF37" s="111"/>
      <c r="GG37" s="111"/>
      <c r="GH37" s="112"/>
      <c r="GI37" s="111"/>
      <c r="GJ37" s="111"/>
      <c r="GK37" s="112" t="str">
        <f>HYPERLINK("http://www.tipdoc.de/bus/pdf/hiv/HIV%20SRF_Webseite.pdf","x")</f>
        <v>x</v>
      </c>
      <c r="GL37" s="111"/>
      <c r="GM37" s="112" t="str">
        <f>HYPERLINK("http://www.rki.de/DE/Content/Infekt/Impfen/Materialien/Downloads-Influenza/Influenza-franzoesisch.pdf?__blob=publicationFile","x")</f>
        <v>x</v>
      </c>
      <c r="GN37" s="111"/>
      <c r="GO37" s="111"/>
      <c r="GP37" s="112" t="str">
        <f>HYPERLINK("http://www.tipdoc.de/grafik/pdf/kopflaeuse/Kopflaeuse_FRANZ.pdf","x")</f>
        <v>x</v>
      </c>
      <c r="GQ37" s="112"/>
      <c r="GR37" s="112" t="str">
        <f>HYPERLINK("http://www.tipdoc.com/bus/pdf/kraetze/tipdoc_Scabies_FRANZ.pdf","x")</f>
        <v>x</v>
      </c>
      <c r="GS37" s="112" t="str">
        <f>HYPERLINK("http://www.tipdoc.com/bus/pdf/MagenDarmHaende/MagenDarmHaende_FRANZ.pdf","x")</f>
        <v>x</v>
      </c>
      <c r="GT37" s="111"/>
      <c r="GU37" s="111"/>
      <c r="GV37" s="111"/>
      <c r="GW37" s="111"/>
      <c r="GX37" s="111"/>
      <c r="GY37" s="111"/>
      <c r="GZ37" s="111"/>
      <c r="HA37" s="111"/>
      <c r="HB37" s="111"/>
      <c r="HC37" s="112" t="str">
        <f t="shared" si="16"/>
        <v>x</v>
      </c>
      <c r="HD37" s="112" t="str">
        <f>HYPERLINK("https://www.zahnaerzte-wl.de/images/_PDF-suche/KZV_ZÄK/ENDSTAND_Ankreuzbogen_Ich_verstehe.pdf","x")</f>
        <v>x</v>
      </c>
      <c r="HE37" s="112" t="str">
        <f>HYPERLINK("https://www.zahnaerzte-wl.de/images/_PDF-suche/KZV_ZÄK/Anschreiben_Patienten_franzoesisch.pdf","x")</f>
        <v>x</v>
      </c>
      <c r="HF37" s="112" t="str">
        <f>HYPERLINK("https://www.zahnaerzte-wl.de/images/_PDF-suche/KZV_ZÄK/Fragebogen_franzoesisch.pdf","x")</f>
        <v>x</v>
      </c>
      <c r="HG37" s="112" t="str">
        <f>HYPERLINK("https://www.zahnaerzte-wl.de/images/_PDF-suche/KZV_ZÄK/Patientenerhebungsbogen_franzoesisch.pdf","x")</f>
        <v>x</v>
      </c>
      <c r="HH37" s="112"/>
      <c r="HI37" s="112" t="str">
        <f>HYPERLINK("http://www.bvkm.de/fileadmin/web_data/Behinderung_und_Migration_franzoesisch_2014.pdf","x")</f>
        <v>x</v>
      </c>
      <c r="HJ37" s="112"/>
      <c r="HK37" s="112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2" t="str">
        <f t="shared" si="17"/>
        <v>x</v>
      </c>
      <c r="HZ37" s="112" t="str">
        <f t="shared" si="18"/>
        <v>x</v>
      </c>
      <c r="IA37" s="112" t="str">
        <f>HYPERLINK("http://peacefulheart.se/wp-content/uploads/2015/01/Tapping_French_Module-20150102-2.pdf","x")</f>
        <v>x</v>
      </c>
      <c r="IB37" s="111"/>
      <c r="IC37" s="111"/>
      <c r="ID37" s="111"/>
      <c r="IE37" s="111"/>
      <c r="IF37" s="111"/>
      <c r="IG37" s="111"/>
      <c r="IH37" s="111"/>
      <c r="II37" s="112" t="str">
        <f>HYPERLINK("http://www.caritas.de/hilfeundberatung/onlineberatung/suchtberatung/haeufiggestelltefragensucht/haeufiggestelltefragen-sucht","x")</f>
        <v>x</v>
      </c>
      <c r="IJ37" s="111"/>
      <c r="IK37" s="112" t="str">
        <f>HYPERLINK("http://www.bamf.de/SharedDocs/Anlagen/DE/Publikationen/Flyer/Lassen-Sie-Sich-Beraten/lassen-sie-sich-beraten_fr.pdf?__blob=publicationFile","x")</f>
        <v>x</v>
      </c>
      <c r="IL37" s="112" t="str">
        <f>HYPERLINK("http://www.bamf.de/SharedDocs/Anlagen/DE/Publikationen/Flyer/flyer-erstorientierung-asylsuchende_franzoesisch.pdf?__blob=publicationFile","x")</f>
        <v>x</v>
      </c>
      <c r="IM37" s="112" t="str">
        <f>HYPERLINK("http://www.frnrw.de/index.php/inhaltliche-themen/arbeitshilfen/item/3710-erstinfos-fuer-asylsuchende","x")</f>
        <v>x</v>
      </c>
      <c r="IN37" s="112" t="str">
        <f>HYPERLINK("https://www.bamf.de/SharedDocs/Anlagen/DE/Publikationen/Broschueren/willkommen-in-deutschland_fr.pdf?__blob=publicationFile","x")</f>
        <v>x</v>
      </c>
      <c r="IO37" s="112"/>
      <c r="IP37" s="112"/>
      <c r="IQ37" s="112" t="str">
        <f>HYPERLINK("http://www.bamf.de/SharedDocs/Anlagen/DE/Publikationen/Flyer/Lernen-Sie-Deutsch/lernen-sie-deutsch_fr.pdf?__blob=publicationFile","x")</f>
        <v>x</v>
      </c>
      <c r="IR37" s="112"/>
      <c r="IS37" s="111"/>
      <c r="IT37" s="111"/>
      <c r="IU37" s="111"/>
      <c r="IV37" s="112" t="str">
        <f>HYPERLINK("http://www.asyl.net/fileadmin/user_upload/infoblatt_anhoerung/Frz_final.pdf","x")</f>
        <v>x</v>
      </c>
      <c r="IW37" s="112"/>
      <c r="IX37" s="112" t="str">
        <f>HYPERLINK("http://www.berlin.de/labo/willkommen-in-berlin/service/downloads/artikel.273193.php","x")</f>
        <v>x</v>
      </c>
      <c r="IY37" s="112" t="str">
        <f>HYPERLINK("http://www.bamf.de/SharedDocs/Anlagen/DE/Publikationen/Broschueren/broschuere-eat-a4-fr-franzoesisch.pdf?__blob=publicationFile","x")</f>
        <v>x</v>
      </c>
      <c r="IZ37" s="111"/>
      <c r="JA37" s="112" t="str">
        <f>HYPERLINK("http://fluechtlingsrat-bw.de/informationen-fuer-fluechtlinge.html","x")</f>
        <v>x</v>
      </c>
      <c r="JB37" s="111"/>
      <c r="JC37" s="112" t="str">
        <f>HYPERLINK("http://www.bamf.de/SharedDocs/Anlagen/DE/Publikationen/Flyer/20150223_ura2_fra.pdf?__blob=publicationFile","x")</f>
        <v>x</v>
      </c>
      <c r="JD37" s="111"/>
      <c r="JE37" s="112"/>
      <c r="JF37" s="112"/>
      <c r="JG37" s="112"/>
      <c r="JH37" s="112"/>
      <c r="JI37" s="111"/>
      <c r="JJ37" s="112" t="str">
        <f>HYPERLINK("http://www.kub-berlin.org/formularprojekt/franzoesisch-antraege-und-anlagen-uebersetzungshilfen/","x")</f>
        <v>x</v>
      </c>
      <c r="JK37" s="112" t="str">
        <f>HYPERLINK("https://www.arbeitsagentur.de/web/wcm/idc/groups/public/documents/webdatei/mdaw/mjg1/~edisp/l6019022dstbai788667.pdf?_ba.sid=L6019022DSTBAI784626","x")</f>
        <v>x</v>
      </c>
      <c r="JL37" s="112" t="str">
        <f>HYPERLINK("http://www.kub-berlin.org/formularprojekt/franzoesisch-antraege-und-anlagen-uebersetzungshilfen/","x")</f>
        <v>x</v>
      </c>
      <c r="JM37" s="112" t="str">
        <f>HYPERLINK("https://www.arbeitsagentur.de/web/content/DE/Formulare/Detail/index.htm?dfContentId=L6019022DSTBAI485740","x")</f>
        <v>x</v>
      </c>
      <c r="JN37" s="112"/>
      <c r="JO37" s="112"/>
      <c r="JP37" s="112"/>
      <c r="JQ37" s="112"/>
      <c r="JR37" s="112" t="str">
        <f>HYPERLINK("http://www.ibla-germany.de/merkblaetter.php","x")</f>
        <v>x</v>
      </c>
      <c r="JS37" s="112"/>
      <c r="JT37" s="112" t="str">
        <f>HYPERLINK("http://www.b-umf.de/images/willkommen/willkommensbroschurefranzoesisch-web.pdf","x")</f>
        <v>x</v>
      </c>
      <c r="JU37" s="111"/>
      <c r="JV37" s="111"/>
      <c r="JW37" s="112"/>
      <c r="JX37" s="112"/>
      <c r="JY37" s="112"/>
      <c r="JZ37" s="112"/>
      <c r="KA37" s="112"/>
      <c r="KB37" s="112" t="str">
        <f>HYPERLINK("http://www.refugeeguide.de/dl/RefugeeGuide_fr_925.pdf","x")</f>
        <v>x</v>
      </c>
      <c r="KC37" s="111"/>
      <c r="KD37" s="112" t="str">
        <f>HYPERLINK("http://www.wedel.de/fileadmin/user_upload/media/pdf/Rathaus_und_Politik/20160118_PM_Broschuere.pdf","x")</f>
        <v>x</v>
      </c>
      <c r="KE37" s="112" t="str">
        <f>HYPERLINK("http://www.frauenrechte.de/online/images/downloads/allgemein/TDF_Flyer_Women_Men.pdf","x")</f>
        <v>x</v>
      </c>
      <c r="KF37" s="112" t="str">
        <f>HYPERLINK("http://sab.landtag.sachsen.de/dokumente/landtagskurier/Grundwerte-A5-international_web_08012016.pdf","x")</f>
        <v>x</v>
      </c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1"/>
      <c r="LD37" s="112"/>
      <c r="LE37" s="112"/>
      <c r="LF37" s="112"/>
      <c r="LG37" s="112"/>
      <c r="LH37" s="112"/>
      <c r="LI37" s="112"/>
      <c r="LJ37" s="112"/>
      <c r="LK37" s="112"/>
      <c r="LL37" s="112"/>
      <c r="LM37" s="111"/>
      <c r="LN37" s="111"/>
      <c r="LO37" s="111"/>
      <c r="LP37" s="111"/>
      <c r="LQ37" s="112"/>
      <c r="LR37" s="111"/>
      <c r="LS37" s="112"/>
      <c r="LT37" s="112"/>
      <c r="LU37" s="111"/>
      <c r="LV37" s="111"/>
      <c r="LW37" s="111"/>
      <c r="LX37" s="111"/>
      <c r="LY37" s="111"/>
      <c r="LZ37" s="111"/>
      <c r="MA37" s="111"/>
      <c r="MB37" s="112"/>
      <c r="MC37" s="111"/>
      <c r="MD37" s="112" t="str">
        <f>HYPERLINK("http://www.rki.de/DE/Content/Infekt/IfSG/Belehrungsbogen/belehrungsbogen_lebensmittel_franzoesisch.pdf?__blob=publicationFile","x")</f>
        <v>x</v>
      </c>
      <c r="ME37" s="111"/>
      <c r="MF37" s="112" t="str">
        <f>HYPERLINK("http://www.gdv.de/wp-content/uploads/2016/01/Information_Brandschutz_Fluechtlingsheim_-Sicherheit_mehrsprachig.pdf","x")</f>
        <v>x</v>
      </c>
      <c r="MG37" s="112" t="str">
        <f>HYPERLINK("http://www.gdv.de/wp-content/uploads/2016/01/Information_Verhalten-im-Brandfall_mehrsprachig.pdf","x")</f>
        <v>x</v>
      </c>
      <c r="MH37" s="112" t="str">
        <f>HYPERLINK("http://www.aha-region.de/fileadmin/Download/pdf/aha_Plakat_Muelltrennung_fr.pdf","x")</f>
        <v>x</v>
      </c>
      <c r="MI37" s="112" t="str">
        <f>HYPERLINK("http://www.kindersicherheit.de/pdf/2012_poster_achtunggiftig_8sprachig.pdf","x")</f>
        <v>x</v>
      </c>
    </row>
    <row r="38" spans="1:347" x14ac:dyDescent="0.25">
      <c r="A38" s="102" t="s">
        <v>71</v>
      </c>
      <c r="B38" s="127" t="s">
        <v>44</v>
      </c>
      <c r="C38" s="102"/>
      <c r="D38" s="102"/>
      <c r="E38" s="102"/>
      <c r="F38" s="102"/>
      <c r="G38" s="102"/>
      <c r="H38" s="102"/>
      <c r="I38" s="102"/>
      <c r="J38" s="102"/>
      <c r="K38" s="103"/>
      <c r="L38" s="111"/>
      <c r="M38" s="111"/>
      <c r="N38" s="112" t="str">
        <f>HYPERLINK("http://www.ag-fluechtlingshilfe-wetterau.de/uploads/infos/170.pdf","x")</f>
        <v>x</v>
      </c>
      <c r="O38" s="112"/>
      <c r="P38" s="112"/>
      <c r="Q38" s="112"/>
      <c r="R38" s="112"/>
      <c r="S38" s="112"/>
      <c r="T38" s="112"/>
      <c r="U38" s="112"/>
      <c r="V38" s="112"/>
      <c r="W38" s="111"/>
      <c r="X38" s="112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2"/>
      <c r="AP38" s="112"/>
      <c r="AQ38" s="112"/>
      <c r="AR38" s="112"/>
      <c r="AS38" s="112"/>
      <c r="AT38" s="112"/>
      <c r="AU38" s="112"/>
      <c r="AV38" s="113"/>
      <c r="AW38" s="114" t="str">
        <f t="shared" si="0"/>
        <v>x</v>
      </c>
      <c r="AX38" s="114" t="str">
        <f t="shared" si="1"/>
        <v>x</v>
      </c>
      <c r="AY38" s="111"/>
      <c r="AZ38" s="111"/>
      <c r="BA38" s="112" t="str">
        <f t="shared" si="2"/>
        <v>x</v>
      </c>
      <c r="BB38" s="112" t="str">
        <f t="shared" si="3"/>
        <v>x</v>
      </c>
      <c r="BC38" s="111"/>
      <c r="BD38" s="111"/>
      <c r="BE38" s="111"/>
      <c r="BF38" s="111"/>
      <c r="BG38" s="111"/>
      <c r="BH38" s="112" t="str">
        <f>HYPERLINK("http://www.refugeephrasebook.de/pdf/germany150920.pdf","x")</f>
        <v>x</v>
      </c>
      <c r="BI38" s="112" t="str">
        <f>HYPERLINK("https://www.advanced-online.eu/downloads/RefugeePhrasebookCards_German-Bosnian-Croatian-Serbian.pdf","x")</f>
        <v>x</v>
      </c>
      <c r="BJ38" s="111"/>
      <c r="BK38" s="111"/>
      <c r="BL38" s="112" t="str">
        <f>HYPERLINK("http://www.bundessprachenamt.de/deutsch/wir_ueber_uns/nachrichten/2015/20151103/Verständigungshilfe_Bosnisch_04_12_2015.pdf","x")</f>
        <v>x</v>
      </c>
      <c r="BM38" s="111"/>
      <c r="BN38" s="111"/>
      <c r="BO38" s="111"/>
      <c r="BP38" s="111"/>
      <c r="BQ38" s="111"/>
      <c r="BR38" s="111"/>
      <c r="BS38" s="112" t="str">
        <f t="shared" si="4"/>
        <v>x</v>
      </c>
      <c r="BT38" s="112"/>
      <c r="BU38" s="111"/>
      <c r="BV38" s="112" t="str">
        <f t="shared" si="5"/>
        <v>x</v>
      </c>
      <c r="BW38" s="112" t="str">
        <f>HYPERLINK("http://www.welcomegrooves.de/wp-content/uploads/2015/10/welcomegrooves_DE-BOSNISCH-SERBISCH_latein.pdf","x")</f>
        <v>x</v>
      </c>
      <c r="BX38" s="112"/>
      <c r="BY38" s="112"/>
      <c r="BZ38" s="112"/>
      <c r="CA38" s="112" t="str">
        <f t="shared" si="6"/>
        <v>x</v>
      </c>
      <c r="CB38" s="112" t="str">
        <f t="shared" si="7"/>
        <v>x</v>
      </c>
      <c r="CC38" s="112" t="str">
        <f t="shared" si="8"/>
        <v>x</v>
      </c>
      <c r="CD38" s="112"/>
      <c r="CE38" s="112"/>
      <c r="CF38" s="111"/>
      <c r="CG38" s="112" t="str">
        <f>HYPERLINK("http://www.braunschweig.de/leben/frauen/hilfe/Ohne-Gewalt-leben.pdf","x")</f>
        <v>x</v>
      </c>
      <c r="CH38" s="112"/>
      <c r="CI38" s="112"/>
      <c r="CJ38" s="112"/>
      <c r="CK38" s="112" t="str">
        <f t="shared" si="9"/>
        <v>x</v>
      </c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5"/>
      <c r="DD38" s="112"/>
      <c r="DE38" s="112"/>
      <c r="DF38" s="112" t="str">
        <f t="shared" si="10"/>
        <v>x</v>
      </c>
      <c r="DG38" s="115" t="str">
        <f t="shared" si="11"/>
        <v>x</v>
      </c>
      <c r="DH38" s="112" t="str">
        <f t="shared" si="12"/>
        <v>x</v>
      </c>
      <c r="DI38" s="112" t="str">
        <f t="shared" si="13"/>
        <v>x</v>
      </c>
      <c r="DJ38" s="112" t="str">
        <f>HYPERLINK("http://www.bibliomedia.ch/de/angebote/dokumente/Glossar_bosnisch.pdf","x")</f>
        <v>x</v>
      </c>
      <c r="DK38" s="112"/>
      <c r="DL38" s="112"/>
      <c r="DM38" s="112"/>
      <c r="DN38" s="112"/>
      <c r="DO38" s="112"/>
      <c r="DP38" s="111"/>
      <c r="DQ38" s="111"/>
      <c r="DR38" s="111"/>
      <c r="DS38" s="112" t="str">
        <f>HYPERLINK("http://bildung.koeln.de/materialbibliothek/download.php?idx=b4f04228ed86f03198250a7acd852a37","x")</f>
        <v>x</v>
      </c>
      <c r="DT38" s="112" t="str">
        <f>HYPERLINK("http://bildung.koeln.de/materialbibliothek/download.php?idx=a6b4538da040042ad863645437a8d288","x")</f>
        <v>x</v>
      </c>
      <c r="DU38" s="112"/>
      <c r="DV38" s="112" t="str">
        <f>HYPERLINK("https://www.bmbf.de/pub/Kausa_Elternbroschuere_bosn_kroat_serb.pdf","x")</f>
        <v>x</v>
      </c>
      <c r="DW38" s="111"/>
      <c r="DX38" s="111"/>
      <c r="DY38" s="111"/>
      <c r="DZ38" s="111"/>
      <c r="EA38" s="111"/>
      <c r="EB38" s="112"/>
      <c r="EC38" s="111"/>
      <c r="ED38" s="111"/>
      <c r="EE38" s="111"/>
      <c r="EF38" s="111"/>
      <c r="EG38" s="111"/>
      <c r="EH38" s="111"/>
      <c r="EI38" s="111"/>
      <c r="EJ38" s="112"/>
      <c r="EK38" s="112"/>
      <c r="EL38" s="111"/>
      <c r="EM38" s="112" t="str">
        <f>HYPERLINK("http://www.kvs-sachsen.de/fileadmin/img/Mitglieder/Asylbewerber/Allg-Informationen/Anlage_1_Bosnisch_LEK.pdf","x")</f>
        <v>x</v>
      </c>
      <c r="EN38" s="111"/>
      <c r="EO38" s="111"/>
      <c r="EP38" s="118"/>
      <c r="EQ38" s="118"/>
      <c r="ER38" s="112" t="str">
        <f>HYPERLINK("http://www.kvs-sachsen.de/fileadmin/img/Mitglieder/Asylbewerber/Allg-Informationen/Anlagen_2-1_2-2_Bosnisch_LEK.pdf","x")</f>
        <v>x</v>
      </c>
      <c r="ES38" s="112"/>
      <c r="ET38" s="112"/>
      <c r="EU38" s="111"/>
      <c r="EV38" s="111"/>
      <c r="EW38" s="112" t="str">
        <f t="shared" si="14"/>
        <v>x</v>
      </c>
      <c r="EX38" s="111"/>
      <c r="EY38" s="111"/>
      <c r="EZ38" s="111"/>
      <c r="FA38" s="111"/>
      <c r="FB38" s="111"/>
      <c r="FC38" s="111"/>
      <c r="FD38" s="112" t="str">
        <f t="shared" si="15"/>
        <v>x</v>
      </c>
      <c r="FE38" s="112" t="str">
        <f>HYPERLINK("http://sghanstedt.elbnetz.com/ueber-uns/","x")</f>
        <v>x</v>
      </c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2" t="str">
        <f t="shared" si="16"/>
        <v>x</v>
      </c>
      <c r="HD38" s="111"/>
      <c r="HE38" s="111"/>
      <c r="HF38" s="111"/>
      <c r="HG38" s="111"/>
      <c r="HH38" s="111"/>
      <c r="HI38" s="111"/>
      <c r="HJ38" s="111"/>
      <c r="HK38" s="112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2" t="str">
        <f t="shared" si="17"/>
        <v>x</v>
      </c>
      <c r="HZ38" s="112" t="str">
        <f t="shared" si="18"/>
        <v>x</v>
      </c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2"/>
      <c r="IL38" s="111"/>
      <c r="IM38" s="111"/>
      <c r="IN38" s="111"/>
      <c r="IO38" s="111"/>
      <c r="IP38" s="111"/>
      <c r="IQ38" s="112"/>
      <c r="IR38" s="112"/>
      <c r="IS38" s="111"/>
      <c r="IT38" s="111"/>
      <c r="IU38" s="111"/>
      <c r="IV38" s="112" t="str">
        <f>HYPERLINK("http://www.asyl.net/fileadmin/user_upload/infoblatt_anhoerung/Infoblatt_2015_bosn_fin.pdf","x")</f>
        <v>x</v>
      </c>
      <c r="IW38" s="112"/>
      <c r="IX38" s="112"/>
      <c r="IY38" s="112"/>
      <c r="IZ38" s="111"/>
      <c r="JA38" s="111"/>
      <c r="JB38" s="111"/>
      <c r="JC38" s="112"/>
      <c r="JD38" s="111"/>
      <c r="JE38" s="112"/>
      <c r="JF38" s="112"/>
      <c r="JG38" s="111"/>
      <c r="JH38" s="111"/>
      <c r="JI38" s="111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1"/>
      <c r="JU38" s="111"/>
      <c r="JV38" s="111"/>
      <c r="JW38" s="112"/>
      <c r="JX38" s="112"/>
      <c r="JY38" s="111"/>
      <c r="JZ38" s="111"/>
      <c r="KA38" s="111"/>
      <c r="KB38" s="111"/>
      <c r="KC38" s="111"/>
      <c r="KD38" s="111"/>
      <c r="KE38" s="111"/>
      <c r="KF38" s="111"/>
      <c r="KG38" s="111"/>
      <c r="KH38" s="111"/>
      <c r="KI38" s="111"/>
      <c r="KJ38" s="111"/>
      <c r="KK38" s="111"/>
      <c r="KL38" s="111"/>
      <c r="KM38" s="111"/>
      <c r="KN38" s="111"/>
      <c r="KO38" s="111"/>
      <c r="KP38" s="111"/>
      <c r="KQ38" s="111"/>
      <c r="KR38" s="111"/>
      <c r="KS38" s="111"/>
      <c r="KT38" s="111"/>
      <c r="KU38" s="111"/>
      <c r="KV38" s="111"/>
      <c r="KW38" s="111"/>
      <c r="KX38" s="111"/>
      <c r="KY38" s="111"/>
      <c r="KZ38" s="111"/>
      <c r="LA38" s="111"/>
      <c r="LB38" s="111"/>
      <c r="LC38" s="111"/>
      <c r="LD38" s="111"/>
      <c r="LE38" s="111"/>
      <c r="LF38" s="111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1"/>
      <c r="LT38" s="111"/>
      <c r="LU38" s="111"/>
      <c r="LV38" s="111"/>
      <c r="LW38" s="111"/>
      <c r="LX38" s="111"/>
      <c r="LY38" s="111"/>
      <c r="LZ38" s="111"/>
      <c r="MA38" s="111"/>
      <c r="MB38" s="111"/>
      <c r="MC38" s="111"/>
      <c r="MD38" s="111"/>
      <c r="ME38" s="111"/>
      <c r="MF38" s="111"/>
      <c r="MG38" s="111"/>
      <c r="MH38" s="111"/>
      <c r="MI38" s="111"/>
    </row>
    <row r="39" spans="1:347" x14ac:dyDescent="0.25">
      <c r="A39" s="102" t="s">
        <v>71</v>
      </c>
      <c r="B39" s="127" t="s">
        <v>32</v>
      </c>
      <c r="C39" s="102"/>
      <c r="D39" s="102"/>
      <c r="E39" s="102"/>
      <c r="F39" s="102"/>
      <c r="G39" s="102"/>
      <c r="H39" s="102"/>
      <c r="I39" s="102"/>
      <c r="J39" s="102"/>
      <c r="K39" s="103"/>
      <c r="L39" s="111"/>
      <c r="M39" s="111"/>
      <c r="N39" s="112" t="str">
        <f>HYPERLINK("http://www.ag-fluechtlingshilfe-wetterau.de/uploads/infos/170.pdf","x")</f>
        <v>x</v>
      </c>
      <c r="O39" s="112"/>
      <c r="P39" s="112"/>
      <c r="Q39" s="112"/>
      <c r="R39" s="112"/>
      <c r="S39" s="112"/>
      <c r="T39" s="112"/>
      <c r="U39" s="112"/>
      <c r="V39" s="112"/>
      <c r="W39" s="111"/>
      <c r="X39" s="112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2"/>
      <c r="AP39" s="112"/>
      <c r="AQ39" s="112"/>
      <c r="AR39" s="112"/>
      <c r="AS39" s="112"/>
      <c r="AT39" s="112"/>
      <c r="AU39" s="112"/>
      <c r="AV39" s="113"/>
      <c r="AW39" s="114" t="str">
        <f t="shared" si="0"/>
        <v>x</v>
      </c>
      <c r="AX39" s="114" t="str">
        <f t="shared" si="1"/>
        <v>x</v>
      </c>
      <c r="AY39" s="111"/>
      <c r="AZ39" s="111"/>
      <c r="BA39" s="112" t="str">
        <f t="shared" si="2"/>
        <v>x</v>
      </c>
      <c r="BB39" s="112" t="str">
        <f t="shared" si="3"/>
        <v>x</v>
      </c>
      <c r="BC39" s="111"/>
      <c r="BD39" s="111"/>
      <c r="BE39" s="111"/>
      <c r="BF39" s="111"/>
      <c r="BG39" s="111"/>
      <c r="BH39" s="112" t="str">
        <f>HYPERLINK("http://www.refugeephrasebook.de/pdf/germany150920.pdf","x")</f>
        <v>x</v>
      </c>
      <c r="BI39" s="112" t="str">
        <f>HYPERLINK("https://www.advanced-online.eu/downloads/RefugeePhrasebookCards_German-Bosnian-Croatian-Serbian.pdf","x")</f>
        <v>x</v>
      </c>
      <c r="BJ39" s="111"/>
      <c r="BK39" s="111"/>
      <c r="BL39" s="111"/>
      <c r="BM39" s="111"/>
      <c r="BN39" s="111"/>
      <c r="BO39" s="111"/>
      <c r="BP39" s="111"/>
      <c r="BQ39" s="111"/>
      <c r="BR39" s="111"/>
      <c r="BS39" s="112" t="str">
        <f t="shared" si="4"/>
        <v>x</v>
      </c>
      <c r="BT39" s="112"/>
      <c r="BU39" s="111"/>
      <c r="BV39" s="112" t="str">
        <f t="shared" si="5"/>
        <v>x</v>
      </c>
      <c r="BW39" s="112"/>
      <c r="BX39" s="112"/>
      <c r="BY39" s="112"/>
      <c r="BZ39" s="112"/>
      <c r="CA39" s="112" t="str">
        <f t="shared" si="6"/>
        <v>x</v>
      </c>
      <c r="CB39" s="112" t="str">
        <f t="shared" si="7"/>
        <v>x</v>
      </c>
      <c r="CC39" s="112" t="str">
        <f t="shared" si="8"/>
        <v>x</v>
      </c>
      <c r="CD39" s="112"/>
      <c r="CE39" s="112"/>
      <c r="CF39" s="111"/>
      <c r="CG39" s="111"/>
      <c r="CH39" s="111"/>
      <c r="CI39" s="111"/>
      <c r="CJ39" s="111"/>
      <c r="CK39" s="112" t="str">
        <f t="shared" si="9"/>
        <v>x</v>
      </c>
      <c r="CL39" s="112"/>
      <c r="CM39" s="112"/>
      <c r="CN39" s="112"/>
      <c r="CO39" s="112"/>
      <c r="CP39" s="112"/>
      <c r="CQ39" s="112"/>
      <c r="CR39" s="112"/>
      <c r="CS39" s="112"/>
      <c r="CT39" s="112"/>
      <c r="CU39" s="112" t="str">
        <f>HYPERLINK("http://www.profamilia.de/fileadmin/publikationen/Erwachsene/mehrsprachig/verhuetung_kroatisch.pdf","x")</f>
        <v>x</v>
      </c>
      <c r="CV39" s="112"/>
      <c r="CW39" s="112"/>
      <c r="CX39" s="112" t="str">
        <f>HYPERLINK("http://www.profamilia.de/fileadmin/publikationen/Reihe_Koerper_und_Sexualtitaet/Bro_Schwangerschaftsabbruch_HR_ANSICHT.pdf","x")</f>
        <v>x</v>
      </c>
      <c r="CY39" s="111"/>
      <c r="CZ39" s="112"/>
      <c r="DA39" s="112"/>
      <c r="DB39" s="112"/>
      <c r="DC39" s="115"/>
      <c r="DD39" s="112"/>
      <c r="DE39" s="112"/>
      <c r="DF39" s="112" t="str">
        <f t="shared" si="10"/>
        <v>x</v>
      </c>
      <c r="DG39" s="115" t="str">
        <f t="shared" si="11"/>
        <v>x</v>
      </c>
      <c r="DH39" s="112" t="str">
        <f t="shared" si="12"/>
        <v>x</v>
      </c>
      <c r="DI39" s="112" t="str">
        <f t="shared" si="13"/>
        <v>x</v>
      </c>
      <c r="DJ39" s="112" t="str">
        <f>HYPERLINK("http://www.bibliomedia.ch/de/angebote/dokumente/Glossar_kroatisch.pdf","x")</f>
        <v>x</v>
      </c>
      <c r="DK39" s="112"/>
      <c r="DL39" s="112"/>
      <c r="DM39" s="112"/>
      <c r="DN39" s="112"/>
      <c r="DO39" s="112"/>
      <c r="DP39" s="111"/>
      <c r="DQ39" s="111"/>
      <c r="DR39" s="111"/>
      <c r="DS39" s="112" t="str">
        <f>HYPERLINK("http://bildung.koeln.de/materialbibliothek/download.php?idx=0fa72c9e161f25c40f1bb81295fb4f1f","x")</f>
        <v>x</v>
      </c>
      <c r="DT39" s="112" t="str">
        <f>HYPERLINK("http://bildung.koeln.de/materialbibliothek/download.php?idx=3a958a19af2d93b8f387abceab9f62b3","x")</f>
        <v>x</v>
      </c>
      <c r="DU39" s="112"/>
      <c r="DV39" s="112" t="str">
        <f>HYPERLINK("https://www.bmbf.de/pub/Kausa_Elternbroschuere_bosn_kroat_serb.pdf","x")</f>
        <v>x</v>
      </c>
      <c r="DW39" s="111"/>
      <c r="DX39" s="111"/>
      <c r="DY39" s="111"/>
      <c r="DZ39" s="112" t="str">
        <f>HYPERLINK("http://www.bamf.de/SharedDocs/Anlagen/DE/Publikationen/Flyer/AnerkennungBerufsabschluss/anerkennung-berufsabschluss_hr.pdf?__blob=publicationFile","x")</f>
        <v>x</v>
      </c>
      <c r="EA39" s="112" t="str">
        <f>HYPERLINK("http://www.bamf.de/SharedDocs/Anlagen/DE/Publikationen/Flyer/AnerkennungBerufsabschluss/anerkennung-berufsabschluss_ausland_hr.pdf?__blob=publicationFile","x")</f>
        <v>x</v>
      </c>
      <c r="EB39" s="112"/>
      <c r="EC39" s="112"/>
      <c r="ED39" s="111"/>
      <c r="EE39" s="111"/>
      <c r="EF39" s="111"/>
      <c r="EG39" s="111"/>
      <c r="EH39" s="111"/>
      <c r="EI39" s="111"/>
      <c r="EJ39" s="112"/>
      <c r="EK39" s="112"/>
      <c r="EL39" s="111"/>
      <c r="EM39" s="112" t="str">
        <f>HYPERLINK("http://www.kvs-sachsen.de/fileadmin/img/Mitglieder/Asylbewerber/Allg-Informationen/Anlage_1_Kroatisch_LEK.pdf","x")</f>
        <v>x</v>
      </c>
      <c r="EN39" s="111"/>
      <c r="EO39" s="111"/>
      <c r="EP39" s="117"/>
      <c r="EQ39" s="117" t="str">
        <f>HYPERLINK("http://www.armut-gesundheit.de/fileadmin/redakteur/dokumente/Anamnesebogen%20-%20kroatischnew.pdf","x")</f>
        <v>x</v>
      </c>
      <c r="ER39" s="112" t="str">
        <f>HYPERLINK("http://www.kvs-sachsen.de/fileadmin/img/Mitglieder/Asylbewerber/Allg-Informationen/Anlagen_2-1_2-2_Kroatisch_LEK.pdf","x")</f>
        <v>x</v>
      </c>
      <c r="ES39" s="111"/>
      <c r="ET39" s="111"/>
      <c r="EU39" s="111"/>
      <c r="EV39" s="111"/>
      <c r="EW39" s="112" t="str">
        <f t="shared" si="14"/>
        <v>x</v>
      </c>
      <c r="EX39" s="111"/>
      <c r="EY39" s="111"/>
      <c r="EZ39" s="111"/>
      <c r="FA39" s="111"/>
      <c r="FB39" s="111"/>
      <c r="FC39" s="111"/>
      <c r="FD39" s="112" t="str">
        <f t="shared" si="15"/>
        <v>x</v>
      </c>
      <c r="FE39" s="112" t="str">
        <f>HYPERLINK("http://sghanstedt.elbnetz.com/ueber-uns/","x")</f>
        <v>x</v>
      </c>
      <c r="FF39" s="111"/>
      <c r="FG39" s="111"/>
      <c r="FH39" s="111"/>
      <c r="FI39" s="111"/>
      <c r="FJ39" s="112"/>
      <c r="FK39" s="112" t="str">
        <f>HYPERLINK("http://www.rki.de/DE/Content/Infekt/Impfen/Materialien/Downloads-Impfkalender/Impfkalender_Kroatisch.pdf;jsessionid=B56E144E4E5DED843A215A7A8F137849.2_cid290?__blob=publicationFile","x")</f>
        <v>x</v>
      </c>
      <c r="FL39" s="111"/>
      <c r="FM39" s="111"/>
      <c r="FN39" s="112" t="str">
        <f>HYPERLINK("http://www.rki.de/DE/Content/Infekt/Impfen/Materialien/Glossar-Downloads/glossar-de-kroatisch.pdf?__blob=publicationFile","x")</f>
        <v>x</v>
      </c>
      <c r="FO39" s="112"/>
      <c r="FP39" s="112" t="str">
        <f>HYPERLINK("http://www.rki.de/DE/Content/Infekt/Impfen/Materialien/Downloads-MMR/MMR-Impfinfo-kroatisch.pdf?__blob=publicationFile","x")</f>
        <v>x</v>
      </c>
      <c r="FQ39" s="111"/>
      <c r="FR39" s="112" t="str">
        <f>HYPERLINK("http://www.rki.de/DE/Content/Infekt/Impfen/Materialien/Downloads_HepA/Aufklaerung_HAV-Impfung_Kroatisch.pdf?__blob=publicationFile","x")</f>
        <v>x</v>
      </c>
      <c r="FS39" s="112" t="str">
        <f>HYPERLINK("http://www.rki.de/DE/Content/Infekt/Impfen/Materialien/Downloads_Pneumokokken/Aufklaerung_Pneumo-Impfung_Kroatisch.pdf?__blob=publicationFile","x")</f>
        <v>x</v>
      </c>
      <c r="FT39" s="112" t="str">
        <f>HYPERLINK("http://www.rki.de/DE/Content/Infekt/Impfen/Materialien/Downloads-DTaPIPVHibHepB/DTaPIPVHibHepB-kroatisch.pdf?__blob=publicationFile","x")</f>
        <v>x</v>
      </c>
      <c r="FU39" s="112" t="str">
        <f>HYPERLINK("http://www.rki.de/DE/Content/Infekt/Impfen/Materialien/Downloads-Varizellen/Varizellen-Impfinfo-kroatisch.pdf;jsessionid=65B697F4EE7EDA8A1ED9E2C4CD6C74EC.2_cid363?__blob=publicationFile","x")</f>
        <v>x</v>
      </c>
      <c r="FV39" s="112" t="str">
        <f>HYPERLINK("http://www.rki.de/DE/Content/Infekt/Impfen/Materialien/Downloads-Tdap-IPV/Tdap-IPV-kroatisch.pdf?__blob=publicationFile","x")</f>
        <v>x</v>
      </c>
      <c r="FW39" s="112" t="str">
        <f>HYPERLINK("http://www.rki.de/DE/Content/Infekt/Impfen/Materialien/Downloads-Influenza_nasal/Influenza_nasal-kroatisch.pdf?__blob=publicationFile","x")</f>
        <v>x</v>
      </c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2" t="str">
        <f>HYPERLINK("http://www.rki.de/DE/Content/Infekt/Impfen/Materialien/Downloads-Influenza/Influenza-kroatisch.pdf?__blob=publicationFile","x")</f>
        <v>x</v>
      </c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2" t="str">
        <f t="shared" si="16"/>
        <v>x</v>
      </c>
      <c r="HD39" s="112" t="str">
        <f>HYPERLINK("https://www.zahnaerzte-wl.de/images/_PDF-suche/KZV_ZÄK/ENDSTAND_Ankreuzbogen_Ich_verstehe.pdf","x")</f>
        <v>x</v>
      </c>
      <c r="HE39" s="112" t="str">
        <f>HYPERLINK("https://www.zahnaerzte-wl.de/images/_PDF-suche/KZV_ZÄK/Anschreiben_Patienten_kroatisch.pdf","x")</f>
        <v>x</v>
      </c>
      <c r="HF39" s="112" t="str">
        <f>HYPERLINK("https://www.zahnaerzte-wl.de/images/_PDF-suche/KZV_ZÄK/Fragebogen_kroatisch.pdf","x")</f>
        <v>x</v>
      </c>
      <c r="HG39" s="112" t="str">
        <f>HYPERLINK("https://www.zahnaerzte-wl.de/images/_PDF-suche/KZV_ZÄK/Patientenerhebungsbogen_kroatisch.pdf","x")</f>
        <v>x</v>
      </c>
      <c r="HH39" s="112"/>
      <c r="HI39" s="112"/>
      <c r="HJ39" s="112"/>
      <c r="HK39" s="112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2" t="str">
        <f t="shared" si="17"/>
        <v>x</v>
      </c>
      <c r="HZ39" s="112" t="str">
        <f t="shared" si="18"/>
        <v>x</v>
      </c>
      <c r="IA39" s="111"/>
      <c r="IB39" s="111"/>
      <c r="IC39" s="111"/>
      <c r="ID39" s="111"/>
      <c r="IE39" s="111"/>
      <c r="IF39" s="111"/>
      <c r="IG39" s="111"/>
      <c r="IH39" s="111"/>
      <c r="II39" s="112" t="str">
        <f>HYPERLINK("http://www.caritas.de/hilfeundberatung/onlineberatung/suchtberatung/haeufiggestelltefragensucht/haeufiggestelltefragen-sucht","x")</f>
        <v>x</v>
      </c>
      <c r="IJ39" s="111"/>
      <c r="IK39" s="112"/>
      <c r="IL39" s="111"/>
      <c r="IM39" s="111"/>
      <c r="IN39" s="111"/>
      <c r="IO39" s="111"/>
      <c r="IP39" s="111"/>
      <c r="IQ39" s="112"/>
      <c r="IR39" s="112"/>
      <c r="IS39" s="111"/>
      <c r="IT39" s="111"/>
      <c r="IU39" s="111"/>
      <c r="IV39" s="112"/>
      <c r="IW39" s="112"/>
      <c r="IX39" s="112"/>
      <c r="IY39" s="112"/>
      <c r="IZ39" s="111"/>
      <c r="JA39" s="111"/>
      <c r="JB39" s="111"/>
      <c r="JC39" s="112"/>
      <c r="JD39" s="111"/>
      <c r="JE39" s="112"/>
      <c r="JF39" s="112"/>
      <c r="JG39" s="112"/>
      <c r="JH39" s="112"/>
      <c r="JI39" s="111"/>
      <c r="JJ39" s="112"/>
      <c r="JK39" s="112"/>
      <c r="JL39" s="112"/>
      <c r="JM39" s="112" t="str">
        <f>HYPERLINK("https://www.arbeitsagentur.de/web/content/DE/Formulare/Detail/index.htm?dfContentId=L6019022DSTBAI485740","x")</f>
        <v>x</v>
      </c>
      <c r="JN39" s="112"/>
      <c r="JO39" s="112"/>
      <c r="JP39" s="112"/>
      <c r="JQ39" s="112"/>
      <c r="JR39" s="112" t="str">
        <f>HYPERLINK("http://www.ibla-germany.de/merkblaetter.php","x")</f>
        <v>x</v>
      </c>
      <c r="JS39" s="112"/>
      <c r="JT39" s="111"/>
      <c r="JU39" s="111"/>
      <c r="JV39" s="111"/>
      <c r="JW39" s="112"/>
      <c r="JX39" s="112"/>
      <c r="JY39" s="111"/>
      <c r="JZ39" s="111"/>
      <c r="KA39" s="111"/>
      <c r="KB39" s="111"/>
      <c r="KC39" s="111"/>
      <c r="KD39" s="111"/>
      <c r="KE39" s="111"/>
      <c r="KF39" s="111"/>
      <c r="KG39" s="111"/>
      <c r="KH39" s="111"/>
      <c r="KI39" s="111"/>
      <c r="KJ39" s="111"/>
      <c r="KK39" s="111"/>
      <c r="KL39" s="111"/>
      <c r="KM39" s="111"/>
      <c r="KN39" s="111"/>
      <c r="KO39" s="111"/>
      <c r="KP39" s="111"/>
      <c r="KQ39" s="111"/>
      <c r="KR39" s="111"/>
      <c r="KS39" s="111"/>
      <c r="KT39" s="111"/>
      <c r="KU39" s="111"/>
      <c r="KV39" s="111"/>
      <c r="KW39" s="111"/>
      <c r="KX39" s="111"/>
      <c r="KY39" s="111"/>
      <c r="KZ39" s="111"/>
      <c r="LA39" s="111"/>
      <c r="LB39" s="111"/>
      <c r="LC39" s="111"/>
      <c r="LD39" s="111"/>
      <c r="LE39" s="111"/>
      <c r="LF39" s="111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1"/>
      <c r="LT39" s="111"/>
      <c r="LU39" s="111"/>
      <c r="LV39" s="111"/>
      <c r="LW39" s="111"/>
      <c r="LX39" s="111"/>
      <c r="LY39" s="111"/>
      <c r="LZ39" s="111"/>
      <c r="MA39" s="111"/>
      <c r="MB39" s="111"/>
      <c r="MC39" s="111"/>
      <c r="MD39" s="111"/>
      <c r="ME39" s="111"/>
      <c r="MF39" s="111"/>
      <c r="MG39" s="111"/>
      <c r="MH39" s="111"/>
      <c r="MI39" s="112" t="str">
        <f>HYPERLINK("http://www.kindersicherheit.de/pdf/2012_poster_achtunggiftig_8sprachig.pdf","x")</f>
        <v>x</v>
      </c>
    </row>
    <row r="40" spans="1:347" x14ac:dyDescent="0.25">
      <c r="A40" s="102" t="s">
        <v>71</v>
      </c>
      <c r="B40" s="127" t="s">
        <v>152</v>
      </c>
      <c r="C40" s="102"/>
      <c r="D40" s="102"/>
      <c r="E40" s="102"/>
      <c r="F40" s="102"/>
      <c r="G40" s="102"/>
      <c r="H40" s="102"/>
      <c r="I40" s="102"/>
      <c r="J40" s="102"/>
      <c r="K40" s="103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3"/>
      <c r="AW40" s="114" t="str">
        <f t="shared" si="0"/>
        <v>x</v>
      </c>
      <c r="AX40" s="114" t="str">
        <f t="shared" si="1"/>
        <v>x</v>
      </c>
      <c r="AY40" s="111"/>
      <c r="AZ40" s="111"/>
      <c r="BA40" s="112" t="str">
        <f t="shared" si="2"/>
        <v>x</v>
      </c>
      <c r="BB40" s="112" t="str">
        <f t="shared" si="3"/>
        <v>x</v>
      </c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2" t="str">
        <f t="shared" si="4"/>
        <v>x</v>
      </c>
      <c r="BT40" s="112"/>
      <c r="BU40" s="111"/>
      <c r="BV40" s="112" t="str">
        <f t="shared" si="5"/>
        <v>x</v>
      </c>
      <c r="BW40" s="112"/>
      <c r="BX40" s="112"/>
      <c r="BY40" s="112"/>
      <c r="BZ40" s="112"/>
      <c r="CA40" s="112" t="str">
        <f t="shared" si="6"/>
        <v>x</v>
      </c>
      <c r="CB40" s="112" t="str">
        <f t="shared" si="7"/>
        <v>x</v>
      </c>
      <c r="CC40" s="112" t="str">
        <f t="shared" si="8"/>
        <v>x</v>
      </c>
      <c r="CD40" s="112"/>
      <c r="CE40" s="112"/>
      <c r="CF40" s="111"/>
      <c r="CG40" s="111"/>
      <c r="CH40" s="111"/>
      <c r="CI40" s="111"/>
      <c r="CJ40" s="111"/>
      <c r="CK40" s="112" t="str">
        <f t="shared" si="9"/>
        <v>x</v>
      </c>
      <c r="CL40" s="112"/>
      <c r="CM40" s="112"/>
      <c r="CN40" s="112"/>
      <c r="CO40" s="112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2"/>
      <c r="DA40" s="112"/>
      <c r="DB40" s="112"/>
      <c r="DC40" s="115"/>
      <c r="DD40" s="112"/>
      <c r="DE40" s="112"/>
      <c r="DF40" s="112" t="str">
        <f t="shared" si="10"/>
        <v>x</v>
      </c>
      <c r="DG40" s="115" t="str">
        <f t="shared" si="11"/>
        <v>x</v>
      </c>
      <c r="DH40" s="112" t="str">
        <f t="shared" si="12"/>
        <v>x</v>
      </c>
      <c r="DI40" s="112" t="str">
        <f t="shared" si="13"/>
        <v>x</v>
      </c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8"/>
      <c r="EQ40" s="118"/>
      <c r="ER40" s="111"/>
      <c r="ES40" s="111"/>
      <c r="ET40" s="111"/>
      <c r="EU40" s="111"/>
      <c r="EV40" s="111"/>
      <c r="EW40" s="112" t="str">
        <f t="shared" si="14"/>
        <v>x</v>
      </c>
      <c r="EX40" s="111"/>
      <c r="EY40" s="111"/>
      <c r="EZ40" s="111"/>
      <c r="FA40" s="111"/>
      <c r="FB40" s="111"/>
      <c r="FC40" s="111"/>
      <c r="FD40" s="112" t="str">
        <f t="shared" si="15"/>
        <v>x</v>
      </c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2" t="str">
        <f t="shared" si="16"/>
        <v>x</v>
      </c>
      <c r="HD40" s="112" t="str">
        <f>HYPERLINK("https://www.zahnaerzte-wl.de/images/_PDF-suche/KZV_ZÄK/ENDSTAND_Ankreuzbogen_Ich_verstehe.pdf","x")</f>
        <v>x</v>
      </c>
      <c r="HE40" s="112" t="str">
        <f>HYPERLINK("https://www.zahnaerzte-wl.de/images/_PDF-suche/KZV_ZÄK/Anschreiben_Patienten_montenegrisch.pdf","x")</f>
        <v>x</v>
      </c>
      <c r="HF40" s="112" t="str">
        <f>HYPERLINK("https://www.zahnaerzte-wl.de/images/_PDF-suche/KZV_ZÄK/Fragebogen_montenegrisch.pdf","x")</f>
        <v>x</v>
      </c>
      <c r="HG40" s="112" t="str">
        <f>HYPERLINK("https://www.zahnaerzte-wl.de/images/_PDF-suche/KZV_ZÄK/Patientenerhebungsbogen_montenegrisch.pdf","x")</f>
        <v>x</v>
      </c>
      <c r="HH40" s="112"/>
      <c r="HI40" s="112"/>
      <c r="HJ40" s="112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2" t="str">
        <f t="shared" si="17"/>
        <v>x</v>
      </c>
      <c r="HZ40" s="112" t="str">
        <f t="shared" si="18"/>
        <v>x</v>
      </c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1"/>
      <c r="JF40" s="111"/>
      <c r="JG40" s="111"/>
      <c r="JH40" s="111"/>
      <c r="JI40" s="111"/>
      <c r="JJ40" s="111"/>
      <c r="JK40" s="111"/>
      <c r="JL40" s="111"/>
      <c r="JM40" s="111"/>
      <c r="JN40" s="111"/>
      <c r="JO40" s="111"/>
      <c r="JP40" s="111"/>
      <c r="JQ40" s="111"/>
      <c r="JR40" s="111"/>
      <c r="JS40" s="111"/>
      <c r="JT40" s="111"/>
      <c r="JU40" s="111"/>
      <c r="JV40" s="111"/>
      <c r="JW40" s="111"/>
      <c r="JX40" s="111"/>
      <c r="JY40" s="111"/>
      <c r="JZ40" s="111"/>
      <c r="KA40" s="111"/>
      <c r="KB40" s="111"/>
      <c r="KC40" s="111"/>
      <c r="KD40" s="111"/>
      <c r="KE40" s="111"/>
      <c r="KF40" s="111"/>
      <c r="KG40" s="111"/>
      <c r="KH40" s="111"/>
      <c r="KI40" s="111"/>
      <c r="KJ40" s="111"/>
      <c r="KK40" s="111"/>
      <c r="KL40" s="111"/>
      <c r="KM40" s="111"/>
      <c r="KN40" s="111"/>
      <c r="KO40" s="111"/>
      <c r="KP40" s="111"/>
      <c r="KQ40" s="111"/>
      <c r="KR40" s="111"/>
      <c r="KS40" s="111"/>
      <c r="KT40" s="111"/>
      <c r="KU40" s="111"/>
      <c r="KV40" s="111"/>
      <c r="KW40" s="111"/>
      <c r="KX40" s="111"/>
      <c r="KY40" s="111"/>
      <c r="KZ40" s="111"/>
      <c r="LA40" s="111"/>
      <c r="LB40" s="111"/>
      <c r="LC40" s="111"/>
      <c r="LD40" s="111"/>
      <c r="LE40" s="111"/>
      <c r="LF40" s="111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1"/>
      <c r="LT40" s="111"/>
      <c r="LU40" s="111"/>
      <c r="LV40" s="111"/>
      <c r="LW40" s="111"/>
      <c r="LX40" s="111"/>
      <c r="LY40" s="111"/>
      <c r="LZ40" s="111"/>
      <c r="MA40" s="111"/>
      <c r="MB40" s="111"/>
      <c r="MC40" s="111"/>
      <c r="MD40" s="111"/>
      <c r="ME40" s="111"/>
      <c r="MF40" s="111"/>
      <c r="MG40" s="111"/>
      <c r="MH40" s="111"/>
      <c r="MI40" s="111"/>
    </row>
    <row r="41" spans="1:347" x14ac:dyDescent="0.25">
      <c r="A41" s="102" t="s">
        <v>71</v>
      </c>
      <c r="B41" s="127" t="s">
        <v>9</v>
      </c>
      <c r="C41" s="102"/>
      <c r="D41" s="102"/>
      <c r="E41" s="102"/>
      <c r="F41" s="102"/>
      <c r="G41" s="102"/>
      <c r="H41" s="102"/>
      <c r="I41" s="102"/>
      <c r="J41" s="102"/>
      <c r="K41" s="103"/>
      <c r="L41" s="111"/>
      <c r="M41" s="111"/>
      <c r="N41" s="112" t="str">
        <f>HYPERLINK("http://www.ag-fluechtlingshilfe-wetterau.de/uploads/infos/170.pdf","x")</f>
        <v>x</v>
      </c>
      <c r="O41" s="112"/>
      <c r="P41" s="112" t="str">
        <f>HYPERLINK("http://www.awb-ahrweiler.de/admin/data/ddownload/Abfall%20Sonderhinweise-Serbisch%202015.pdf","x")</f>
        <v>x</v>
      </c>
      <c r="Q41" s="112"/>
      <c r="R41" s="112"/>
      <c r="S41" s="112"/>
      <c r="T41" s="112"/>
      <c r="U41" s="112"/>
      <c r="V41" s="112"/>
      <c r="W41" s="111"/>
      <c r="X41" s="112"/>
      <c r="Y41" s="111"/>
      <c r="Z41" s="111"/>
      <c r="AA41" s="111"/>
      <c r="AB41" s="111"/>
      <c r="AC41" s="111"/>
      <c r="AD41" s="111"/>
      <c r="AE41" s="111"/>
      <c r="AF41" s="111"/>
      <c r="AG41" s="111"/>
      <c r="AH41" s="112" t="str">
        <f>HYPERLINK("http://sghanstedt.elbnetz.com/ueber-uns/","x")</f>
        <v>x</v>
      </c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3"/>
      <c r="AW41" s="114" t="str">
        <f t="shared" si="0"/>
        <v>x</v>
      </c>
      <c r="AX41" s="114" t="str">
        <f t="shared" si="1"/>
        <v>x</v>
      </c>
      <c r="AY41" s="111"/>
      <c r="AZ41" s="111"/>
      <c r="BA41" s="112" t="str">
        <f t="shared" si="2"/>
        <v>x</v>
      </c>
      <c r="BB41" s="112" t="str">
        <f t="shared" si="3"/>
        <v>x</v>
      </c>
      <c r="BC41" s="111"/>
      <c r="BD41" s="111"/>
      <c r="BE41" s="111"/>
      <c r="BF41" s="111"/>
      <c r="BG41" s="111"/>
      <c r="BH41" s="112" t="str">
        <f>HYPERLINK("http://www.refugeephrasebook.de/pdf/germany150920.pdf","x")</f>
        <v>x</v>
      </c>
      <c r="BI41" s="112" t="str">
        <f>HYPERLINK("https://www.advanced-online.eu/downloads/RefugeePhrasebookCards_German-Bosnian-Croatian-Serbian.pdf","x")</f>
        <v>x</v>
      </c>
      <c r="BJ41" s="111"/>
      <c r="BK41" s="111"/>
      <c r="BL41" s="112" t="str">
        <f>HYPERLINK("http://www.bundessprachenamt.de/deutsch/wir_ueber_uns/nachrichten/2015/20151103/Verständigungshilfe_Serbisch_07_12_2015.pdf","x")</f>
        <v>x</v>
      </c>
      <c r="BM41" s="112" t="str">
        <f>HYPERLINK("http://www.frnrw.de/images/Aus_den_Initiativen/Ehrenamtler/2015/Dictionary_x10_print-2.pdf","x")</f>
        <v>x</v>
      </c>
      <c r="BN41" s="111"/>
      <c r="BO41" s="111"/>
      <c r="BP41" s="111"/>
      <c r="BQ41" s="111"/>
      <c r="BR41" s="111"/>
      <c r="BS41" s="112" t="str">
        <f t="shared" si="4"/>
        <v>x</v>
      </c>
      <c r="BT41" s="112"/>
      <c r="BU41" s="111"/>
      <c r="BV41" s="112" t="str">
        <f t="shared" si="5"/>
        <v>x</v>
      </c>
      <c r="BW41" s="112" t="str">
        <f>HYPERLINK("http://www.welcomegrooves.de/wp-content/uploads/2015/10/welcomegrooves_DE-BOSNISCH-SERBISCH_latein.pdf","x")</f>
        <v>x</v>
      </c>
      <c r="BX41" s="112"/>
      <c r="BY41" s="112"/>
      <c r="BZ41" s="112"/>
      <c r="CA41" s="112" t="str">
        <f t="shared" si="6"/>
        <v>x</v>
      </c>
      <c r="CB41" s="112" t="str">
        <f t="shared" si="7"/>
        <v>x</v>
      </c>
      <c r="CC41" s="112" t="str">
        <f t="shared" si="8"/>
        <v>x</v>
      </c>
      <c r="CD41" s="112"/>
      <c r="CE41" s="112"/>
      <c r="CF41" s="111"/>
      <c r="CG41" s="112" t="str">
        <f>HYPERLINK("http://www.braunschweig.de/leben/frauen/hilfe/Ohne-Gewalt-leben.pdf","x")</f>
        <v>x</v>
      </c>
      <c r="CH41" s="112" t="str">
        <f>HYPERLINK("http://mifkjf.rlp.de/fileadmin/mifkjf/Frauen/Gewalt_gegen_Frauen/Downloads/Broschueren_Flyer/Flyer_Gewalt_serbisch.pdf","x")</f>
        <v>x</v>
      </c>
      <c r="CI41" s="112"/>
      <c r="CJ41" s="112" t="str">
        <f>HYPERLINK("https://www.hilfetelefon.de/fileadmin/hilfetelefon_de/Materialien/weitere_werbemittel/Klappflyer_Vorder-_und_Rueckseite_opt2.pdf","x")</f>
        <v>x</v>
      </c>
      <c r="CK41" s="112" t="str">
        <f t="shared" si="9"/>
        <v>x</v>
      </c>
      <c r="CL41" s="112"/>
      <c r="CM41" s="112"/>
      <c r="CN41" s="112"/>
      <c r="CO41" s="112"/>
      <c r="CP41" s="112" t="str">
        <f>HYPERLINK("http://www.schwanger-und-viele-fragen.de/sr/","x")</f>
        <v>x</v>
      </c>
      <c r="CQ41" s="112"/>
      <c r="CR41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41" s="112"/>
      <c r="CT41" s="112"/>
      <c r="CU41" s="112"/>
      <c r="CV41" s="112"/>
      <c r="CW41" s="112"/>
      <c r="CX41" s="112"/>
      <c r="CY41" s="112"/>
      <c r="CZ41" s="112"/>
      <c r="DA41" s="112" t="str">
        <f>HYPERLINK("http://sichere-orte-schaffen.de/wp-content/uploads/Minibrosch_Fluechtlinge_multilang.pdf","x")</f>
        <v>x</v>
      </c>
      <c r="DB41" s="112"/>
      <c r="DC41" s="115"/>
      <c r="DD41" s="112"/>
      <c r="DE41" s="112"/>
      <c r="DF41" s="112" t="str">
        <f t="shared" si="10"/>
        <v>x</v>
      </c>
      <c r="DG41" s="115" t="str">
        <f t="shared" si="11"/>
        <v>x</v>
      </c>
      <c r="DH41" s="112" t="str">
        <f t="shared" si="12"/>
        <v>x</v>
      </c>
      <c r="DI41" s="112" t="str">
        <f t="shared" si="13"/>
        <v>x</v>
      </c>
      <c r="DJ41" s="112" t="str">
        <f>HYPERLINK("http://www.bibliomedia.ch/de/angebote/dokumente/Glossar_serbisch.pdf","x")</f>
        <v>x</v>
      </c>
      <c r="DK41" s="112"/>
      <c r="DL41" s="112" t="str">
        <f>HYPERLINK("http://www.carlsen.de/sites/default/files/Walter-ebook_serbisch_klein.pdf","x")</f>
        <v>x</v>
      </c>
      <c r="DM41" s="112"/>
      <c r="DN41" s="112"/>
      <c r="DO41" s="112"/>
      <c r="DP41" s="111"/>
      <c r="DQ41" s="112" t="str">
        <f>HYPERLINK("http://tipdoc.de/bus/grafik/kinder-tip/SCHULTIP_give_BulgRoSRB.pdf","x")</f>
        <v>x</v>
      </c>
      <c r="DR41" s="111"/>
      <c r="DS41" s="112" t="str">
        <f>HYPERLINK("http://bildung.koeln.de/materialbibliothek/download.php?idx=f09a11728f4654f447ae3a08d82e9a14","x")</f>
        <v>x</v>
      </c>
      <c r="DT41" s="112" t="str">
        <f>HYPERLINK("http://bildung.koeln.de/materialbibliothek/download.php?idx=710a401fffc6b79562005c71273ff463","x")</f>
        <v>x</v>
      </c>
      <c r="DU41" s="111"/>
      <c r="DV41" s="112" t="str">
        <f>HYPERLINK("https://www.bmbf.de/pub/Kausa_Elternbroschuere_bosn_kroat_serb.pdf","x")</f>
        <v>x</v>
      </c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2" t="str">
        <f>HYPERLINK("http://fluechtlingsrat-bw.de/files/Dateien/Dokumente/Materialbestellung/2014-12-flyer%20arbeitserlaubnis%20SRB%20WEB.pdf","x")</f>
        <v>x</v>
      </c>
      <c r="EL41" s="111"/>
      <c r="EM41" s="112" t="str">
        <f>HYPERLINK("http://www.kvs-sachsen.de/fileadmin/img/Mitglieder/Asylbewerber/Allg-Informationen/Anlage_1_Serbisch_LEK.pdf","x")</f>
        <v>x</v>
      </c>
      <c r="EN41" s="112" t="str">
        <f>HYPERLINK("http://www.medizin-hilft-fluechtlingen.de/images/Dokumente/gSch/gSch_ser.pdf","x")</f>
        <v>x</v>
      </c>
      <c r="EO41" s="112"/>
      <c r="EP41" s="117" t="str">
        <f>HYPERLINK("http://www.medi-bild.de/pdf/anamnese/Welche_Sprache.pdf","x")</f>
        <v>x</v>
      </c>
      <c r="EQ41" s="117" t="str">
        <f>HYPERLINK("http://www.medknowledge.de/migration/tipdoc/anamnesebogen/tipdoc_Anamnese_serb.pdf","x")</f>
        <v>x</v>
      </c>
      <c r="ER41" s="112" t="str">
        <f>HYPERLINK("http://www.kvs-sachsen.de/fileadmin/img/Mitglieder/Asylbewerber/Allg-Informationen/Anlagen_2-1_2-2_Serbisch_LEK.pdf","x")</f>
        <v>x</v>
      </c>
      <c r="ES41" s="111"/>
      <c r="ET41" s="111"/>
      <c r="EU41" s="112" t="str">
        <f>HYPERLINK("http://www.medizin-hilft-fluechtlingen.de/images/Dokumente/ein/ein_ser.pdf","x")</f>
        <v>x</v>
      </c>
      <c r="EV41" s="112"/>
      <c r="EW41" s="112" t="str">
        <f t="shared" si="14"/>
        <v>x</v>
      </c>
      <c r="EX41" s="111"/>
      <c r="EY41" s="111"/>
      <c r="EZ41" s="111"/>
      <c r="FA41" s="111"/>
      <c r="FB41" s="111"/>
      <c r="FC41" s="111"/>
      <c r="FD41" s="112" t="str">
        <f t="shared" si="15"/>
        <v>x</v>
      </c>
      <c r="FE41" s="112" t="str">
        <f>HYPERLINK("http://sghanstedt.elbnetz.com/ueber-uns/","x")</f>
        <v>x</v>
      </c>
      <c r="FF41" s="111"/>
      <c r="FG41" s="112" t="str">
        <f>HYPERLINK("http://www.tipdoc.de/grafik/asyl/Gesundheitsheft_Asyl.pdf","x")</f>
        <v>x</v>
      </c>
      <c r="FH41" s="111"/>
      <c r="FI41" s="111"/>
      <c r="FJ41" s="112"/>
      <c r="FK41" s="112" t="str">
        <f>HYPERLINK("http://www.rki.de/DE/Content/Infekt/Impfen/Materialien/Downloads-Impfkalender/Impfkalender_Serbisch.pdf?__blob=publicationFile","x")</f>
        <v>x</v>
      </c>
      <c r="FL41" s="112" t="str">
        <f>HYPERLINK("http://www.ethno-medizinisches-zentrum.de/images/PDF-Files/impfwegweiser_serbokroatisch_2013_online.pdf","x")</f>
        <v>x</v>
      </c>
      <c r="FM41" s="112"/>
      <c r="FN41" s="112" t="str">
        <f>HYPERLINK("http://www.rki.de/DE/Content/Infekt/Impfen/Materialien/Glossar-Downloads/glossar-de-serbisch.pdf?__blob=publicationFile","x")</f>
        <v>x</v>
      </c>
      <c r="FO41" s="112"/>
      <c r="FP41" s="112" t="str">
        <f>HYPERLINK("http://www.rki.de/DE/Content/Infekt/Impfen/Materialien/Downloads-MMR/MMR-Impfinfo-serbisch.pdf?__blob=publicationFile","x")</f>
        <v>x</v>
      </c>
      <c r="FQ41" s="111"/>
      <c r="FR41" s="112" t="str">
        <f>HYPERLINK("http://www.rki.de/DE/Content/Infekt/Impfen/Materialien/Downloads_HepA/Aufklaerung_HAV-Impfung_Serbisch.pdf?__blob=publicationFile","x")</f>
        <v>x</v>
      </c>
      <c r="FS41" s="112" t="str">
        <f>HYPERLINK("http://www.rki.de/DE/Content/Infekt/Impfen/Materialien/Downloads_Pneumokokken/Aufklaerung_Pneumo-Impfung_Serbisch.pdf?__blob=publicationFile","x")</f>
        <v>x</v>
      </c>
      <c r="FT41" s="112" t="str">
        <f>HYPERLINK("http://www.rki.de/DE/Content/Infekt/Impfen/Materialien/Downloads-DTaPIPVHibHepB/DTaPIPVHibHepB-serbisch.pdf?__blob=publicationFile","x")</f>
        <v>x</v>
      </c>
      <c r="FU41" s="112" t="str">
        <f>HYPERLINK("http://www.rki.de/DE/Content/Infekt/Impfen/Materialien/Downloads-Varizellen/Varizellen-Impfinfo-serbisch.pdf;jsessionid=65B697F4EE7EDA8A1ED9E2C4CD6C74EC.2_cid363?__blob=publicationFile","x")</f>
        <v>x</v>
      </c>
      <c r="FV41" s="112" t="str">
        <f>HYPERLINK("http://www.rki.de/DE/Content/Infekt/Impfen/Materialien/Downloads-Tdap-IPV/Tdap-IPV-serbisch.pdf?__blob=publicationFile","x")</f>
        <v>x</v>
      </c>
      <c r="FW41" s="112" t="str">
        <f>HYPERLINK("http://www.rki.de/DE/Content/Infekt/Impfen/Materialien/Downloads-Influenza_nasal/Influenza_nasal-serbisch.pdf?__blob=publicationFile","x")</f>
        <v>x</v>
      </c>
      <c r="FX41" s="111"/>
      <c r="FY41" s="111"/>
      <c r="FZ41" s="111"/>
      <c r="GA41" s="111"/>
      <c r="GB41" s="111"/>
      <c r="GC41" s="111"/>
      <c r="GD41" s="112" t="str">
        <f>HYPERLINK("http://www.ethno-medizinisches-zentrum.de/images/PDF-Files/lf_diabete_serbokroatisch.pdf","x")</f>
        <v>x</v>
      </c>
      <c r="GE41" s="111"/>
      <c r="GF41" s="111"/>
      <c r="GG41" s="111"/>
      <c r="GH41" s="112"/>
      <c r="GI41" s="111"/>
      <c r="GJ41" s="111"/>
      <c r="GK41" s="112" t="str">
        <f>HYPERLINK("http://www.tipdoc.de/bus/pdf/hiv/HIV%20SRF_Webseite.pdf","x")</f>
        <v>x</v>
      </c>
      <c r="GL41" s="111"/>
      <c r="GM41" s="112" t="str">
        <f>HYPERLINK("http://www.rki.de/DE/Content/Infekt/Impfen/Materialien/Downloads-Influenza/Influenza-serbisch.pdf?__blob=publicationFile","x")</f>
        <v>x</v>
      </c>
      <c r="GN41" s="111"/>
      <c r="GO41" s="111"/>
      <c r="GP41" s="112" t="str">
        <f>HYPERLINK("http://www.tipdoc.de/grafik/pdf/kopflaeuse/Kopflaeuse_SERB.pdf","x")</f>
        <v>x</v>
      </c>
      <c r="GQ41" s="112"/>
      <c r="GR41" s="112" t="str">
        <f>HYPERLINK("http://www.tipdoc.com/bus/pdf/kraetze/tipdoc_Scabies_SERB.pdf","x")</f>
        <v>x</v>
      </c>
      <c r="GS41" s="112" t="str">
        <f>HYPERLINK("http://www.tipdoc.com/bus/pdf/MagenDarmHaende/MagenDarmHaende_SERB.pdf","x")</f>
        <v>x</v>
      </c>
      <c r="GT41" s="111"/>
      <c r="GU41" s="111"/>
      <c r="GV41" s="111"/>
      <c r="GW41" s="111"/>
      <c r="GX41" s="111"/>
      <c r="GY41" s="111"/>
      <c r="GZ41" s="111"/>
      <c r="HA41" s="111"/>
      <c r="HB41" s="111"/>
      <c r="HC41" s="112" t="str">
        <f t="shared" si="16"/>
        <v>x</v>
      </c>
      <c r="HD41" s="111"/>
      <c r="HE41" s="111"/>
      <c r="HF41" s="111"/>
      <c r="HG41" s="111"/>
      <c r="HH41" s="111"/>
      <c r="HI41" s="111"/>
      <c r="HJ41" s="111"/>
      <c r="HK41" s="112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2" t="str">
        <f>HYPERLINK("http://www.bkk-psychisch-gesund.de/fileadmin/user_upload/Dokumente/Versicherte/Broschueren/Wegweiser_Psychotherapie_serbokroatisch.pdf","x")</f>
        <v>x</v>
      </c>
      <c r="HY41" s="112" t="str">
        <f t="shared" si="17"/>
        <v>x</v>
      </c>
      <c r="HZ41" s="112" t="str">
        <f t="shared" si="18"/>
        <v>x</v>
      </c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2" t="str">
        <f>HYPERLINK("http://www.berlin.de/labo/willkommen-in-berlin/service/downloads/artikel.273193.php","x")</f>
        <v>x</v>
      </c>
      <c r="IY41" s="112" t="str">
        <f>HYPERLINK("http://www.bamf.de/SharedDocs/Anlagen/DE/Publikationen/Broschueren/broschuere-eat-a4-sr-serbisch.pdf?__blob=publicationFile","x")</f>
        <v>x</v>
      </c>
      <c r="IZ41" s="111"/>
      <c r="JA41" s="111"/>
      <c r="JB41" s="111"/>
      <c r="JC41" s="112" t="str">
        <f>HYPERLINK("http://www.bamf.de/SharedDocs/Anlagen/DE/Publikationen/Flyer/20140110_ura2-kinderprojekt_serb.pdf?__blob=publicationFile","x")</f>
        <v>x</v>
      </c>
      <c r="JD41" s="111"/>
      <c r="JE41" s="111"/>
      <c r="JF41" s="111"/>
      <c r="JG41" s="111"/>
      <c r="JH41" s="111"/>
      <c r="JI41" s="111"/>
      <c r="JJ41" s="111"/>
      <c r="JK41" s="111"/>
      <c r="JL41" s="111"/>
      <c r="JM41" s="112" t="str">
        <f>HYPERLINK("https://www.arbeitsagentur.de/web/content/DE/Formulare/Detail/index.htm?dfContentId=L6019022DSTBAI485740","x")</f>
        <v>x</v>
      </c>
      <c r="JN41" s="111"/>
      <c r="JO41" s="111"/>
      <c r="JP41" s="111"/>
      <c r="JQ41" s="111"/>
      <c r="JR41" s="112" t="str">
        <f>HYPERLINK("http://www.ibla-germany.de/merkblaetter.php","x")</f>
        <v>x</v>
      </c>
      <c r="JS41" s="111"/>
      <c r="JT41" s="111"/>
      <c r="JU41" s="111"/>
      <c r="JV41" s="111"/>
      <c r="JW41" s="112"/>
      <c r="JX41" s="111"/>
      <c r="JY41" s="112"/>
      <c r="JZ41" s="112"/>
      <c r="KA41" s="112"/>
      <c r="KB41" s="112" t="str">
        <f>HYPERLINK("http://www.refugeeguide.de/dl/RefugeeGuide_sl_1005.pdf","x")</f>
        <v>x</v>
      </c>
      <c r="KC41" s="111"/>
      <c r="KD41" s="111"/>
      <c r="KE41" s="111"/>
      <c r="KF41" s="111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1"/>
      <c r="LD41" s="111"/>
      <c r="LE41" s="111"/>
      <c r="LF41" s="111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1"/>
      <c r="LT41" s="111"/>
      <c r="LU41" s="111"/>
      <c r="LV41" s="111"/>
      <c r="LW41" s="111"/>
      <c r="LX41" s="111"/>
      <c r="LY41" s="111"/>
      <c r="LZ41" s="111"/>
      <c r="MA41" s="111"/>
      <c r="MB41" s="111"/>
      <c r="MC41" s="111"/>
      <c r="MD41" s="111"/>
      <c r="ME41" s="111"/>
      <c r="MF41" s="111"/>
      <c r="MG41" s="111"/>
      <c r="MH41" s="111"/>
      <c r="MI41" s="111"/>
    </row>
    <row r="42" spans="1:347" x14ac:dyDescent="0.25">
      <c r="A42" s="102" t="s">
        <v>71</v>
      </c>
      <c r="B42" s="127" t="s">
        <v>8</v>
      </c>
      <c r="C42" s="102"/>
      <c r="D42" s="102"/>
      <c r="E42" s="102"/>
      <c r="F42" s="102"/>
      <c r="G42" s="102"/>
      <c r="H42" s="102"/>
      <c r="I42" s="102"/>
      <c r="J42" s="102"/>
      <c r="K42" s="103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3"/>
      <c r="AW42" s="114" t="str">
        <f t="shared" si="0"/>
        <v>x</v>
      </c>
      <c r="AX42" s="114" t="str">
        <f t="shared" si="1"/>
        <v>x</v>
      </c>
      <c r="AY42" s="111"/>
      <c r="AZ42" s="111"/>
      <c r="BA42" s="112" t="str">
        <f t="shared" si="2"/>
        <v>x</v>
      </c>
      <c r="BB42" s="112" t="str">
        <f t="shared" si="3"/>
        <v>x</v>
      </c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2" t="str">
        <f t="shared" si="4"/>
        <v>x</v>
      </c>
      <c r="BT42" s="112"/>
      <c r="BU42" s="111"/>
      <c r="BV42" s="112" t="str">
        <f t="shared" si="5"/>
        <v>x</v>
      </c>
      <c r="BW42" s="112" t="str">
        <f>HYPERLINK("http://www.welcomegrooves.de/wp-content/uploads/2015/10/welcomegrooves_DE-SERBISCH-KYRILLISCH.pdf","x")</f>
        <v>x</v>
      </c>
      <c r="BX42" s="112"/>
      <c r="BY42" s="112"/>
      <c r="BZ42" s="112"/>
      <c r="CA42" s="112" t="str">
        <f t="shared" si="6"/>
        <v>x</v>
      </c>
      <c r="CB42" s="112" t="str">
        <f t="shared" si="7"/>
        <v>x</v>
      </c>
      <c r="CC42" s="112" t="str">
        <f t="shared" si="8"/>
        <v>x</v>
      </c>
      <c r="CD42" s="112"/>
      <c r="CE42" s="112"/>
      <c r="CF42" s="111"/>
      <c r="CG42" s="111"/>
      <c r="CH42" s="111"/>
      <c r="CI42" s="111"/>
      <c r="CJ42" s="111"/>
      <c r="CK42" s="112" t="str">
        <f t="shared" si="9"/>
        <v>x</v>
      </c>
      <c r="CL42" s="112"/>
      <c r="CM42" s="112"/>
      <c r="CN42" s="112"/>
      <c r="CO42" s="112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2"/>
      <c r="DA42" s="112"/>
      <c r="DB42" s="112"/>
      <c r="DC42" s="115"/>
      <c r="DD42" s="112"/>
      <c r="DE42" s="112"/>
      <c r="DF42" s="112" t="str">
        <f t="shared" si="10"/>
        <v>x</v>
      </c>
      <c r="DG42" s="115" t="str">
        <f t="shared" si="11"/>
        <v>x</v>
      </c>
      <c r="DH42" s="112" t="str">
        <f t="shared" si="12"/>
        <v>x</v>
      </c>
      <c r="DI42" s="112" t="str">
        <f t="shared" si="13"/>
        <v>x</v>
      </c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8"/>
      <c r="EQ42" s="118"/>
      <c r="ER42" s="111"/>
      <c r="ES42" s="111"/>
      <c r="ET42" s="111"/>
      <c r="EU42" s="111"/>
      <c r="EV42" s="111"/>
      <c r="EW42" s="112" t="str">
        <f t="shared" si="14"/>
        <v>x</v>
      </c>
      <c r="EX42" s="111"/>
      <c r="EY42" s="111"/>
      <c r="EZ42" s="111"/>
      <c r="FA42" s="111"/>
      <c r="FB42" s="111"/>
      <c r="FC42" s="111"/>
      <c r="FD42" s="112" t="str">
        <f t="shared" si="15"/>
        <v>x</v>
      </c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2" t="str">
        <f t="shared" si="16"/>
        <v>x</v>
      </c>
      <c r="HD42" s="112" t="str">
        <f>HYPERLINK("https://www.zahnaerzte-wl.de/images/_PDF-suche/KZV_ZÄK/ENDSTAND_Ankreuzbogen_Ich_verstehe.pdf","x")</f>
        <v>x</v>
      </c>
      <c r="HE42" s="112" t="str">
        <f>HYPERLINK("https://www.zahnaerzte-wl.de/images/_PDF-suche/KZV_ZÄK/Anschreiben_Patienten_serbisch.pdf","x")</f>
        <v>x</v>
      </c>
      <c r="HF42" s="112" t="str">
        <f>HYPERLINK("https://www.zahnaerzte-wl.de/images/_PDF-suche/KZV_ZÄK/Fragebogen_serbisch.pdf","x")</f>
        <v>x</v>
      </c>
      <c r="HG42" s="112" t="str">
        <f>HYPERLINK("https://www.zahnaerzte-wl.de/images/_PDF-suche/KZV_ZÄK/Patientenerhebungsbogen_serbisch.pdf","x")</f>
        <v>x</v>
      </c>
      <c r="HH42" s="112"/>
      <c r="HI42" s="112"/>
      <c r="HJ42" s="112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2" t="str">
        <f t="shared" si="17"/>
        <v>x</v>
      </c>
      <c r="HZ42" s="112" t="str">
        <f t="shared" si="18"/>
        <v>x</v>
      </c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1"/>
      <c r="JF42" s="111"/>
      <c r="JG42" s="111"/>
      <c r="JH42" s="111"/>
      <c r="JI42" s="111"/>
      <c r="JJ42" s="111"/>
      <c r="JK42" s="111"/>
      <c r="JL42" s="111"/>
      <c r="JM42" s="111"/>
      <c r="JN42" s="111"/>
      <c r="JO42" s="111"/>
      <c r="JP42" s="111"/>
      <c r="JQ42" s="111"/>
      <c r="JR42" s="111"/>
      <c r="JS42" s="111"/>
      <c r="JT42" s="111"/>
      <c r="JU42" s="111"/>
      <c r="JV42" s="111"/>
      <c r="JW42" s="111"/>
      <c r="JX42" s="111"/>
      <c r="JY42" s="112"/>
      <c r="JZ42" s="112"/>
      <c r="KA42" s="112"/>
      <c r="KB42" s="112" t="str">
        <f>HYPERLINK("http://www.refugeeguide.de/dl/RefugeeGuide_sk_1005.pdf","x")</f>
        <v>x</v>
      </c>
      <c r="KC42" s="111"/>
      <c r="KD42" s="111"/>
      <c r="KE42" s="112" t="str">
        <f>HYPERLINK("http://www.frauenrechte.de/online/images/downloads/allgemein/TDF_Flyer_Women_Men.pdf","x")</f>
        <v>x</v>
      </c>
      <c r="KF42" s="111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1"/>
      <c r="LD42" s="111"/>
      <c r="LE42" s="111"/>
      <c r="LF42" s="111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1"/>
      <c r="LT42" s="111"/>
      <c r="LU42" s="111"/>
      <c r="LV42" s="111"/>
      <c r="LW42" s="111"/>
      <c r="LX42" s="111"/>
      <c r="LY42" s="111"/>
      <c r="LZ42" s="111"/>
      <c r="MA42" s="111"/>
      <c r="MB42" s="111"/>
      <c r="MC42" s="111"/>
      <c r="MD42" s="111"/>
      <c r="ME42" s="111"/>
      <c r="MF42" s="111"/>
      <c r="MG42" s="111"/>
      <c r="MH42" s="111"/>
      <c r="MI42" s="111"/>
    </row>
    <row r="43" spans="1:347" x14ac:dyDescent="0.25">
      <c r="A43" s="102" t="s">
        <v>71</v>
      </c>
      <c r="B43" s="127" t="s">
        <v>11</v>
      </c>
      <c r="C43" s="102"/>
      <c r="D43" s="102"/>
      <c r="E43" s="102"/>
      <c r="F43" s="102"/>
      <c r="G43" s="102"/>
      <c r="H43" s="102"/>
      <c r="I43" s="102"/>
      <c r="J43" s="102"/>
      <c r="K43" s="103"/>
      <c r="L43" s="111"/>
      <c r="M43" s="111"/>
      <c r="N43" s="112" t="str">
        <f>HYPERLINK("http://www.ag-fluechtlingshilfe-wetterau.de/uploads/infos/170.pdf","x")</f>
        <v>x</v>
      </c>
      <c r="O43" s="112"/>
      <c r="P43" s="112" t="str">
        <f>HYPERLINK("http://www.awb-ahrweiler.de/admin/data/ddownload/Abfall%20Sonderhinweise-tuerkisch%202014.pdf","x")</f>
        <v>x</v>
      </c>
      <c r="Q43" s="112"/>
      <c r="R43" s="112"/>
      <c r="S43" s="112"/>
      <c r="T43" s="112"/>
      <c r="U43" s="112"/>
      <c r="V43" s="112"/>
      <c r="W43" s="111"/>
      <c r="X43" s="112"/>
      <c r="Y43" s="111"/>
      <c r="Z43" s="111"/>
      <c r="AA43" s="111"/>
      <c r="AB43" s="111"/>
      <c r="AC43" s="111"/>
      <c r="AD43" s="112" t="str">
        <f>HYPERLINK("http://www.rundfunkbeitrag.de/e175/e199/Informationsflyer_Buergerinnen_und_Buerger_tuerkisch.pdf","x")</f>
        <v>x</v>
      </c>
      <c r="AE43" s="111"/>
      <c r="AF43" s="112" t="str">
        <f>HYPERLINK("http://www.kub-berlin.org/formularprojekt/de/tuerkisch-antraege-und-anlagen/","x")</f>
        <v>x</v>
      </c>
      <c r="AG43" s="111"/>
      <c r="AH43" s="111"/>
      <c r="AI43" s="111"/>
      <c r="AJ43" s="111"/>
      <c r="AK43" s="111"/>
      <c r="AL43" s="111"/>
      <c r="AM43" s="111"/>
      <c r="AN43" s="111"/>
      <c r="AO43" s="112"/>
      <c r="AP43" s="112"/>
      <c r="AQ43" s="112"/>
      <c r="AR43" s="112"/>
      <c r="AS43" s="112"/>
      <c r="AT43" s="112"/>
      <c r="AU43" s="112"/>
      <c r="AV43" s="113"/>
      <c r="AW43" s="114" t="str">
        <f t="shared" si="0"/>
        <v>x</v>
      </c>
      <c r="AX43" s="114" t="str">
        <f t="shared" si="1"/>
        <v>x</v>
      </c>
      <c r="AY43" s="111"/>
      <c r="AZ43" s="111"/>
      <c r="BA43" s="112" t="str">
        <f t="shared" si="2"/>
        <v>x</v>
      </c>
      <c r="BB43" s="112" t="str">
        <f t="shared" si="3"/>
        <v>x</v>
      </c>
      <c r="BC43" s="111"/>
      <c r="BD43" s="111"/>
      <c r="BE43" s="111"/>
      <c r="BF43" s="111"/>
      <c r="BG43" s="111"/>
      <c r="BH43" s="112" t="str">
        <f>HYPERLINK("http://www.refugeephrasebook.de/pdf/germany150920.pdf","x")</f>
        <v>x</v>
      </c>
      <c r="BI43" s="112"/>
      <c r="BJ43" s="111"/>
      <c r="BK43" s="111"/>
      <c r="BL43" s="111"/>
      <c r="BM43" s="111"/>
      <c r="BN43" s="111"/>
      <c r="BO43" s="111"/>
      <c r="BP43" s="111"/>
      <c r="BQ43" s="111"/>
      <c r="BR43" s="111"/>
      <c r="BS43" s="112" t="str">
        <f t="shared" si="4"/>
        <v>x</v>
      </c>
      <c r="BT43" s="112"/>
      <c r="BU43" s="111"/>
      <c r="BV43" s="112" t="str">
        <f t="shared" si="5"/>
        <v>x</v>
      </c>
      <c r="BW43" s="112" t="str">
        <f>HYPERLINK("http://www.welcomegrooves.de/wp-content/uploads/2015/10/welcomegrooves_DE-TUERKISCH1.pdf","x")</f>
        <v>x</v>
      </c>
      <c r="BX43" s="112"/>
      <c r="BY43" s="112"/>
      <c r="BZ43" s="112"/>
      <c r="CA43" s="112" t="str">
        <f t="shared" si="6"/>
        <v>x</v>
      </c>
      <c r="CB43" s="112" t="str">
        <f t="shared" si="7"/>
        <v>x</v>
      </c>
      <c r="CC43" s="112" t="str">
        <f t="shared" si="8"/>
        <v>x</v>
      </c>
      <c r="CD43" s="112"/>
      <c r="CE43" s="112"/>
      <c r="CF43" s="111"/>
      <c r="CG43" s="112" t="str">
        <f>HYPERLINK("http://www.braunschweig.de/leben/frauen/hilfe/Ohne-Gewalt-leben.pdf","x")</f>
        <v>x</v>
      </c>
      <c r="CH43" s="112" t="str">
        <f>HYPERLINK("http://mifkjf.rlp.de/fileadmin/mifkjf/Frauen/Gewalt_gegen_Frauen/Downloads/Broschueren_Flyer/Flyer_Gewalt_tuerkisch.pdf","x")</f>
        <v>x</v>
      </c>
      <c r="CI43" s="112" t="str">
        <f>HYPERLINK("https://www.hilfetelefon.de/fileadmin/hilfetelefon_de/Materialien/Flyer/Infoflyer_Hilfetelefon_Gewalt_gegen_Frauen141105_b2.pdf","x")</f>
        <v>x</v>
      </c>
      <c r="CJ43" s="112" t="str">
        <f>HYPERLINK("https://www.hilfetelefon.de/fileadmin/hilfetelefon_de/Materialien/weitere_werbemittel/Klappflyer_Vorder-_und_Rueckseite_opt2.pdf","x")</f>
        <v>x</v>
      </c>
      <c r="CK43" s="112" t="str">
        <f t="shared" si="9"/>
        <v>x</v>
      </c>
      <c r="CL43" s="112" t="str">
        <f>HYPERLINK("http://www.frauenberatungsstelle.de/pdf/Migrantinnen-beraten-Migrantinnen.pdf","x")</f>
        <v>x</v>
      </c>
      <c r="CM43" s="112"/>
      <c r="CN43" s="112"/>
      <c r="CO43" s="112"/>
      <c r="CP43" s="112" t="str">
        <f>HYPERLINK("http://www.schwanger-und-viele-fragen.de/tr/","x")</f>
        <v>x</v>
      </c>
      <c r="CQ43" s="112"/>
      <c r="CR43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43" s="112"/>
      <c r="CT43" s="112"/>
      <c r="CU43" s="112" t="str">
        <f>HYPERLINK("http://www.profamilia.de/fileadmin/publikationen/Erwachsene/mehrsprachig/verhuetung_tuerkisch.pdf","x")</f>
        <v>x</v>
      </c>
      <c r="CV43" s="112" t="str">
        <f>HYPERLINK("http://www.profamilia.de/fileadmin/publikationen/Reihe_Verhuetungsmethoden/Pille_Spirale_danach_tuerkisch_2011.pdf","x")</f>
        <v>x</v>
      </c>
      <c r="CW43" s="112" t="str">
        <f>HYPERLINK("http://www.profamilia.de/fileadmin/publikationen/Reihe_Verhuetungsmethoden/Einleger_tuerkisch.pdf","x")</f>
        <v>x</v>
      </c>
      <c r="CX43" s="112" t="str">
        <f>HYPERLINK("http://www.profamilia.de/fileadmin/publikationen/Reihe_Koerper_und_Sexualtitaet/Bro_Schwangerschaftsabbruch_TR_ANSICHT.pdf","x")</f>
        <v>x</v>
      </c>
      <c r="CY43" s="112" t="str">
        <f>HYPERLINK("http://www.caritas-schwarzwald-alb-donau.de/68854.html","x")</f>
        <v>x</v>
      </c>
      <c r="CZ43" s="112" t="str">
        <f>HYPERLINK("http://www.dgfpi.de/tl_files/download/medien/unwissen-macht-tk.pdf","x")</f>
        <v>x</v>
      </c>
      <c r="DA43" s="112"/>
      <c r="DB43" s="112"/>
      <c r="DC43" s="115" t="str">
        <f>HYPERLINK("http://www.kindersicherheit.de/pdf/2012_Bilderbuch-Gift-Tuerkisch.pdf","x")</f>
        <v>x</v>
      </c>
      <c r="DD43" s="112"/>
      <c r="DE43" s="112"/>
      <c r="DF43" s="112" t="str">
        <f t="shared" si="10"/>
        <v>x</v>
      </c>
      <c r="DG43" s="115" t="str">
        <f t="shared" si="11"/>
        <v>x</v>
      </c>
      <c r="DH43" s="112" t="str">
        <f t="shared" si="12"/>
        <v>x</v>
      </c>
      <c r="DI43" s="112" t="str">
        <f t="shared" si="13"/>
        <v>x</v>
      </c>
      <c r="DJ43" s="112" t="str">
        <f>HYPERLINK("http://www.bibliomedia.ch/de/angebote/dokumente/Glossar_tuerkisch.pdf","x")</f>
        <v>x</v>
      </c>
      <c r="DK43" s="112"/>
      <c r="DL43" s="112"/>
      <c r="DM43" s="112"/>
      <c r="DN43" s="112"/>
      <c r="DO43" s="112"/>
      <c r="DP43" s="111"/>
      <c r="DQ43" s="112" t="str">
        <f>HYPERLINK("http://tipdoc.de/bus/grafik/kinder-tip/SCHULTIP_give_didacta.pdf","x")</f>
        <v>x</v>
      </c>
      <c r="DR43" s="112" t="str">
        <f>HYPERLINK("https://broschueren.nordrheinwestfalendirekt.de/broschuerenservice/msw/tue-das-schulsystem-in-nordrhein-westfalen-einfach-und-schnell-erklaert/1906","x")</f>
        <v>x</v>
      </c>
      <c r="DS43" s="112" t="str">
        <f>HYPERLINK("http://bildung.koeln.de/materialbibliothek/download.php?idx=46d99ecd1cd085058204a036d1394fed","x")</f>
        <v>x</v>
      </c>
      <c r="DT43" s="112" t="str">
        <f>HYPERLINK("http://bildung.koeln.de/materialbibliothek/download.php?idx=5fa16c0085d80ec9f9262f25c773ed7f","x")</f>
        <v>x</v>
      </c>
      <c r="DU43" s="112"/>
      <c r="DV43" s="112" t="str">
        <f>HYPERLINK("https://www.bmbf.de/pub/Kausa_Elternbroschuere_tuerkisch.pdf","x")</f>
        <v>x</v>
      </c>
      <c r="DW43" s="111"/>
      <c r="DX43" s="111"/>
      <c r="DY43" s="111"/>
      <c r="DZ43" s="112" t="str">
        <f>HYPERLINK("http://www.bamf.de/SharedDocs/Anlagen/TR/Publikationen/Flyer/AnerkennungBerufsabschluss/anerkennung-berufsabschluss.pdf?__blob=publicationFile","x")</f>
        <v>x</v>
      </c>
      <c r="EA43" s="112" t="str">
        <f>HYPERLINK("http://www.bamf.de/SharedDocs/Anlagen/TR/Publikationen/Flyer/AnerkennungBerufsabschluss/anerkennung-berufsabschluss_ausland.pdf?__blob=publicationFile","x")</f>
        <v>x</v>
      </c>
      <c r="EB43" s="112" t="str">
        <f>HYPERLINK("http://www.bamf.de/SharedDocs/Anlagen/DE/Publikationen/Broschueren/willkommen-in-deutschland-info-blaue-karte-eu_tr.pdf?__blob=publicationFile","x")</f>
        <v>x</v>
      </c>
      <c r="EC43" s="112" t="str">
        <f>HYPERLINK("http://www.bamf.de/SharedDocs/Anlagen/TR/Publikationen/Flyer/Berufsbezsprachf-ESF-BAMF/berufsbezsprachf-esf-bamf.pdf?__blob=publicationFile","x")</f>
        <v>x</v>
      </c>
      <c r="ED43" s="111"/>
      <c r="EE43" s="111"/>
      <c r="EF43" s="111"/>
      <c r="EG43" s="111"/>
      <c r="EH43" s="111"/>
      <c r="EI43" s="111"/>
      <c r="EJ43" s="112"/>
      <c r="EK43" s="112"/>
      <c r="EL43" s="115"/>
      <c r="EM43" s="112" t="str">
        <f>HYPERLINK("http://www.kvs-sachsen.de/fileadmin/img/Mitglieder/Asylbewerber/Allg-Informationen/Anlage_1_Tuerkisch_LEK.pdf","x")</f>
        <v>x</v>
      </c>
      <c r="EN43" s="112" t="str">
        <f>HYPERLINK("http://www.medizin-hilft-fluechtlingen.de/images/Dokumente/gSch/gSch_tur.pdf","x")</f>
        <v>x</v>
      </c>
      <c r="EO43" s="111"/>
      <c r="EP43" s="117" t="str">
        <f>HYPERLINK("http://www.medi-bild.de/pdf/anamnese/Welche_Sprache.pdf","x")</f>
        <v>x</v>
      </c>
      <c r="EQ43" s="117" t="str">
        <f>HYPERLINK("http://www.armut-gesundheit.de/fileadmin/redakteur/dokumente/Anamnesebogen%20-%20t%C3%BCrkischnew.pdf","x")</f>
        <v>x</v>
      </c>
      <c r="ER43" s="112" t="str">
        <f>HYPERLINK("http://www.kvs-sachsen.de/fileadmin/img/Mitglieder/Asylbewerber/Allg-Informationen/Anlagen_2-1_2-2_Tuerkisch_LEK.pdf","x")</f>
        <v>x</v>
      </c>
      <c r="ES43" s="111"/>
      <c r="ET43" s="111"/>
      <c r="EU43" s="111"/>
      <c r="EV43" s="112" t="str">
        <f>HYPERLINK("http://www.adler-apotheke-hh.de/fileadmin/user_upload/PDF-Dateien/Dosierzettel_mehrsprachig_AUF_0_.pdf","x")</f>
        <v>x</v>
      </c>
      <c r="EW43" s="112" t="str">
        <f t="shared" si="14"/>
        <v>x</v>
      </c>
      <c r="EX43" s="112" t="str">
        <f>HYPERLINK("http://www.rki.de/DE/Content/Infekt/IfSG/Belehrungsbogen/belehrungsbogen_eltern_tuerkisch.pdf?__blob=publicationFile","x")</f>
        <v>x</v>
      </c>
      <c r="EY43" s="112" t="str">
        <f>HYPERLINK("http://www.bzga.de/infomaterialien/?sid=236","x")</f>
        <v>x</v>
      </c>
      <c r="EZ43" s="112" t="str">
        <f>HYPERLINK("https://www.mh-hannover.de/fileadmin/mhh/bilder/aktuelles_presse/pressestelle/bilder/Pilzverg_tuerkisch.pdf","x")</f>
        <v>x</v>
      </c>
      <c r="FA43" s="112"/>
      <c r="FB43" s="116"/>
      <c r="FC43" s="111"/>
      <c r="FD43" s="112" t="str">
        <f t="shared" si="15"/>
        <v>x</v>
      </c>
      <c r="FE43" s="112" t="str">
        <f>HYPERLINK("http://sghanstedt.elbnetz.com/ueber-uns/","x")</f>
        <v>x</v>
      </c>
      <c r="FF43" s="112" t="str">
        <f>HYPERLINK("http://www.fuhlenhagen.com/pdf_dateien/uebertzungshilfe_aerzte_mehrsprachig.pdf","x")</f>
        <v>x</v>
      </c>
      <c r="FG43" s="111"/>
      <c r="FH43" s="111"/>
      <c r="FI43" s="111"/>
      <c r="FJ43" s="112"/>
      <c r="FK43" s="112" t="str">
        <f>HYPERLINK("http://www.rki.de/DE/Content/Infekt/Impfen/Materialien/Downloads-Impfkalender/Impfkalender_Tuerkisch.pdf?__blob=publicationFile","x")</f>
        <v>x</v>
      </c>
      <c r="FL43" s="112" t="str">
        <f>HYPERLINK("http://www.ethno-medizinisches-zentrum.de/images/PDF-Files/impfwegweiser_turkisch_2013_online.pdf","x")</f>
        <v>x</v>
      </c>
      <c r="FM43" s="112"/>
      <c r="FN43" s="112" t="str">
        <f>HYPERLINK("http://www.rki.de/DE/Content/Infekt/Impfen/Materialien/Glossar-Downloads/glossar-de-tuerkisch.pdf?__blob=publicationFile","x")</f>
        <v>x</v>
      </c>
      <c r="FO43" s="112"/>
      <c r="FP43" s="112" t="str">
        <f>HYPERLINK("http://www.rki.de/DE/Content/Infekt/Impfen/Materialien/Downloads-MMR/MMR-Impfinfo-tuerkisch.pdf?__blob=publicationFile","x")</f>
        <v>x</v>
      </c>
      <c r="FQ43" s="112"/>
      <c r="FR43" s="112" t="str">
        <f>HYPERLINK("http://www.rki.de/DE/Content/Infekt/Impfen/Materialien/Downloads_HepA/Aufklaerung_HAV-Impfung_Tuerkisch.pdf?__blob=publicationFile","x")</f>
        <v>x</v>
      </c>
      <c r="FS43" s="112" t="str">
        <f>HYPERLINK("http://www.rki.de/DE/Content/Infekt/Impfen/Materialien/Downloads_Pneumokokken/Aufklaerung_Pneumo-Impfung_Tuerkisch.pdf?__blob=publicationFile","x")</f>
        <v>x</v>
      </c>
      <c r="FT43" s="112" t="str">
        <f>HYPERLINK("http://www.rki.de/DE/Content/Infekt/Impfen/Materialien/Downloads-DTaPIPVHibHepB/DTaPIPVHibHepB-tuerkisch.pdf?__blob=publicationFile","x")</f>
        <v>x</v>
      </c>
      <c r="FU43" s="112" t="str">
        <f>HYPERLINK("http://www.rki.de/DE/Content/Infekt/Impfen/Materialien/Downloads-Varizellen/Varizellen-Impfinfo-tuerkisch.pdf;jsessionid=65B697F4EE7EDA8A1ED9E2C4CD6C74EC.2_cid363?__blob=publicationFile","x")</f>
        <v>x</v>
      </c>
      <c r="FV43" s="112" t="str">
        <f>HYPERLINK("http://www.rki.de/DE/Content/Infekt/Impfen/Materialien/Downloads-Tdap-IPV/Tdap-IPV-tuerkisch.pdf?__blob=publicationFile","x")</f>
        <v>x</v>
      </c>
      <c r="FW43" s="112" t="str">
        <f>HYPERLINK("http://www.rki.de/DE/Content/Infekt/Impfen/Materialien/Downloads-Influenza_nasal/Influenza_nasal-tuerkisch.pdf?__blob=publicationFile","x")</f>
        <v>x</v>
      </c>
      <c r="FX43" s="112" t="str">
        <f>HYPERLINK("http://www.medical-tribune.de/fileadmin/PDF/Arthrose_tuerkisch.pdf","x")</f>
        <v>x</v>
      </c>
      <c r="FY43" s="112"/>
      <c r="FZ43" s="112" t="str">
        <f>HYPERLINK("http://www.medical-tribune.de/fileadmin/PDF/Bluthochdruck_tuerkisch.pdf","x")</f>
        <v>x</v>
      </c>
      <c r="GA43" s="112"/>
      <c r="GB43" s="112"/>
      <c r="GC43" s="112" t="str">
        <f>HYPERLINK("http://www.medical-tribune.de/fileadmin/PDF/Demenz_tuerkisch.pdf","x")</f>
        <v>x</v>
      </c>
      <c r="GD43" s="115" t="str">
        <f>HYPERLINK("http://www.ethno-medizinisches-zentrum.de/images/PDF-Files/lf_diabetes_turkisch.pdf","x")</f>
        <v>x</v>
      </c>
      <c r="GE43" s="112" t="str">
        <f>HYPERLINK("http://www.medical-tribune.de/fileadmin/PDF/Divertikel_tuerkisch.pdf","x")</f>
        <v>x</v>
      </c>
      <c r="GF43" s="112"/>
      <c r="GG43" s="112" t="str">
        <f>HYPERLINK("http://www.medical-tribune.de/fileadmin/PDF/Gallenstein_tuerkisch.pdf","x")</f>
        <v>x</v>
      </c>
      <c r="GH43" s="112"/>
      <c r="GI43" s="112" t="str">
        <f>HYPERLINK("http://www.tipdoc.de/bus/pdf/hepatitis/Hep_B_Webseite.pdf","x")</f>
        <v>x</v>
      </c>
      <c r="GJ43" s="112" t="str">
        <f>HYPERLINK("http://www.tipdoc.de/bus/pdf/hepatitis/Hep_C_Webseite.pdf","x")</f>
        <v>x</v>
      </c>
      <c r="GK43" s="111"/>
      <c r="GL43" s="111"/>
      <c r="GM43" s="112" t="str">
        <f>HYPERLINK("http://www.rki.de/DE/Content/Infekt/Impfen/Materialien/Downloads-Influenza/Influenza-tuerkisch.pdf?__blob=publicationFile","x")</f>
        <v>x</v>
      </c>
      <c r="GN43" s="112" t="str">
        <f>HYPERLINK("http://www.medical-tribune.de/fileadmin/PDF/Erkaeltung_tuerkisch.pdf","x")</f>
        <v>x</v>
      </c>
      <c r="GO43" s="112"/>
      <c r="GP43" s="112" t="str">
        <f>HYPERLINK("http://www.medi-bild.de/pdf/kopflaeuse2/Kopflaeuse_TURK.pdf","x")</f>
        <v>x</v>
      </c>
      <c r="GQ43" s="112"/>
      <c r="GR43" s="111"/>
      <c r="GS43" s="111"/>
      <c r="GT43" s="115" t="str">
        <f>HYPERLINK("http://www.medical-tribune.de/fileadmin/PDF/Migraene_tuerkisch.pdf","x")</f>
        <v>x</v>
      </c>
      <c r="GU43" s="112" t="str">
        <f>HYPERLINK("http://www.medical-tribune.de/fileadmin/PDF/Rueckenschmerzen_tuerkisch.pdf","x")</f>
        <v>x</v>
      </c>
      <c r="GV43" s="112"/>
      <c r="GW43" s="112" t="str">
        <f>HYPERLINK("http://www.medical-tribune.de/fileadmin/PDF/Schlafstoerungen_tuerkisch.pdf","x")</f>
        <v>x</v>
      </c>
      <c r="GX43" s="112" t="str">
        <f>HYPERLINK("http://www.medical-tribune.de/fileadmin/PDF/Schwindel_tuerkisch.pdf","x")</f>
        <v>x</v>
      </c>
      <c r="GY43" s="112" t="str">
        <f>HYPERLINK("http://www.medical-tribune.de/fileadmin/PDF/Sodbrennen_tuerkisch.pdf","x")</f>
        <v>x</v>
      </c>
      <c r="GZ43" s="112" t="str">
        <f>HYPERLINK("http://www.medical-tribune.de/fileadmin/PDF/Sportverletzungen_tuerkisch.pdf","x")</f>
        <v>x</v>
      </c>
      <c r="HA43" s="112" t="str">
        <f>HYPERLINK("http://www.medical-tribune.de/fileadmin/PDF/Thrombose_tuerkisch.pdf","x")</f>
        <v>x</v>
      </c>
      <c r="HB43" s="112"/>
      <c r="HC43" s="112" t="str">
        <f t="shared" si="16"/>
        <v>x</v>
      </c>
      <c r="HD43" s="112" t="str">
        <f>HYPERLINK("https://www.zahnaerzte-wl.de/images/_PDF-suche/KZV_ZÄK/ENDSTAND_Ankreuzbogen_Ich_verstehe.pdf","x")</f>
        <v>x</v>
      </c>
      <c r="HE43" s="112" t="str">
        <f>HYPERLINK("https://www.zahnaerzte-wl.de/images/_PDF-suche/KZV_ZÄK/Anschreiben_Patienten_tuerkisch.pdf","x")</f>
        <v>x</v>
      </c>
      <c r="HF43" s="112" t="str">
        <f>HYPERLINK("https://www.zahnaerzte-wl.de/images/_PDF-suche/KZV_ZÄK/Fragebogen_tuerkisch.pdf","x")</f>
        <v>x</v>
      </c>
      <c r="HG43" s="112" t="str">
        <f>HYPERLINK("https://www.zahnaerzte-wl.de/images/_PDF-suche/KZV_ZÄK/Patientenerhebungsbogen_tuerkisch.pdf","x")</f>
        <v>x</v>
      </c>
      <c r="HH43" s="112"/>
      <c r="HI43" s="112" t="str">
        <f>HYPERLINK("http://www.bvkm.de/fileadmin/web_data/Behinderung_und_Migration_tuerkisch_2014.pdf","x")</f>
        <v>x</v>
      </c>
      <c r="HJ43" s="112" t="str">
        <f>HYPERLINK("http://www.ibbc-berlin.de/media/bvkm_Bro_de-tuerk_Berlin_web%20Endversion.pdf","x")</f>
        <v>x</v>
      </c>
      <c r="HK43" s="112" t="str">
        <f>HYPERLINK("http://www.psychenet.de/tr/ruhsal-saglik/bilgiler/depresyon.html","x")</f>
        <v>x</v>
      </c>
      <c r="HL43" s="115" t="str">
        <f>HYPERLINK("http://www.ethno-medizinisches-zentrum.de/images/PDF-Files/lf_depression_tr.pdf","x")</f>
        <v>x</v>
      </c>
      <c r="HM43" s="115" t="str">
        <f>HYPERLINK("http://www.psychenet.de/tr/ruhsal-saglik/bilgiler/psikoz.html","x")</f>
        <v>x</v>
      </c>
      <c r="HN43" s="115" t="str">
        <f>HYPERLINK("http://www.psychenet.de/tr/ruhsal-saglik/bilgiler/somatoform-bozukluklar.html","x")</f>
        <v>x</v>
      </c>
      <c r="HO43" s="115" t="str">
        <f>HYPERLINK("http://www.psychenet.de/tr/ruhsal-saglik/bilgiler/asiri-zayiflik.html","x")</f>
        <v>x</v>
      </c>
      <c r="HP43" s="115" t="str">
        <f>HYPERLINK("http://www.psychenet.de/tr/ruhsal-saglik/bilgiler/bulimia.html","x")</f>
        <v>x</v>
      </c>
      <c r="HQ43" s="115" t="str">
        <f>HYPERLINK("http://www.psychenet.de/tr/ruhsal-saglik/bilgiler/bipolar-bozukluk.html","x")</f>
        <v>x</v>
      </c>
      <c r="HR43" s="115" t="str">
        <f>HYPERLINK("http://www.psychenet.de/tr/ruhsal-saglik/bilgiler/agorafobili-panik-bozukluk.html","x")</f>
        <v>x</v>
      </c>
      <c r="HS43" s="115" t="str">
        <f>HYPERLINK("http://www.psychenet.de/tr/ruhsal-saglik/bilgiler/sosyal-fobi.html","x")</f>
        <v>x</v>
      </c>
      <c r="HT43" s="115"/>
      <c r="HU43" s="115" t="str">
        <f>HYPERLINK("http://www.psychenet.de/tr/ruhsal-saglik/bilgiler/burnout.html","x")</f>
        <v>x</v>
      </c>
      <c r="HV43" s="115" t="str">
        <f>HYPERLINK("http://www.psychenet.de/tr/ruhsal-saglik/bilgiler/bilgiler-ve-destek.html","x")</f>
        <v>x</v>
      </c>
      <c r="HW43" s="115" t="str">
        <f>HYPERLINK("http://www.medical-tribune.de/fileadmin/PDF/Restless_Legs_tuerkisch.pdf","x")</f>
        <v>x</v>
      </c>
      <c r="HX43" s="115" t="str">
        <f>HYPERLINK("http://www.bkk-psychisch-gesund.de/fileadmin/user_upload/Dokumente/Versicherte/Broschueren/Wegweiser_Psychotherapie_tuerkisch.pdf","x")</f>
        <v>x</v>
      </c>
      <c r="HY43" s="112" t="str">
        <f t="shared" si="17"/>
        <v>x</v>
      </c>
      <c r="HZ43" s="112" t="str">
        <f t="shared" si="18"/>
        <v>x</v>
      </c>
      <c r="IA43" s="115"/>
      <c r="IB43" s="115"/>
      <c r="IC43" s="115"/>
      <c r="ID43" s="115"/>
      <c r="IE43" s="115" t="str">
        <f>HYPERLINK("http://www.psychenet.de/tr/ruhsal-saglik/bilgiler/genclerde-alkol-tueketimi.html","x")</f>
        <v>x</v>
      </c>
      <c r="IF43" s="115"/>
      <c r="IG43" s="115"/>
      <c r="IH43" s="112" t="str">
        <f>HYPERLINK("http://www.ethno-medizinisches-zentrum.de/images/PDF-Files/lf_mediensucht_tr_geschutzt.pdf","x")</f>
        <v>x</v>
      </c>
      <c r="II43" s="115" t="str">
        <f>HYPERLINK("http://www.caritas.de/hilfeundberatung/onlineberatung/suchtberatung/haeufiggestelltefragensucht/haeufiggestelltefragen-sucht","x")</f>
        <v>x</v>
      </c>
      <c r="IJ43" s="115" t="str">
        <f>HYPERLINK("http://www.bzga.de/infomaterialien/suchtvorbeugung/","x")</f>
        <v>x</v>
      </c>
      <c r="IK43" s="112" t="str">
        <f>HYPERLINK("http://www.bamf.de/SharedDocs/Anlagen/TR/Publikationen/Flyer/Lassen-Sie-Sich-Beraten/lassen-sie-sich-beraten.pdf?__blob=publicationFile","x")</f>
        <v>x</v>
      </c>
      <c r="IL43" s="111"/>
      <c r="IM43" s="111"/>
      <c r="IN43" s="112" t="str">
        <f>HYPERLINK("https://www.bamf.de/SharedDocs/Anlagen/TR/Publikationen/Broschueren/willkommen-in-deutschland-tr.pdf?__blob=publicationFile","x")</f>
        <v>x</v>
      </c>
      <c r="IO43" s="112"/>
      <c r="IP43" s="111"/>
      <c r="IQ43" s="112" t="str">
        <f>HYPERLINK("http://www.bamf.de/SharedDocs/Anlagen/TR/Publikationen/Flyer/Lernen-Sie-Deutsch/lernen-sie-deutsch.pdf?__blob=publicationFile","x")</f>
        <v>x</v>
      </c>
      <c r="IR43" s="112"/>
      <c r="IS43" s="111"/>
      <c r="IT43" s="111"/>
      <c r="IU43" s="111"/>
      <c r="IV43" s="112" t="str">
        <f>HYPERLINK("http://www.asyl.net/fileadmin/user_upload/infoblatt_anhoerung/Tuerk_final.pdf","x")</f>
        <v>x</v>
      </c>
      <c r="IW43" s="112"/>
      <c r="IX43" s="112" t="str">
        <f>HYPERLINK("http://www.berlin.de/labo/willkommen-in-berlin/service/downloads/artikel.273193.php","x")</f>
        <v>x</v>
      </c>
      <c r="IY43" s="112" t="str">
        <f>HYPERLINK("http://www.bamf.de/SharedDocs/Anlagen/TR/Publikationen/Broschueren/broschuere-eat-a4-tr.pdf?__blob=publicationFile","x")</f>
        <v>x</v>
      </c>
      <c r="IZ43" s="111"/>
      <c r="JA43" s="111"/>
      <c r="JB43" s="111"/>
      <c r="JC43" s="112"/>
      <c r="JD43" s="111"/>
      <c r="JE43" s="112"/>
      <c r="JF43" s="112"/>
      <c r="JG43" s="112" t="str">
        <f>HYPERLINK("http://www.bamf.de/SharedDocs/Anlagen/TR/Publikationen/Flyer/Ehegattennachzug/ehegattennachzug.pdf?__blob=publicationFile","x")</f>
        <v>x</v>
      </c>
      <c r="JH43" s="112"/>
      <c r="JI43" s="111"/>
      <c r="JJ43" s="112"/>
      <c r="JK43" s="112"/>
      <c r="JL43" s="112"/>
      <c r="JM43" s="112" t="str">
        <f>HYPERLINK("https://www.arbeitsagentur.de/web/content/DE/Formulare/Detail/index.htm?dfContentId=L6019022DSTBAI485740","x")</f>
        <v>x</v>
      </c>
      <c r="JN43" s="112"/>
      <c r="JO43" s="112"/>
      <c r="JP43" s="112"/>
      <c r="JQ43" s="112"/>
      <c r="JR43" s="112" t="str">
        <f>HYPERLINK("http://www.ibla-germany.de/merkblaetter.php","x")</f>
        <v>x</v>
      </c>
      <c r="JS43" s="112"/>
      <c r="JT43" s="111"/>
      <c r="JU43" s="111"/>
      <c r="JV43" s="111"/>
      <c r="JW43" s="112"/>
      <c r="JX43" s="112"/>
      <c r="JY43" s="112"/>
      <c r="JZ43" s="112"/>
      <c r="KA43" s="112"/>
      <c r="KB43" s="112" t="str">
        <f>HYPERLINK("http://www.refugeeguide.de/dl/RefugeeGuide_tu_1208.pdf","x")</f>
        <v>x</v>
      </c>
      <c r="KC43" s="112" t="str">
        <f>HYPERLINK("http://www.bpb.de/shop/buecher/grundgesetz/34367/grundgesetz-fuer-die-bundesrepublik-deutschland","x")</f>
        <v>x</v>
      </c>
      <c r="KD43" s="112" t="str">
        <f>HYPERLINK("http://www.wedel.de/fileadmin/user_upload/media/pdf/Rathaus_und_Politik/20160118_PM_Broschuere.pdf","x")</f>
        <v>x</v>
      </c>
      <c r="KE43" s="112"/>
      <c r="KF43" s="111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1"/>
      <c r="LD43" s="111"/>
      <c r="LE43" s="111"/>
      <c r="LF43" s="111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1"/>
      <c r="LT43" s="111"/>
      <c r="LU43" s="111"/>
      <c r="LV43" s="111"/>
      <c r="LW43" s="111"/>
      <c r="LX43" s="111"/>
      <c r="LY43" s="111"/>
      <c r="LZ43" s="111"/>
      <c r="MA43" s="111"/>
      <c r="MB43" s="111"/>
      <c r="MC43" s="111"/>
      <c r="MD43" s="112" t="str">
        <f>HYPERLINK("http://www.rki.de/DE/Content/Infekt/IfSG/Belehrungsbogen/belehrungsbogen_lebensmittel_tuerkisch.pdf?__blob=publicationFile","x")</f>
        <v>x</v>
      </c>
      <c r="ME43" s="111"/>
      <c r="MF43" s="111"/>
      <c r="MG43" s="111"/>
      <c r="MH43" s="111"/>
      <c r="MI43" s="112" t="str">
        <f>HYPERLINK("http://www.kindersicherheit.de/pdf/2012_poster_achtunggiftig_8sprachig.pdf","x")</f>
        <v>x</v>
      </c>
    </row>
    <row r="44" spans="1:347" x14ac:dyDescent="0.25">
      <c r="A44" s="102" t="s">
        <v>381</v>
      </c>
      <c r="B44" s="127" t="s">
        <v>4</v>
      </c>
      <c r="C44" s="102"/>
      <c r="D44" s="102"/>
      <c r="E44" s="102"/>
      <c r="F44" s="102"/>
      <c r="G44" s="102"/>
      <c r="H44" s="102"/>
      <c r="I44" s="102"/>
      <c r="J44" s="102"/>
      <c r="K44" s="103"/>
      <c r="L44" s="111"/>
      <c r="M44" s="111"/>
      <c r="N44" s="112" t="str">
        <f>HYPERLINK("http://www.ag-fluechtlingshilfe-wetterau.de/uploads/infos/170.pdf","x")</f>
        <v>x</v>
      </c>
      <c r="O44" s="112" t="str">
        <f>HYPERLINK("http://www.ag-fluechtlingshilfe-wetterau.de/uploads/infos/220.pdf","x")</f>
        <v>x</v>
      </c>
      <c r="P44" s="112" t="str">
        <f>HYPERLINK("http://www.awb-ahrweiler.de/admin/data/ddownload/Abfall%20Sonderhinweise-englisch_2014.pdf","x")</f>
        <v>x</v>
      </c>
      <c r="Q44" s="112" t="str">
        <f>HYPERLINK("http://www.ag-fluechtlingshilfe-wetterau.de/uploads/infos/221.pdf","x")</f>
        <v>x</v>
      </c>
      <c r="R44" s="112" t="str">
        <f>HYPERLINK("http://www.konto.org/download/merkblatt-basiskonto-asylbewerber-english.pdf","x")</f>
        <v>x</v>
      </c>
      <c r="S44" s="112"/>
      <c r="T44" s="112" t="str">
        <f>HYPERLINK("https://antworten.sparkasse.de/wp-content/uploads/2015/10/English.pdf","x")</f>
        <v>x</v>
      </c>
      <c r="U44" s="112" t="str">
        <f>HYPERLINK("http://www.ag-fluechtlingshilfe-wetterau.de/uploads/infos/191.pdf","x")</f>
        <v>x</v>
      </c>
      <c r="V44" s="112"/>
      <c r="W44" s="112"/>
      <c r="X4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4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44" s="112"/>
      <c r="AA44" s="112"/>
      <c r="AB44" s="112"/>
      <c r="AC44" s="112" t="str">
        <f>HYPERLINK("http://www.vzhh.de/vzhh/409638/vzhh_refugees_telephone_internet.pdf","x")</f>
        <v>x</v>
      </c>
      <c r="AD44" s="112" t="str">
        <f>HYPERLINK("http://www.vzhh.de/vzhh/410647/vzhh_refugees_rundfunk.pdf","x")</f>
        <v>x</v>
      </c>
      <c r="AE44" s="112" t="str">
        <f>HYPERLINK("http://www.vzhh.de/vzhh/411476/vzhh_refugees_rundfunk_befreiung.pdf","x")</f>
        <v>x</v>
      </c>
      <c r="AF44" s="112" t="str">
        <f>HYPERLINK("http://www.kub-berlin.org/formularprojekt/de/englisch-antraege-und-anlagen-uebersetzungshilfen/","x")</f>
        <v>x</v>
      </c>
      <c r="AG44" s="112" t="str">
        <f>HYPERLINK("http://asyl-in-moenchengladbach.de/wp-content/uploads/2015/11/100711-Flyer_GB.pdf","x")</f>
        <v>x</v>
      </c>
      <c r="AH44" s="112" t="str">
        <f>HYPERLINK("http://sghanstedt.elbnetz.com/ueber-uns/","x")</f>
        <v>x</v>
      </c>
      <c r="AI44" s="112" t="str">
        <f>HYPERLINK("https://www.adac.de/sp/stiftung/_mmm/pdf/SGE_FOL_Verkehrssicherheit_Fl%C3%BCchtlinge_A3_01_16_Internet_250277.pdf","x")</f>
        <v>x</v>
      </c>
      <c r="AJ44" s="112" t="str">
        <f>HYPERLINK("http://www.stadt-koeln.de/mediaasset/content/kvb_kinderleicht_und_spielend_einfach__englisch_.pdf","x")</f>
        <v>x</v>
      </c>
      <c r="AK44" s="112" t="str">
        <f>HYPERLINK("https://www.vrsinfo.de/fileadmin/Dateien/downloadcenter/Folder_MobilPassTicket_Refugees01012016.pdf","x")</f>
        <v>x</v>
      </c>
      <c r="AL44" s="112" t="str">
        <f>HYPERLINK("https://www.vrsinfo.de/fileadmin/Dateien/downloadcenter/Willkommen_im_VRS2016_Druck.pdf","x")</f>
        <v>x</v>
      </c>
      <c r="AM44" s="112"/>
      <c r="AN44" s="112" t="str">
        <f>HYPERLINK("https://www.deutschebahn.com/file/de/2191748/eYdgZpqGpp5sMJ2KMKtg2r8aE4Q/10123812/data/infos_fuer_fluechtlinge.pdf","x")</f>
        <v>x</v>
      </c>
      <c r="AO44" s="112"/>
      <c r="AP44" s="112"/>
      <c r="AQ44" s="112"/>
      <c r="AR44" s="112"/>
      <c r="AS44" s="112"/>
      <c r="AT44" s="112"/>
      <c r="AU44" s="112" t="str">
        <f>HYPERLINK("http://www.stadt-koeln.de/mediaasset/content/festkomitee_flyer_2016_d_gb.pdf","x")</f>
        <v>x</v>
      </c>
      <c r="AV44" s="113"/>
      <c r="AW44" s="114" t="str">
        <f t="shared" si="0"/>
        <v>x</v>
      </c>
      <c r="AX44" s="114" t="str">
        <f t="shared" si="1"/>
        <v>x</v>
      </c>
      <c r="AY44" s="112" t="str">
        <f>HYPERLINK("http://fi-lohmar-siegburg.de/data/documents/Findefix_arabisch-Bildwoerterbuch.pdf","x")</f>
        <v>x</v>
      </c>
      <c r="AZ44" s="111"/>
      <c r="BA44" s="112" t="str">
        <f t="shared" si="2"/>
        <v>x</v>
      </c>
      <c r="BB44" s="112" t="str">
        <f t="shared" si="3"/>
        <v>x</v>
      </c>
      <c r="BC44" s="111"/>
      <c r="BD44" s="111"/>
      <c r="BE44" s="112" t="str">
        <f>HYPERLINK("http://fi-lohmar-siegburg.de/data/documents/communicationboard-arabic-english.pdf","x")</f>
        <v>x</v>
      </c>
      <c r="BF44" s="112"/>
      <c r="BG44" s="111"/>
      <c r="BH44" s="112" t="str">
        <f>HYPERLINK("http://www.refugeephrasebook.de/pdf/germany150920.pdf","x")</f>
        <v>x</v>
      </c>
      <c r="BI44" s="112" t="str">
        <f>HYPERLINK("https://www.advanced-online.eu/downloads/RefugeePhrasebookCards_German-English.pdf","x")</f>
        <v>x</v>
      </c>
      <c r="BJ44" s="112" t="str">
        <f>HYPERLINK("http://www.klett-sprachen.de/download/8638/W100255_Refugees_Welcome_Wortschatz.pdf","x")</f>
        <v>x</v>
      </c>
      <c r="BK44" s="111"/>
      <c r="BL44" s="112" t="str">
        <f>HYPERLINK("http://www.bundessprachenamt.de/deutsch/wir_ueber_uns/nachrichten/2015/20151103/Verständigungshilfe_Englisch_26_11_2015.pdf","x")</f>
        <v>x</v>
      </c>
      <c r="BM44" s="112" t="str">
        <f>HYPERLINK("http://www.frnrw.de/images/Aus_den_Initiativen/Ehrenamtler/2015/Dictionary_x10_print-2.pdf","x")</f>
        <v>x</v>
      </c>
      <c r="BN44" s="112" t="str">
        <f>HYPERLINK("http://www.medbox.org/toolboxes/kleines-worterbuch-little-dictionary-deutsch-englisch-arabisch/preview","x")</f>
        <v>x</v>
      </c>
      <c r="BO44" s="112" t="str">
        <f>HYPERLINK("http://mylanguages.org/dari_phrases.php","x")</f>
        <v>x</v>
      </c>
      <c r="BP44" s="111"/>
      <c r="BQ44" s="111"/>
      <c r="BR44" s="111"/>
      <c r="BS44" s="112" t="str">
        <f t="shared" si="4"/>
        <v>x</v>
      </c>
      <c r="BT44" s="112"/>
      <c r="BU44" s="111"/>
      <c r="BV44" s="112" t="str">
        <f t="shared" si="5"/>
        <v>x</v>
      </c>
      <c r="BW44" s="112" t="str">
        <f>HYPERLINK("http://www.welcomegrooves.de/wp-content/uploads/2015/10/welcomegrooves_DE-ENGLISH1.pdf","x")</f>
        <v>x</v>
      </c>
      <c r="BX44" s="112"/>
      <c r="BY44" s="112"/>
      <c r="BZ44" s="112"/>
      <c r="CA44" s="112" t="str">
        <f t="shared" si="6"/>
        <v>x</v>
      </c>
      <c r="CB44" s="112" t="str">
        <f t="shared" si="7"/>
        <v>x</v>
      </c>
      <c r="CC44" s="112" t="str">
        <f t="shared" si="8"/>
        <v>x</v>
      </c>
      <c r="CD44" s="112"/>
      <c r="CE44" s="112"/>
      <c r="CF44" s="111"/>
      <c r="CG44" s="112" t="str">
        <f>HYPERLINK("http://www.braunschweig.de/leben/frauen/hilfe/Ohne-Gewalt-leben.pdf","x")</f>
        <v>x</v>
      </c>
      <c r="CH44" s="112" t="str">
        <f>HYPERLINK("http://mifkjf.rlp.de/fileadmin/mifkjf/Frauen/Gewalt_gegen_Frauen/Downloads/Broschueren_Flyer/Flyer_Gewalt_englisch.pdf","x")</f>
        <v>x</v>
      </c>
      <c r="CI44" s="112" t="str">
        <f>HYPERLINK("https://www.hilfetelefon.de/fileadmin/hilfetelefon_de/Materialien/Flyer/Infoflyer_Hilfetelefon_Gewalt_gegen_Frauen141105_b2.pdf","x")</f>
        <v>x</v>
      </c>
      <c r="CJ44" s="112" t="str">
        <f>HYPERLINK("https://www.hilfetelefon.de/fileadmin/hilfetelefon_de/Materialien/weitere_werbemittel/Klappflyer_Vorder-_und_Rueckseite_opt2.pdf","x")</f>
        <v>x</v>
      </c>
      <c r="CK44" s="112" t="str">
        <f t="shared" si="9"/>
        <v>x</v>
      </c>
      <c r="CL44" s="112" t="str">
        <f>HYPERLINK("http://www.frauenberatungsstelle.de/pdf/Migrantinnen-beraten-Migrantinnen.pdf","x")</f>
        <v>x</v>
      </c>
      <c r="CM44" s="112" t="str">
        <f>HYPERLINK("http://www.frauenleben.org/spezielle_beratungsangebote/sexualisierte_gewalt.htm","x")</f>
        <v>x</v>
      </c>
      <c r="CN44" s="112"/>
      <c r="CO44" s="112"/>
      <c r="CP44" s="112" t="str">
        <f>HYPERLINK("http://www.schwanger-und-viele-fragen.de/en/","x")</f>
        <v>x</v>
      </c>
      <c r="CQ44" s="112"/>
      <c r="CR4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44" s="112" t="str">
        <f>HYPERLINK("http://en.beststart.org/for_parents/are-you-looking-resources-languages-other-english-and-french","x")</f>
        <v>x</v>
      </c>
      <c r="CT44" s="112"/>
      <c r="CU44" s="112" t="str">
        <f>HYPERLINK("http://www.profamilia.de/fileadmin/publikationen/Erwachsene/mehrsprachig/Bro_Verhuetung_engl_2013.pdf","x")</f>
        <v>x</v>
      </c>
      <c r="CV44" s="112" t="str">
        <f>HYPERLINK("http://www.profamilia.de/fileadmin/publikationen/Erwachsene/mehrsprachig/Bro_Pille_danach_Faltblatt_140122_RZ.pdf","x")</f>
        <v>x</v>
      </c>
      <c r="CW44" s="112" t="str">
        <f>HYPERLINK("http://www.profamilia.de/fileadmin/publikationen/Reihe_Verhuetungsmethoden/Einleger_englisch.pdf","x")</f>
        <v>x</v>
      </c>
      <c r="CX44" s="112" t="str">
        <f>HYPERLINK("http://www.profamilia.de/fileadmin/publikationen/Reihe_Koerper_und_Sexualtitaet/Schwangerschaftsabbruch_englisch_2010.pdf","x")</f>
        <v>x</v>
      </c>
      <c r="CY44" s="112" t="str">
        <f>HYPERLINK("http://www.caritas-schwarzwald-alb-donau.de/68854.html","x")</f>
        <v>x</v>
      </c>
      <c r="CZ44" s="112" t="str">
        <f>HYPERLINK("http://www.dgfpi.de/tl_files/download/medien/unwissen-macht-en.pdf","x")</f>
        <v>x</v>
      </c>
      <c r="DA44" s="112"/>
      <c r="DB44" s="112"/>
      <c r="DC44" s="115" t="str">
        <f>HYPERLINK("http://www.kindersicherheit.de/pdf/2013_BAG_Tomi_and_Mila_Deutsch_English.pdf","x")</f>
        <v>x</v>
      </c>
      <c r="DD44" s="112"/>
      <c r="DE44" s="112"/>
      <c r="DF44" s="112" t="str">
        <f t="shared" si="10"/>
        <v>x</v>
      </c>
      <c r="DG44" s="115" t="str">
        <f t="shared" si="11"/>
        <v>x</v>
      </c>
      <c r="DH44" s="112" t="str">
        <f t="shared" si="12"/>
        <v>x</v>
      </c>
      <c r="DI44" s="112" t="str">
        <f t="shared" si="13"/>
        <v>x</v>
      </c>
      <c r="DJ44" s="112"/>
      <c r="DK44" s="112"/>
      <c r="DL44" s="112"/>
      <c r="DM44" s="112"/>
      <c r="DN44" s="112"/>
      <c r="DO44" s="112" t="str">
        <f>HYPERLINK("http://www.wdrmaus.de/sachgeschichten/maus-international/","x")</f>
        <v>x</v>
      </c>
      <c r="DP44" s="111"/>
      <c r="DQ44" s="111"/>
      <c r="DR44" s="112" t="str">
        <f>HYPERLINK("https://broschueren.nordrheinwestfalendirekt.de/broschuerenservice/msw/eng-das-schulsystem-in-nordrhein-westfalen-einfach-und-schnell-erklaert/1902","x")</f>
        <v>x</v>
      </c>
      <c r="DS44" s="112" t="str">
        <f>HYPERLINK("http://bildung.koeln.de/materialbibliothek/download.php?idx=8e2a9f658e9fa830ce17dc18f0fb0268","x")</f>
        <v>x</v>
      </c>
      <c r="DT44" s="112" t="str">
        <f>HYPERLINK("http://bildung.koeln.de/materialbibliothek/download.php?idx=90aff7e7259385cadb46c517317f1446","x")</f>
        <v>x</v>
      </c>
      <c r="DU44" s="112"/>
      <c r="DV44" s="112" t="str">
        <f>HYPERLINK("https://www.bmbf.de/pub/Kausa_Elternbroschuere_englisch.pdf","x")</f>
        <v>x</v>
      </c>
      <c r="DW44" s="112"/>
      <c r="DX44" s="112" t="str">
        <f>HYPERLINK("http://www.wissenschaft.nrw.de/studium/informieren/informationen-fuer-fluechtlinge-die-in-nrw-studieren-moechten/","x")</f>
        <v>x</v>
      </c>
      <c r="DY44" s="112" t="str">
        <f>HYPERLINK("http://www.bamf.de/SharedDocs/Anlagen/DE/Publikationen/Flyer/AnerkennungBerufsabschluss/berufliche_anerkennung_akademische-heilberufe_en.pdf?__blob=publicationFile","x")</f>
        <v>x</v>
      </c>
      <c r="DZ44" s="112" t="str">
        <f>HYPERLINK("http://www.bamf.de/SharedDocs/Anlagen/EN/Publikationen/Flyer/AnerkennungBerufsabschluss/anerkennung-berufsabschluss.pdf?__blob=publicationFile","x")</f>
        <v>x</v>
      </c>
      <c r="EA44" s="112" t="str">
        <f>HYPERLINK("http://www.bamf.de/SharedDocs/Anlagen/EN/Publikationen/Flyer/AnerkennungBerufsabschluss/anerkennung-berufsabschluss_ausland.pdf?__blob=publicationFile","x")</f>
        <v>x</v>
      </c>
      <c r="EB44" s="112" t="str">
        <f>HYPERLINK("http://www.bamf.de/SharedDocs/Anlagen/EN/Publikationen/Broschueren/willkommen-in-deutschland-info-blaue-karte-eu_en.pdf?__blob=publicationFile","x")</f>
        <v>x</v>
      </c>
      <c r="EC44" s="112" t="str">
        <f>HYPERLINK("http://www.bamf.de/SharedDocs/Anlagen/EN/Publikationen/Flyer/Berufsbezsprachf-ESF-BAMF/berufsbezsprachf-esf-bamf.pdf?__blob=publicationFile","x")</f>
        <v>x</v>
      </c>
      <c r="ED44" s="111"/>
      <c r="EE44" s="111"/>
      <c r="EF44" s="111"/>
      <c r="EG44" s="111"/>
      <c r="EH44" s="111"/>
      <c r="EI44" s="111"/>
      <c r="EJ44" s="112"/>
      <c r="EK44" s="112" t="str">
        <f>HYPERLINK("http://fluechtlingsrat-bw.de/files/Dateien/Dokumente/Materialbestellung/2014-12-flyer%20arbeitserlaubnis%20EN%20WEB.pdf","x")</f>
        <v>x</v>
      </c>
      <c r="EL44" s="112" t="str">
        <f>HYPERLINK("http://www.aponet.de/englisch/20151019-fuer-den-notfall-wichtige-rufnummern-im-ueberblick.html","x")</f>
        <v>x</v>
      </c>
      <c r="EM44" s="112" t="str">
        <f>HYPERLINK("http://www.kvs-sachsen.de/fileadmin/img/Mitglieder/Asylbewerber/Allg-Informationen/Anlage_1_Englisch_LEK.pdf","x")</f>
        <v>x</v>
      </c>
      <c r="EN44" s="112" t="str">
        <f>HYPERLINK("http://www.medizin-hilft-fluechtlingen.de/images/Dokumente/gSch/gSch_eng.pdf","x")</f>
        <v>x</v>
      </c>
      <c r="EO44" s="112" t="str">
        <f>HYPERLINK("http://www.aponet.de/englisch/medical-care-for-asylum-seekers.html","x")</f>
        <v>x</v>
      </c>
      <c r="EP44" s="117" t="str">
        <f>HYPERLINK("http://www.medi-bild.de/pdf/anamnese/Welche_Sprache.pdf","x")</f>
        <v>x</v>
      </c>
      <c r="EQ44" s="117" t="str">
        <f>HYPERLINK("http://www.armut-gesundheit.de/fileadmin/redakteur/dokumente/Anamnesebogen%20-%20englischnew.pdf","x")</f>
        <v>x</v>
      </c>
      <c r="ER44" s="112" t="str">
        <f>HYPERLINK("http://www.kvs-sachsen.de/fileadmin/img/Mitglieder/Asylbewerber/Allg-Informationen/Anlagen_2-1_2-2_Englisch_LEK.pdf","x")</f>
        <v>x</v>
      </c>
      <c r="ES44" s="111"/>
      <c r="ET44" s="111"/>
      <c r="EU44" s="112" t="str">
        <f>HYPERLINK("http://www.medizin-hilft-fluechtlingen.de/images/Dokumente/ein/ein_engl.pdf","x")</f>
        <v>x</v>
      </c>
      <c r="EV44" s="112" t="str">
        <f>HYPERLINK("http://www.adler-apotheke-hh.de/fileadmin/user_upload/PDF-Dateien/Dosierzettel_mehrsprachig_AUF_0_.pdf","x")</f>
        <v>x</v>
      </c>
      <c r="EW44" s="112" t="str">
        <f t="shared" si="14"/>
        <v>x</v>
      </c>
      <c r="EX44" s="112" t="str">
        <f>HYPERLINK("http://www.rki.de/DE/Content/Infekt/IfSG/Belehrungsbogen/belehrungsbogen_eltern_englisch.pdf?__blob=publicationFile","x")</f>
        <v>x</v>
      </c>
      <c r="EY44" s="112" t="str">
        <f>HYPERLINK("http://www.bzga.de/infomaterialien/?sid=236","x")</f>
        <v>x</v>
      </c>
      <c r="EZ44" s="112" t="str">
        <f>HYPERLINK("https://www.mh-hannover.de/fileadmin/mhh/bilder/aktuelles_presse/pressestelle/bilder/Pilzvergif_English.pdf","x")</f>
        <v>x</v>
      </c>
      <c r="FA44" s="112"/>
      <c r="FB44" s="112" t="str">
        <f>HYPERLINK("http://static.apotheken-umschau.de/media/gp/article_506373/bildwoerterbuch.pdf","x")</f>
        <v>x</v>
      </c>
      <c r="FC44" s="112" t="str">
        <f>HYPERLINK("https://www.studentenwerke.de/sites/default/files/gesundheitswoerterbuch.pdf","x")</f>
        <v>x</v>
      </c>
      <c r="FD44" s="112" t="str">
        <f t="shared" si="15"/>
        <v>x</v>
      </c>
      <c r="FE44" s="112" t="str">
        <f>HYPERLINK("http://sghanstedt.elbnetz.com/ueber-uns/","x")</f>
        <v>x</v>
      </c>
      <c r="FF44" s="112" t="str">
        <f>HYPERLINK("http://www.fuhlenhagen.com/pdf_dateien/uebertzungshilfe_aerzte_mehrsprachig.pdf","x")</f>
        <v>x</v>
      </c>
      <c r="FG44" s="112" t="str">
        <f>HYPERLINK("http://www.tipdoc.de/grafik/asyl/Gesundheitsheft_Asyl.pdf","x")</f>
        <v>x</v>
      </c>
      <c r="FH44" s="111"/>
      <c r="FI44" s="111"/>
      <c r="FJ44" s="112" t="str">
        <f>HYPERLINK("http://www.bundesgesundheitsministerium.de/fileadmin/dateien/Publikationen/Gesundheit/Broschueren/Ratgeber_Asylsuchende/Ratgeber_Asylsuchende_engl.pdf","x")</f>
        <v>x</v>
      </c>
      <c r="FK44" s="112" t="str">
        <f>HYPERLINK("http://www.rki.de/DE/Content/Infekt/Impfen/Materialien/Downloads-Impfkalender/Impfkalender_Englisch.pdf?__blob=publicationFile","x")</f>
        <v>x</v>
      </c>
      <c r="FL44" s="112" t="str">
        <f>HYPERLINK("http://www.ethno-medizinisches-zentrum.de/images/PDF-Files/impfwegweiser_englisch_2013_online.pdf","x")</f>
        <v>x</v>
      </c>
      <c r="FM44" s="112"/>
      <c r="FN44" s="112" t="str">
        <f>HYPERLINK("http://www.rki.de/DE/Content/Infekt/Impfen/Materialien/Glossar-Downloads/glossar-de-englisch.pdf?__blob=publicationFile","x")</f>
        <v>x</v>
      </c>
      <c r="FO44" s="112" t="str">
        <f>HYPERLINK("http://www.euro.who.int/__data/assets/pdf_file/0005/160754/VPDs_Signs-symptoms-complications.pdf?ua=1","x")</f>
        <v>x</v>
      </c>
      <c r="FP44" s="112" t="str">
        <f>HYPERLINK("http://www.rki.de/DE/Content/Infekt/Impfen/Materialien/Downloads-MMR/MMR-Impfinfo-englisch.pdf?__blob=publicationFile","x")</f>
        <v>x</v>
      </c>
      <c r="FQ44" s="112" t="str">
        <f>HYPERLINK("http://www.rki.de/DE/Content/InfAZ/P/Polio/Ausbruch_Syrien/Informationsblatt_Polio_Englisch.pdf?__blob=publicationFile","x")</f>
        <v>x</v>
      </c>
      <c r="FR44" s="112" t="str">
        <f>HYPERLINK("http://www.rki.de/DE/Content/Infekt/Impfen/Materialien/Downloads_HepA/Aufklaerung_HAV-Impfung_Englisch.pdf?__blob=publicationFile","x")</f>
        <v>x</v>
      </c>
      <c r="FS44" s="112" t="str">
        <f>HYPERLINK("http://www.rki.de/DE/Content/Infekt/Impfen/Materialien/Downloads_Pneumokokken/Aufklaerung_Pneumo-Impfung_Englisch.pdf?__blob=publicationFile","x")</f>
        <v>x</v>
      </c>
      <c r="FT44" s="112" t="str">
        <f>HYPERLINK("http://www.rki.de/DE/Content/Infekt/Impfen/Materialien/Downloads-DTaPIPVHibHepB/DTaPIPVHibHepB-englisch.pdf?__blob=publicationFile","x")</f>
        <v>x</v>
      </c>
      <c r="FU44" s="112" t="str">
        <f>HYPERLINK("http://www.rki.de/DE/Content/Infekt/Impfen/Materialien/Downloads-Varizellen/Varizellen-Impfinfo-englisch.pdf;jsessionid=65B697F4EE7EDA8A1ED9E2C4CD6C74EC.2_cid363?__blob=publicationFile","x")</f>
        <v>x</v>
      </c>
      <c r="FV44" s="112" t="str">
        <f>HYPERLINK("http://www.rki.de/DE/Content/Infekt/Impfen/Materialien/Downloads-Tdap-IPV/Tdap-IPV-englisch.pdf?__blob=publicationFile","x")</f>
        <v>x</v>
      </c>
      <c r="FW44" s="112" t="str">
        <f>HYPERLINK("http://www.rki.de/DE/Content/Infekt/Impfen/Materialien/Downloads-Influenza_nasal/Influenza_nasal-englisch.pdf?__blob=publicationFile","x")</f>
        <v>x</v>
      </c>
      <c r="FX44" s="111"/>
      <c r="FY44" s="112"/>
      <c r="FZ44" s="112"/>
      <c r="GA44" s="111"/>
      <c r="GB44" s="111"/>
      <c r="GC44" s="111"/>
      <c r="GD44" s="112" t="str">
        <f>HYPERLINK("http://www.ethno-medizinisches-zentrum.de/images/PDF-Files/lf_diabete_englisch.pdf","x")</f>
        <v>x</v>
      </c>
      <c r="GE44" s="111"/>
      <c r="GF44" s="111"/>
      <c r="GG44" s="111"/>
      <c r="GH44" s="112"/>
      <c r="GI44" s="111"/>
      <c r="GJ44" s="111"/>
      <c r="GK44" s="112" t="str">
        <f>HYPERLINK("http://www.tipdoc.de/bus/pdf/hiv/HIV%20ESP_Webseite.pdf","x")</f>
        <v>x</v>
      </c>
      <c r="GL44" s="111"/>
      <c r="GM44" s="112" t="str">
        <f>HYPERLINK("http://www.rki.de/DE/Content/Infekt/Impfen/Materialien/Downloads-Influenza/Influenza-englisch.pdf?__blob=publicationFile","x")</f>
        <v>x</v>
      </c>
      <c r="GN44" s="111"/>
      <c r="GO44" s="112" t="str">
        <f>HYPERLINK("http://www.aponet.de/englisch/20151111-so-unterscheiden-sich-grippe-und-erkaeltung.html","x")</f>
        <v>x</v>
      </c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2" t="str">
        <f t="shared" si="16"/>
        <v>x</v>
      </c>
      <c r="HD44" s="112" t="str">
        <f>HYPERLINK("https://www.zahnaerzte-wl.de/images/_PDF-suche/KZV_ZÄK/ENDSTAND_Ankreuzbogen_Ich_verstehe.pdf","x")</f>
        <v>x</v>
      </c>
      <c r="HE44" s="112" t="str">
        <f>HYPERLINK("https://www.zahnaerzte-wl.de/images/_PDF-suche/KZV_ZÄK/Anschreiben_Patienten_englisch.pdf","x")</f>
        <v>x</v>
      </c>
      <c r="HF44" s="112" t="str">
        <f>HYPERLINK("https://www.zahnaerzte-wl.de/images/_PDF-suche/KZV_ZÄK/Fragebogen_englisch.pdf","x")</f>
        <v>x</v>
      </c>
      <c r="HG44" s="112" t="str">
        <f>HYPERLINK("https://www.zahnaerzte-wl.de/images/_PDF-suche/KZV_ZÄK/Patientenerhebungsbogen_englisch.pdf","x")</f>
        <v>x</v>
      </c>
      <c r="HH44" s="112"/>
      <c r="HI44" s="112" t="str">
        <f>HYPERLINK("http://www.bvkm.de/fileadmin/web_data/Behinderung_und_Migration_englisch_2014.pdf","x")</f>
        <v>x</v>
      </c>
      <c r="HJ44" s="112"/>
      <c r="HK44" s="112" t="str">
        <f>HYPERLINK("http://www.psychenet.de/en/mental-health/knowledge/depression.html","x")</f>
        <v>x</v>
      </c>
      <c r="HL44" s="111"/>
      <c r="HM44" s="112" t="str">
        <f>HYPERLINK("http://www.psychenet.de/en/mental-health/knowledge/psychoses.html","x")</f>
        <v>x</v>
      </c>
      <c r="HN44" s="112" t="str">
        <f>HYPERLINK("http://www.psychenet.de/en/mental-health/knowledge/somatoform-disorders.html","x")</f>
        <v>x</v>
      </c>
      <c r="HO44" s="112" t="str">
        <f>HYPERLINK("http://www.psychenet.de/en/mental-health/knowledge/anorexia.html","x")</f>
        <v>x</v>
      </c>
      <c r="HP44" s="112" t="str">
        <f>HYPERLINK("http://www.psychenet.de/en/mental-health/knowledge/bulimia.html","x")</f>
        <v>x</v>
      </c>
      <c r="HQ44" s="112" t="str">
        <f>HYPERLINK("http://www.psychenet.de/en/mental-health/knowledge/bipolar-disorder.html","x")</f>
        <v>x</v>
      </c>
      <c r="HR44" s="112" t="str">
        <f>HYPERLINK("http://www.psychenet.de/en/mental-health/knowledge/panic-and-agoraphobia.html","x")</f>
        <v>x</v>
      </c>
      <c r="HS44" s="112" t="str">
        <f>HYPERLINK("http://www.psychenet.de/en/mental-health/knowledge/social-phobia.html","x")</f>
        <v>x</v>
      </c>
      <c r="HT44" s="112" t="str">
        <f>HYPERLINK("http://www.psychenet.de/en/mental-health/knowledge/generalized-anxiety-disorder.html","x")</f>
        <v>x</v>
      </c>
      <c r="HU44" s="112"/>
      <c r="HV44" s="112" t="str">
        <f>HYPERLINK("http://www.psychenet.de/en/mental-health/knowledge/information-and-support.html","x")</f>
        <v>x</v>
      </c>
      <c r="HW44" s="112"/>
      <c r="HX44" s="112" t="str">
        <f>HYPERLINK("http://www.bkk-psychisch-gesund.de/fileadmin/user_upload/Dokumente/Versicherte/Broschueren/Wegweiser_Psychotherapie_englisch.pdf","x")</f>
        <v>x</v>
      </c>
      <c r="HY44" s="112" t="str">
        <f t="shared" si="17"/>
        <v>x</v>
      </c>
      <c r="HZ44" s="112" t="str">
        <f t="shared" si="18"/>
        <v>x</v>
      </c>
      <c r="IA44" s="112" t="str">
        <f>HYPERLINK("http://peacefulheart.se/wp-content/uploads/2012/02/TTT_English_2013.pdf","x")</f>
        <v>x</v>
      </c>
      <c r="IB44" s="112"/>
      <c r="IC44" s="112"/>
      <c r="ID44" s="112" t="str">
        <f>HYPERLINK("http://www.susannestein.de/VIA-online/trauma-picture-book.pdf","x")</f>
        <v>x</v>
      </c>
      <c r="IE44" s="112" t="str">
        <f>HYPERLINK("http://www.psychenet.de/en/mental-health/knowledge/alcohol-in-adolescence.html","x")</f>
        <v>x</v>
      </c>
      <c r="IF44" s="112"/>
      <c r="IG44" s="112"/>
      <c r="IH44" s="111"/>
      <c r="II44" s="112" t="str">
        <f>HYPERLINK("http://www.caritas.de/hilfeundberatung/onlineberatung/suchtberatung/haeufiggestelltefragensucht/haeufiggestelltefragen-sucht","x")</f>
        <v>x</v>
      </c>
      <c r="IJ44" s="112" t="str">
        <f>HYPERLINK("http://www.dhs.de/fileadmin/user_upload/pdf/Broschueren/Ein_Angebot_an_alle-Englisch.pdf","x")</f>
        <v>x</v>
      </c>
      <c r="IK44" s="112" t="str">
        <f>HYPERLINK("http://www.bamf.de/SharedDocs/Anlagen/EN/Publikationen/Flyer/Lassen-Sie-Sich-Beraten/lassen-sie-sich-beraten.pdf?__blob=publicationFile","x")</f>
        <v>x</v>
      </c>
      <c r="IL44" s="115" t="str">
        <f>HYPERLINK("http://www.bamf.de/SharedDocs/Anlagen/EN/Publikationen/Flyer/flyer-erstorientierung-asylsuchende.pdf?__blob=publicationFile","x")</f>
        <v>x</v>
      </c>
      <c r="IM44" s="112" t="str">
        <f>HYPERLINK("http://www.frnrw.de/index.php/inhaltliche-themen/arbeitshilfen/item/3710-erstinfos-fuer-asylsuchende","x")</f>
        <v>x</v>
      </c>
      <c r="IN44" s="112" t="str">
        <f>HYPERLINK("http://www.bamf.de/SharedDocs/Anlagen/EN/Publikationen/Broschueren/willkommen-in-deutschland.pdf;jsessionid=2D72CB108E4AC02BBB9659E7D9A589B2.1_cid368?__blob=publicationFile","x")</f>
        <v>x</v>
      </c>
      <c r="IO44" s="112"/>
      <c r="IP44" s="112"/>
      <c r="IQ44" s="112" t="str">
        <f>HYPERLINK("http://www.bamf.de/SharedDocs/Anlagen/EN/Publikationen/Flyer/Lernen-Sie-Deutsch/lernen-sie-deutsch.pdf?__blob=publicationFile","x")</f>
        <v>x</v>
      </c>
      <c r="IR44" s="112" t="str">
        <f>HYPERLINK("http://www.asyl.net/fileadmin/user_upload/redaktion/Dokumente/Arbeitshilfen/150910_Wie_l%C3%A4uft_ein_Asylverfahren_ab_%C3%9Cberblickstext_Englisch.pdf","x")</f>
        <v>x</v>
      </c>
      <c r="IS44" s="111"/>
      <c r="IT44" s="112" t="str">
        <f>HYPERLINK("http://www.bamf.de/SharedDocs/Anlagen/EN/Publikationen/Flyer/ablauf-asylverfahren.pdf;jsessionid=DBD4307960D761935FCC3E0325D459A1.1_cid294?__blob=publicationFile","x")</f>
        <v>x</v>
      </c>
      <c r="IU44" s="111"/>
      <c r="IV44" s="112" t="str">
        <f>HYPERLINK("http://www.asyl.net/fileadmin/user_upload/infoblatt_anhoerung/Infoblatt_2015_en_fin.pdf","x")</f>
        <v>x</v>
      </c>
      <c r="IW44" s="112"/>
      <c r="IX44" s="112" t="str">
        <f>HYPERLINK("http://www.berlin.de/labo/willkommen-in-berlin/service/downloads/artikel.273193.php","x")</f>
        <v>x</v>
      </c>
      <c r="IY44" s="112" t="str">
        <f>HYPERLINK("http://www.bamf.de/SharedDocs/Anlagen/EN/Publikationen/Broschueren/broschuere-eat-a4.pdf?__blob=publicationFile","x")</f>
        <v>x</v>
      </c>
      <c r="IZ44" s="111"/>
      <c r="JA44" s="112" t="str">
        <f>HYPERLINK("http://fluechtlingsrat-bw.de/informationen-fuer-fluechtlinge.html","x")</f>
        <v>x</v>
      </c>
      <c r="JB44" s="111"/>
      <c r="JC44" s="112" t="str">
        <f>HYPERLINK("http://www.bamf.de/SharedDocs/Anlagen/EN/Publikationen/Flyer/20150223_ura2_en.pdf?__blob=publicationFile","x")</f>
        <v>x</v>
      </c>
      <c r="JD44" s="111"/>
      <c r="JE44" s="112"/>
      <c r="JF44" s="112"/>
      <c r="JG44" s="112" t="str">
        <f>HYPERLINK("http://www.bamf.de/SharedDocs/Anlagen/EN/Publikationen/Flyer/Ehegattennachzug/ehegattennachzug.pdf?__blob=publicationFile","x")</f>
        <v>x</v>
      </c>
      <c r="JH44" s="112" t="str">
        <f>HYPERLINK("https://familyreunion-syria.diplo.de/webportal/index.html#start","x")</f>
        <v>x</v>
      </c>
      <c r="JI44" s="112" t="str">
        <f>HYPERLINK("http://ec.europa.eu/dgs/home-affairs/what-we-do/networks/european_migration_network/docs/emn-glossary-en-version.pdf","x")</f>
        <v>x</v>
      </c>
      <c r="JJ44" s="112"/>
      <c r="JK44" s="112" t="str">
        <f>HYPERLINK("https://www.arbeitsagentur.de/web/wcm/idc/groups/public/documents/webdatei/mdaw/mjgz/~edisp/l6019022dstbai784628.pdf?_ba.sid=L6019022DSTBAI784625","x")</f>
        <v>x</v>
      </c>
      <c r="JL44" s="112" t="str">
        <f>HYPERLINK("http://www.kub-berlin.org/formularprojekt/de/englisch-antraege-und-anlagen-uebersetzungshilfen/","x")</f>
        <v>x</v>
      </c>
      <c r="JM44" s="112" t="str">
        <f>HYPERLINK("https://www.arbeitsagentur.de/web/content/DE/Formulare/Detail/index.htm?dfContentId=L6019022DSTBAI485740","x")</f>
        <v>x</v>
      </c>
      <c r="JN44" s="112"/>
      <c r="JO44" s="112"/>
      <c r="JP44" s="112"/>
      <c r="JQ44" s="112"/>
      <c r="JR44" s="112" t="str">
        <f>HYPERLINK("http://www.ibla-germany.de/merkblaetter.php","x")</f>
        <v>x</v>
      </c>
      <c r="JS44" s="112"/>
      <c r="JT44" s="112" t="str">
        <f>HYPERLINK("http://www.b-umf.de/images/willkommen/willkommensbroschureenglisch-web.pdf","x")</f>
        <v>x</v>
      </c>
      <c r="JU44" s="111"/>
      <c r="JV44" s="111"/>
      <c r="JW44" s="112"/>
      <c r="JX44" s="112" t="str">
        <f>HYPERLINK("https://www.arbeitsagentur.de/web/wcm/idc/groups/public/documents/webdatei/mdaw/mjgz/~edisp/l6019022dstbai784636.pdf?_ba.sid=L6019022DSTBAI784633","x")</f>
        <v>x</v>
      </c>
      <c r="JY44" s="112"/>
      <c r="JZ44" s="112"/>
      <c r="KA44" s="112"/>
      <c r="KB44" s="112" t="str">
        <f>HYPERLINK("http://www.refugeeguide.de/dl/RefugeeGuide_en_925.pdf","x")</f>
        <v>x</v>
      </c>
      <c r="KC44" s="112" t="str">
        <f>HYPERLINK("http://www.gesetze-im-internet.de/englisch_gg/basic_law_for_the_federal_republic_of_germany.pdf","x")</f>
        <v>x</v>
      </c>
      <c r="KD44" s="112" t="str">
        <f>HYPERLINK("http://www.wedel.de/fileadmin/user_upload/media/pdf/Rathaus_und_Politik/20160118_PM_Broschuere.pdf","x")</f>
        <v>x</v>
      </c>
      <c r="KE44" s="112" t="str">
        <f>HYPERLINK("http://www.frauenrechte.de/online/images/downloads/allgemein/TDF_Flyer_Women_Men.pdf","x")</f>
        <v>x</v>
      </c>
      <c r="KF44" s="112" t="str">
        <f>HYPERLINK("http://sab.landtag.sachsen.de/dokumente/landtagskurier/Grundwerte-A5-international_web_08012016.pdf","x")</f>
        <v>x</v>
      </c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1"/>
      <c r="LD44" s="112"/>
      <c r="LE44" s="112"/>
      <c r="LF44" s="112"/>
      <c r="LG44" s="112"/>
      <c r="LH44" s="112"/>
      <c r="LI44" s="112"/>
      <c r="LJ44" s="112"/>
      <c r="LK44" s="112"/>
      <c r="LL44" s="112"/>
      <c r="LM44" s="112"/>
      <c r="LN44" s="112"/>
      <c r="LO44" s="112"/>
      <c r="LP44" s="112"/>
      <c r="LQ44" s="112"/>
      <c r="LR44" s="112"/>
      <c r="LS44" s="112"/>
      <c r="LT44" s="112"/>
      <c r="LU44" s="112"/>
      <c r="LV44" s="112"/>
      <c r="LW44" s="112"/>
      <c r="LX44" s="112"/>
      <c r="LY44" s="112"/>
      <c r="LZ44" s="112"/>
      <c r="MA44" s="112"/>
      <c r="MB44" s="112"/>
      <c r="MC44" s="111"/>
      <c r="MD44" s="112" t="str">
        <f>HYPERLINK("http://www.rki.de/DE/Content/Infekt/IfSG/Belehrungsbogen/belehrungsbogen_lebensmittel_englisch.pdf?__blob=publicationFile","x")</f>
        <v>x</v>
      </c>
      <c r="ME44" s="112"/>
      <c r="MF44" s="112" t="str">
        <f>HYPERLINK("http://www.gdv.de/wp-content/uploads/2016/01/Information_Brandschutz_Fluechtlingsheim_-Sicherheit_mehrsprachig.pdf","x")</f>
        <v>x</v>
      </c>
      <c r="MG44" s="112" t="str">
        <f>HYPERLINK("http://www.gdv.de/wp-content/uploads/2016/01/Information_Verhalten-im-Brandfall_mehrsprachig.pdf","x")</f>
        <v>x</v>
      </c>
      <c r="MH44" s="112" t="str">
        <f>HYPERLINK("http://www.aha-region.de/fileadmin/Download/pdf/aha_Plakat_Muelltrennung_en.pdf","x")</f>
        <v>x</v>
      </c>
      <c r="MI44" s="112" t="str">
        <f>HYPERLINK("http://www.kindersicherheit.de/pdf/2012_poster_achtunggiftig_8sprachig.pdf","x")</f>
        <v>x</v>
      </c>
    </row>
    <row r="45" spans="1:347" x14ac:dyDescent="0.25">
      <c r="A45" s="102" t="s">
        <v>72</v>
      </c>
      <c r="B45" s="127" t="s">
        <v>30</v>
      </c>
      <c r="C45" s="102"/>
      <c r="D45" s="102"/>
      <c r="E45" s="102"/>
      <c r="F45" s="102"/>
      <c r="G45" s="102"/>
      <c r="H45" s="102"/>
      <c r="I45" s="102"/>
      <c r="J45" s="102"/>
      <c r="K45" s="103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2"/>
      <c r="AP45" s="112"/>
      <c r="AQ45" s="112"/>
      <c r="AR45" s="112"/>
      <c r="AS45" s="112"/>
      <c r="AT45" s="112"/>
      <c r="AU45" s="112"/>
      <c r="AV45" s="113"/>
      <c r="AW45" s="114" t="str">
        <f t="shared" si="0"/>
        <v>x</v>
      </c>
      <c r="AX45" s="114" t="str">
        <f t="shared" si="1"/>
        <v>x</v>
      </c>
      <c r="AY45" s="111"/>
      <c r="AZ45" s="111"/>
      <c r="BA45" s="112" t="str">
        <f t="shared" si="2"/>
        <v>x</v>
      </c>
      <c r="BB45" s="112" t="str">
        <f t="shared" si="3"/>
        <v>x</v>
      </c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2" t="str">
        <f t="shared" si="4"/>
        <v>x</v>
      </c>
      <c r="BT45" s="112"/>
      <c r="BU45" s="111"/>
      <c r="BV45" s="112" t="str">
        <f t="shared" si="5"/>
        <v>x</v>
      </c>
      <c r="BW45" s="112" t="str">
        <f>HYPERLINK("http://www.welcomegrooves.de/wp-content/uploads/2015/11/welcomegrooves_DE-BULGARISCH_V1.pdf","x")</f>
        <v>x</v>
      </c>
      <c r="BX45" s="112"/>
      <c r="BY45" s="112"/>
      <c r="BZ45" s="112"/>
      <c r="CA45" s="112" t="str">
        <f t="shared" si="6"/>
        <v>x</v>
      </c>
      <c r="CB45" s="112" t="str">
        <f t="shared" si="7"/>
        <v>x</v>
      </c>
      <c r="CC45" s="112" t="str">
        <f t="shared" si="8"/>
        <v>x</v>
      </c>
      <c r="CD45" s="112"/>
      <c r="CE45" s="112"/>
      <c r="CF45" s="111"/>
      <c r="CG45" s="111"/>
      <c r="CH45" s="111"/>
      <c r="CI45" s="111"/>
      <c r="CJ45" s="112" t="str">
        <f>HYPERLINK("https://www.hilfetelefon.de/fileadmin/hilfetelefon_de/Materialien/weitere_werbemittel/Klappflyer_Vorder-_und_Rueckseite_opt2.pdf","x")</f>
        <v>x</v>
      </c>
      <c r="CK45" s="112" t="str">
        <f t="shared" si="9"/>
        <v>x</v>
      </c>
      <c r="CL45" s="112"/>
      <c r="CM45" s="112"/>
      <c r="CN45" s="112"/>
      <c r="CO45" s="112"/>
      <c r="CP45" s="112" t="str">
        <f>HYPERLINK("http://www.schwanger-und-viele-fragen.de/bg/","x")</f>
        <v>x</v>
      </c>
      <c r="CQ45" s="112"/>
      <c r="CR45" s="112"/>
      <c r="CS45" s="112"/>
      <c r="CT45" s="112"/>
      <c r="CU45" s="112" t="str">
        <f>HYPERLINK("http://www.profamilia.de/fileadmin/publikationen/Erwachsene/mehrsprachig/Bro_Verhuetung_bul_141016.pdf","x")</f>
        <v>x</v>
      </c>
      <c r="CV45" s="112"/>
      <c r="CW45" s="112"/>
      <c r="CX45" s="112"/>
      <c r="CY45" s="112"/>
      <c r="CZ45" s="112"/>
      <c r="DA45" s="112"/>
      <c r="DB45" s="112"/>
      <c r="DC45" s="115"/>
      <c r="DD45" s="112"/>
      <c r="DE45" s="112"/>
      <c r="DF45" s="112" t="str">
        <f t="shared" si="10"/>
        <v>x</v>
      </c>
      <c r="DG45" s="115" t="str">
        <f t="shared" si="11"/>
        <v>x</v>
      </c>
      <c r="DH45" s="112" t="str">
        <f t="shared" si="12"/>
        <v>x</v>
      </c>
      <c r="DI45" s="112" t="str">
        <f t="shared" si="13"/>
        <v>x</v>
      </c>
      <c r="DJ45" s="112" t="str">
        <f>HYPERLINK("http://www.bibliomedia.ch/de/angebote/dokumente/Glossar_bulgarisch.pdf","x")</f>
        <v>x</v>
      </c>
      <c r="DK45" s="112"/>
      <c r="DL45" s="112"/>
      <c r="DM45" s="112"/>
      <c r="DN45" s="112"/>
      <c r="DO45" s="112"/>
      <c r="DP45" s="111"/>
      <c r="DQ45" s="112" t="str">
        <f>HYPERLINK("http://tipdoc.de/bus/grafik/kinder-tip/SCHULTIP_give_BulgRoSRB.pdf","x")</f>
        <v>x</v>
      </c>
      <c r="DR45" s="111"/>
      <c r="DS45" s="112" t="str">
        <f>HYPERLINK("http://bildung.koeln.de/materialbibliothek/download.php?idx=fa5ec5a51d71668e22b39aad7ce835b7","x")</f>
        <v>x</v>
      </c>
      <c r="DT45" s="112" t="str">
        <f>HYPERLINK("http://bildung.koeln.de/materialbibliothek/download.php?idx=b6156c96f0672121e7a1d19acc23ac96","x")</f>
        <v>x</v>
      </c>
      <c r="DU45" s="112"/>
      <c r="DV45" s="112" t="str">
        <f>HYPERLINK("https://www.bmbf.de/pub/Kausa_Elternratgeber_deutsch_bulgarisch.pdf","x")</f>
        <v>x</v>
      </c>
      <c r="DW45" s="111"/>
      <c r="DX45" s="111"/>
      <c r="DY45" s="111"/>
      <c r="DZ45" s="112" t="str">
        <f>HYPERLINK("http://www.bamf.de/SharedDocs/Anlagen/DE/Publikationen/Flyer/AnerkennungBerufsabschluss/anerkennung-berufsabschluss_bg.pdf?__blob=publicationFile","x")</f>
        <v>x</v>
      </c>
      <c r="EA45" s="112"/>
      <c r="EB45" s="112"/>
      <c r="EC45" s="112"/>
      <c r="ED45" s="111"/>
      <c r="EE45" s="111"/>
      <c r="EF45" s="111"/>
      <c r="EG45" s="111"/>
      <c r="EH45" s="111"/>
      <c r="EI45" s="111"/>
      <c r="EJ45" s="112"/>
      <c r="EK45" s="112"/>
      <c r="EL45" s="111"/>
      <c r="EM45" s="111"/>
      <c r="EN45" s="111"/>
      <c r="EO45" s="111"/>
      <c r="EP45" s="117" t="str">
        <f>HYPERLINK("http://www.medi-bild.de/pdf/anamnese/Welche_Sprache.pdf","x")</f>
        <v>x</v>
      </c>
      <c r="EQ45" s="117" t="str">
        <f>HYPERLINK("http://www.armut-gesundheit.de/fileadmin/redakteur/dokumente/Anamnesebogen%20-%20bulgarischnew.pdf","x")</f>
        <v>x</v>
      </c>
      <c r="ER45" s="111"/>
      <c r="ES45" s="111"/>
      <c r="ET45" s="111"/>
      <c r="EU45" s="111"/>
      <c r="EV45" s="111"/>
      <c r="EW45" s="112" t="str">
        <f t="shared" si="14"/>
        <v>x</v>
      </c>
      <c r="EX45" s="111"/>
      <c r="EY45" s="111"/>
      <c r="EZ45" s="111"/>
      <c r="FA45" s="111"/>
      <c r="FB45" s="111"/>
      <c r="FC45" s="111"/>
      <c r="FD45" s="112" t="str">
        <f t="shared" si="15"/>
        <v>x</v>
      </c>
      <c r="FE45" s="112" t="str">
        <f>HYPERLINK("http://sghanstedt.elbnetz.com/ueber-uns/","x")</f>
        <v>x</v>
      </c>
      <c r="FF45" s="111"/>
      <c r="FG45" s="111"/>
      <c r="FH45" s="111"/>
      <c r="FI45" s="111"/>
      <c r="FJ45" s="112"/>
      <c r="FK45" s="112" t="str">
        <f>HYPERLINK("http://www.rki.de/DE/Content/Infekt/Impfen/Materialien/Downloads-Impfkalender/Impfkalender_Bulgarisch.pdf?__blob=publicationFile","x")</f>
        <v>x</v>
      </c>
      <c r="FL45" s="112" t="str">
        <f>HYPERLINK("http://www.ethno-medizinisches-zentrum.de/images/PDF-Files/impfwegweiser_bulgarisch_2013_online.pdf","x")</f>
        <v>x</v>
      </c>
      <c r="FM45" s="112"/>
      <c r="FN45" s="111"/>
      <c r="FO45" s="111"/>
      <c r="FP45" s="112" t="str">
        <f>HYPERLINK("http://www.rki.de/DE/Content/Infekt/Impfen/Materialien/Downloads-MMR/MMR-Impfinfo-bulgarisch.pdf?__blob=publicationFile","x")</f>
        <v>x</v>
      </c>
      <c r="FQ45" s="111"/>
      <c r="FR45" s="112" t="str">
        <f>HYPERLINK("http://www.rki.de/DE/Content/Infekt/Impfen/Materialien/Downloads_HepA/Aufklaerung_HAV-Impfung_bulgarisch.pdf?__blob=publicationFile","x")</f>
        <v>x</v>
      </c>
      <c r="FS45" s="112" t="str">
        <f>HYPERLINK("http://www.rki.de/DE/Content/Infekt/Impfen/Materialien/Downloads_Pneumokokken/Aufklaerung_Pneumo-Impfung_Bulgarisch.pdf?__blob=publicationFile","x")</f>
        <v>x</v>
      </c>
      <c r="FT45" s="112" t="str">
        <f>HYPERLINK("http://www.rki.de/DE/Content/Infekt/Impfen/Materialien/Downloads-DTaPIPVHibHepB/DTaPIPVHibHepB_bulgarisch.pdf?__blob=publicationFile","x")</f>
        <v>x</v>
      </c>
      <c r="FU4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45" s="112" t="str">
        <f>HYPERLINK("http://www.rki.de/DE/Content/Infekt/Impfen/Materialien/Downloads-Tdap-IPV/Tdap-IPV-bulgarisch.pdf?__blob=publicationFile","x")</f>
        <v>x</v>
      </c>
      <c r="FW45" s="112" t="str">
        <f>HYPERLINK("http://www.rki.de/DE/Content/Infekt/Impfen/Materialien/Downloads-Influenza_nasal/Influenza_nasal-bulgarisch.pdf?__blob=publicationFile","x")</f>
        <v>x</v>
      </c>
      <c r="FX45" s="111"/>
      <c r="FY45" s="111"/>
      <c r="FZ45" s="111"/>
      <c r="GA45" s="111"/>
      <c r="GB45" s="111"/>
      <c r="GC45" s="111"/>
      <c r="GD45" s="112" t="str">
        <f>HYPERLINK("http://www.ethno-medizinisches-zentrum.de/images/PDF-Files/lf_diabete_bulgarish.pdf","x")</f>
        <v>x</v>
      </c>
      <c r="GE45" s="111"/>
      <c r="GF45" s="111"/>
      <c r="GG45" s="111"/>
      <c r="GH45" s="111"/>
      <c r="GI45" s="111"/>
      <c r="GJ45" s="111"/>
      <c r="GK45" s="111"/>
      <c r="GL45" s="111"/>
      <c r="GM45" s="112" t="str">
        <f>HYPERLINK("http://www.rki.de/DE/Content/Infekt/Impfen/Materialien/Downloads-Influenza/Influenza-bulgarisch.pdf?__blob=publicationFile","x")</f>
        <v>x</v>
      </c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2" t="str">
        <f t="shared" si="16"/>
        <v>x</v>
      </c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2" t="str">
        <f t="shared" si="17"/>
        <v>x</v>
      </c>
      <c r="HZ45" s="112" t="str">
        <f t="shared" si="18"/>
        <v>x</v>
      </c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2"/>
      <c r="IL45" s="111"/>
      <c r="IM45" s="111"/>
      <c r="IN45" s="112" t="str">
        <f>HYPERLINK("https://www.bamf.de/SharedDocs/Anlagen/DE/Publikationen/Broschueren/willkommen-in-deutschland_bg.pdf?__blob=publicationFile","x")</f>
        <v>x</v>
      </c>
      <c r="IO45" s="112"/>
      <c r="IP45" s="111"/>
      <c r="IQ45" s="112" t="str">
        <f>HYPERLINK("http://www.bamf.de/SharedDocs/Anlagen/DE/Publikationen/Flyer/Lernen-Sie-Deutsch/lernen-sie-deutsch_bg.pdf?__blob=publicationFile","x")</f>
        <v>x</v>
      </c>
      <c r="IR45" s="112"/>
      <c r="IS45" s="111"/>
      <c r="IT45" s="111"/>
      <c r="IU45" s="111"/>
      <c r="IV45" s="112"/>
      <c r="IW45" s="112"/>
      <c r="IX45" s="112"/>
      <c r="IY45" s="112"/>
      <c r="IZ45" s="111"/>
      <c r="JA45" s="111"/>
      <c r="JB45" s="111"/>
      <c r="JC45" s="112"/>
      <c r="JD45" s="111"/>
      <c r="JE45" s="112"/>
      <c r="JF45" s="112"/>
      <c r="JG45" s="112"/>
      <c r="JH45" s="112"/>
      <c r="JI45" s="111"/>
      <c r="JJ45" s="112"/>
      <c r="JK45" s="112"/>
      <c r="JL45" s="112"/>
      <c r="JM45" s="112" t="str">
        <f>HYPERLINK("https://www.arbeitsagentur.de/web/content/DE/Formulare/Detail/index.htm?dfContentId=L6019022DSTBAI485740","x")</f>
        <v>x</v>
      </c>
      <c r="JN45" s="112"/>
      <c r="JO45" s="112"/>
      <c r="JP45" s="112"/>
      <c r="JQ45" s="112"/>
      <c r="JR45" s="112" t="str">
        <f>HYPERLINK("http://www.ibla-germany.de/merkblaetter.php","x")</f>
        <v>x</v>
      </c>
      <c r="JS45" s="112"/>
      <c r="JT45" s="111"/>
      <c r="JU45" s="111"/>
      <c r="JV45" s="111"/>
      <c r="JW45" s="112"/>
      <c r="JX45" s="112"/>
      <c r="JY45" s="111"/>
      <c r="JZ45" s="111"/>
      <c r="KA45" s="111"/>
      <c r="KB45" s="111"/>
      <c r="KC45" s="111"/>
      <c r="KD45" s="111"/>
      <c r="KE45" s="111"/>
      <c r="KF45" s="111"/>
      <c r="KG45" s="111"/>
      <c r="KH45" s="111"/>
      <c r="KI45" s="111"/>
      <c r="KJ45" s="111"/>
      <c r="KK45" s="111"/>
      <c r="KL45" s="111"/>
      <c r="KM45" s="111"/>
      <c r="KN45" s="111"/>
      <c r="KO45" s="111"/>
      <c r="KP45" s="111"/>
      <c r="KQ45" s="111"/>
      <c r="KR45" s="111"/>
      <c r="KS45" s="111"/>
      <c r="KT45" s="111"/>
      <c r="KU45" s="111"/>
      <c r="KV45" s="111"/>
      <c r="KW45" s="111"/>
      <c r="KX45" s="111"/>
      <c r="KY45" s="111"/>
      <c r="KZ45" s="111"/>
      <c r="LA45" s="111"/>
      <c r="LB45" s="111"/>
      <c r="LC45" s="111"/>
      <c r="LD45" s="111"/>
      <c r="LE45" s="111"/>
      <c r="LF45" s="111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1"/>
      <c r="LT45" s="111"/>
      <c r="LU45" s="111"/>
      <c r="LV45" s="111"/>
      <c r="LW45" s="111"/>
      <c r="LX45" s="111"/>
      <c r="LY45" s="111"/>
      <c r="LZ45" s="111"/>
      <c r="MA45" s="111"/>
      <c r="MB45" s="111"/>
      <c r="MC45" s="111"/>
      <c r="MD45" s="111"/>
      <c r="ME45" s="111"/>
      <c r="MF45" s="111"/>
      <c r="MG45" s="111"/>
      <c r="MH45" s="111"/>
      <c r="MI45" s="111"/>
    </row>
    <row r="46" spans="1:347" x14ac:dyDescent="0.25">
      <c r="A46" s="102" t="s">
        <v>72</v>
      </c>
      <c r="B46" s="127" t="s">
        <v>153</v>
      </c>
      <c r="C46" s="102"/>
      <c r="D46" s="102"/>
      <c r="E46" s="102"/>
      <c r="F46" s="102"/>
      <c r="G46" s="102"/>
      <c r="H46" s="102"/>
      <c r="I46" s="102"/>
      <c r="J46" s="102"/>
      <c r="K46" s="103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3"/>
      <c r="AW46" s="114" t="str">
        <f t="shared" si="0"/>
        <v>x</v>
      </c>
      <c r="AX46" s="114" t="str">
        <f t="shared" si="1"/>
        <v>x</v>
      </c>
      <c r="AY46" s="111"/>
      <c r="AZ46" s="111"/>
      <c r="BA46" s="112" t="str">
        <f t="shared" si="2"/>
        <v>x</v>
      </c>
      <c r="BB46" s="112" t="str">
        <f t="shared" si="3"/>
        <v>x</v>
      </c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2" t="str">
        <f t="shared" si="4"/>
        <v>x</v>
      </c>
      <c r="BT46" s="112"/>
      <c r="BU46" s="111"/>
      <c r="BV46" s="112" t="str">
        <f t="shared" si="5"/>
        <v>x</v>
      </c>
      <c r="BW46" s="112"/>
      <c r="BX46" s="112"/>
      <c r="BY46" s="112"/>
      <c r="BZ46" s="112"/>
      <c r="CA46" s="112" t="str">
        <f t="shared" si="6"/>
        <v>x</v>
      </c>
      <c r="CB46" s="112" t="str">
        <f t="shared" si="7"/>
        <v>x</v>
      </c>
      <c r="CC46" s="112" t="str">
        <f t="shared" si="8"/>
        <v>x</v>
      </c>
      <c r="CD46" s="112"/>
      <c r="CE46" s="112"/>
      <c r="CF46" s="111"/>
      <c r="CG46" s="111"/>
      <c r="CH46" s="111"/>
      <c r="CI46" s="111"/>
      <c r="CJ46" s="111"/>
      <c r="CK46" s="112" t="str">
        <f t="shared" si="9"/>
        <v>x</v>
      </c>
      <c r="CL46" s="112"/>
      <c r="CM46" s="112"/>
      <c r="CN46" s="112"/>
      <c r="CO46" s="112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2"/>
      <c r="DA46" s="112"/>
      <c r="DB46" s="112"/>
      <c r="DC46" s="115"/>
      <c r="DD46" s="112"/>
      <c r="DE46" s="112"/>
      <c r="DF46" s="112" t="str">
        <f t="shared" si="10"/>
        <v>x</v>
      </c>
      <c r="DG46" s="115" t="str">
        <f t="shared" si="11"/>
        <v>x</v>
      </c>
      <c r="DH46" s="112" t="str">
        <f t="shared" si="12"/>
        <v>x</v>
      </c>
      <c r="DI46" s="112" t="str">
        <f t="shared" si="13"/>
        <v>x</v>
      </c>
      <c r="DJ46" s="111"/>
      <c r="DK46" s="111"/>
      <c r="DL46" s="111"/>
      <c r="DM46" s="111"/>
      <c r="DN46" s="111"/>
      <c r="DO46" s="111"/>
      <c r="DP46" s="111"/>
      <c r="DQ46" s="111"/>
      <c r="DR46" s="111"/>
      <c r="DS46" s="112" t="str">
        <f>HYPERLINK("http://bildung.koeln.de/materialbibliothek/download.php?idx=ffca9a983564046e13193e94deeff609","x")</f>
        <v>x</v>
      </c>
      <c r="DT46" s="112" t="str">
        <f>HYPERLINK("http://bildung.koeln.de/materialbibliothek/download.php?idx=1a02e789389f6b5edac5f907fb9f00d3","x")</f>
        <v>x</v>
      </c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8"/>
      <c r="EQ46" s="118"/>
      <c r="ER46" s="111"/>
      <c r="ES46" s="111"/>
      <c r="ET46" s="111"/>
      <c r="EU46" s="111"/>
      <c r="EV46" s="111"/>
      <c r="EW46" s="112" t="str">
        <f t="shared" si="14"/>
        <v>x</v>
      </c>
      <c r="EX46" s="111"/>
      <c r="EY46" s="111"/>
      <c r="EZ46" s="111"/>
      <c r="FA46" s="111"/>
      <c r="FB46" s="111"/>
      <c r="FC46" s="111"/>
      <c r="FD46" s="112" t="str">
        <f t="shared" si="15"/>
        <v>x</v>
      </c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2" t="str">
        <f t="shared" si="16"/>
        <v>x</v>
      </c>
      <c r="HD46" s="112" t="str">
        <f>HYPERLINK("https://www.zahnaerzte-wl.de/images/_PDF-suche/KZV_ZÄK/ENDSTAND_Ankreuzbogen_Ich_verstehe.pdf","x")</f>
        <v>x</v>
      </c>
      <c r="HE46" s="112" t="str">
        <f>HYPERLINK("https://www.zahnaerzte-wl.de/images/_PDF-suche/KZV_ZÄK/Anschreiben_romani.pdf","x")</f>
        <v>x</v>
      </c>
      <c r="HF46" s="112" t="str">
        <f>HYPERLINK("https://www.zahnaerzte-wl.de/images/_PDF-suche/KZV_ZÄK/Fragebogen_romani.pdf","x")</f>
        <v>x</v>
      </c>
      <c r="HG46" s="112" t="str">
        <f>HYPERLINK("https://www.zahnaerzte-wl.de/images/_PDF-suche/KZV_ZÄK/Patientenerhebungsbogen_romani.pdf","x")</f>
        <v>x</v>
      </c>
      <c r="HH46" s="112"/>
      <c r="HI46" s="112"/>
      <c r="HJ46" s="112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2" t="str">
        <f t="shared" si="17"/>
        <v>x</v>
      </c>
      <c r="HZ46" s="112" t="str">
        <f t="shared" si="18"/>
        <v>x</v>
      </c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</row>
    <row r="47" spans="1:347" x14ac:dyDescent="0.25">
      <c r="A47" s="102" t="s">
        <v>72</v>
      </c>
      <c r="B47" s="127" t="s">
        <v>11</v>
      </c>
      <c r="C47" s="102"/>
      <c r="D47" s="102"/>
      <c r="E47" s="102"/>
      <c r="F47" s="102"/>
      <c r="G47" s="102"/>
      <c r="H47" s="102"/>
      <c r="I47" s="102"/>
      <c r="J47" s="102"/>
      <c r="K47" s="103"/>
      <c r="L47" s="111"/>
      <c r="M47" s="111"/>
      <c r="N47" s="112" t="str">
        <f>HYPERLINK("http://www.ag-fluechtlingshilfe-wetterau.de/uploads/infos/170.pdf","x")</f>
        <v>x</v>
      </c>
      <c r="O47" s="112"/>
      <c r="P47" s="112" t="str">
        <f>HYPERLINK("http://www.awb-ahrweiler.de/admin/data/ddownload/Abfall%20Sonderhinweise-tuerkisch%202014.pdf","x")</f>
        <v>x</v>
      </c>
      <c r="Q47" s="112"/>
      <c r="R47" s="112"/>
      <c r="S47" s="112"/>
      <c r="T47" s="112"/>
      <c r="U47" s="112"/>
      <c r="V47" s="112"/>
      <c r="W47" s="111"/>
      <c r="X47" s="112"/>
      <c r="Y47" s="111"/>
      <c r="Z47" s="111"/>
      <c r="AA47" s="111"/>
      <c r="AB47" s="111"/>
      <c r="AC47" s="111"/>
      <c r="AD47" s="112" t="str">
        <f>HYPERLINK("http://www.rundfunkbeitrag.de/e175/e199/Informationsflyer_Buergerinnen_und_Buerger_tuerkisch.pdf","x")</f>
        <v>x</v>
      </c>
      <c r="AE47" s="111"/>
      <c r="AF47" s="112" t="str">
        <f>HYPERLINK("http://www.kub-berlin.org/formularprojekt/de/tuerkisch-antraege-und-anlagen/","x")</f>
        <v>x</v>
      </c>
      <c r="AG47" s="111"/>
      <c r="AH47" s="111"/>
      <c r="AI47" s="111"/>
      <c r="AJ47" s="111"/>
      <c r="AK47" s="111"/>
      <c r="AL47" s="111"/>
      <c r="AM47" s="111"/>
      <c r="AN47" s="111"/>
      <c r="AO47" s="112"/>
      <c r="AP47" s="112"/>
      <c r="AQ47" s="112"/>
      <c r="AR47" s="112"/>
      <c r="AS47" s="112"/>
      <c r="AT47" s="112"/>
      <c r="AU47" s="112"/>
      <c r="AV47" s="113"/>
      <c r="AW47" s="114" t="str">
        <f t="shared" si="0"/>
        <v>x</v>
      </c>
      <c r="AX47" s="114" t="str">
        <f t="shared" si="1"/>
        <v>x</v>
      </c>
      <c r="AY47" s="111"/>
      <c r="AZ47" s="111"/>
      <c r="BA47" s="112" t="str">
        <f t="shared" si="2"/>
        <v>x</v>
      </c>
      <c r="BB47" s="112" t="str">
        <f t="shared" si="3"/>
        <v>x</v>
      </c>
      <c r="BC47" s="111"/>
      <c r="BD47" s="111"/>
      <c r="BE47" s="111"/>
      <c r="BF47" s="111"/>
      <c r="BG47" s="111"/>
      <c r="BH47" s="112" t="str">
        <f>HYPERLINK("http://www.refugeephrasebook.de/pdf/germany150920.pdf","x")</f>
        <v>x</v>
      </c>
      <c r="BI47" s="112"/>
      <c r="BJ47" s="111"/>
      <c r="BK47" s="111"/>
      <c r="BL47" s="111"/>
      <c r="BM47" s="111"/>
      <c r="BN47" s="111"/>
      <c r="BO47" s="111"/>
      <c r="BP47" s="111"/>
      <c r="BQ47" s="111"/>
      <c r="BR47" s="111"/>
      <c r="BS47" s="112" t="str">
        <f t="shared" si="4"/>
        <v>x</v>
      </c>
      <c r="BT47" s="112"/>
      <c r="BU47" s="111"/>
      <c r="BV47" s="112" t="str">
        <f t="shared" si="5"/>
        <v>x</v>
      </c>
      <c r="BW47" s="112" t="str">
        <f>HYPERLINK("http://www.welcomegrooves.de/wp-content/uploads/2015/10/welcomegrooves_DE-TUERKISCH1.pdf","x")</f>
        <v>x</v>
      </c>
      <c r="BX47" s="112"/>
      <c r="BY47" s="112"/>
      <c r="BZ47" s="112"/>
      <c r="CA47" s="112" t="str">
        <f t="shared" si="6"/>
        <v>x</v>
      </c>
      <c r="CB47" s="112" t="str">
        <f t="shared" si="7"/>
        <v>x</v>
      </c>
      <c r="CC47" s="112" t="str">
        <f t="shared" si="8"/>
        <v>x</v>
      </c>
      <c r="CD47" s="112"/>
      <c r="CE47" s="112"/>
      <c r="CF47" s="111"/>
      <c r="CG47" s="112" t="str">
        <f>HYPERLINK("http://www.braunschweig.de/leben/frauen/hilfe/Ohne-Gewalt-leben.pdf","x")</f>
        <v>x</v>
      </c>
      <c r="CH47" s="112" t="str">
        <f>HYPERLINK("http://mifkjf.rlp.de/fileadmin/mifkjf/Frauen/Gewalt_gegen_Frauen/Downloads/Broschueren_Flyer/Flyer_Gewalt_tuerkisch.pdf","x")</f>
        <v>x</v>
      </c>
      <c r="CI47" s="112" t="str">
        <f>HYPERLINK("https://www.hilfetelefon.de/fileadmin/hilfetelefon_de/Materialien/Flyer/Infoflyer_Hilfetelefon_Gewalt_gegen_Frauen141105_b2.pdf","x")</f>
        <v>x</v>
      </c>
      <c r="CJ47" s="112" t="str">
        <f>HYPERLINK("https://www.hilfetelefon.de/fileadmin/hilfetelefon_de/Materialien/weitere_werbemittel/Klappflyer_Vorder-_und_Rueckseite_opt2.pdf","x")</f>
        <v>x</v>
      </c>
      <c r="CK47" s="112" t="str">
        <f t="shared" si="9"/>
        <v>x</v>
      </c>
      <c r="CL47" s="112" t="str">
        <f>HYPERLINK("http://www.frauenberatungsstelle.de/pdf/Migrantinnen-beraten-Migrantinnen.pdf","x")</f>
        <v>x</v>
      </c>
      <c r="CM47" s="112"/>
      <c r="CN47" s="112"/>
      <c r="CO47" s="112"/>
      <c r="CP47" s="112" t="str">
        <f>HYPERLINK("http://www.schwanger-und-viele-fragen.de/tr/","x")</f>
        <v>x</v>
      </c>
      <c r="CQ47" s="112"/>
      <c r="CR47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47" s="112"/>
      <c r="CT47" s="112"/>
      <c r="CU47" s="112" t="str">
        <f>HYPERLINK("http://www.profamilia.de/fileadmin/publikationen/Erwachsene/mehrsprachig/verhuetung_tuerkisch.pdf","x")</f>
        <v>x</v>
      </c>
      <c r="CV47" s="112" t="str">
        <f>HYPERLINK("http://www.profamilia.de/fileadmin/publikationen/Reihe_Verhuetungsmethoden/Pille_Spirale_danach_tuerkisch_2011.pdf","x")</f>
        <v>x</v>
      </c>
      <c r="CW47" s="112" t="str">
        <f>HYPERLINK("http://www.profamilia.de/fileadmin/publikationen/Reihe_Verhuetungsmethoden/Einleger_tuerkisch.pdf","x")</f>
        <v>x</v>
      </c>
      <c r="CX47" s="112" t="str">
        <f>HYPERLINK("http://www.profamilia.de/fileadmin/publikationen/Reihe_Koerper_und_Sexualtitaet/Bro_Schwangerschaftsabbruch_TR_ANSICHT.pdf","x")</f>
        <v>x</v>
      </c>
      <c r="CY47" s="112" t="str">
        <f>HYPERLINK("http://www.caritas-schwarzwald-alb-donau.de/68854.html","x")</f>
        <v>x</v>
      </c>
      <c r="CZ47" s="112" t="str">
        <f>HYPERLINK("http://www.dgfpi.de/tl_files/download/medien/unwissen-macht-tk.pdf","x")</f>
        <v>x</v>
      </c>
      <c r="DA47" s="112"/>
      <c r="DB47" s="112"/>
      <c r="DC47" s="115" t="str">
        <f>HYPERLINK("http://www.kindersicherheit.de/pdf/2012_Bilderbuch-Gift-Tuerkisch.pdf","x")</f>
        <v>x</v>
      </c>
      <c r="DD47" s="112"/>
      <c r="DE47" s="112"/>
      <c r="DF47" s="112" t="str">
        <f t="shared" si="10"/>
        <v>x</v>
      </c>
      <c r="DG47" s="115" t="str">
        <f t="shared" si="11"/>
        <v>x</v>
      </c>
      <c r="DH47" s="112" t="str">
        <f t="shared" si="12"/>
        <v>x</v>
      </c>
      <c r="DI47" s="112" t="str">
        <f t="shared" si="13"/>
        <v>x</v>
      </c>
      <c r="DJ47" s="112" t="str">
        <f>HYPERLINK("http://www.bibliomedia.ch/de/angebote/dokumente/Glossar_tuerkisch.pdf","x")</f>
        <v>x</v>
      </c>
      <c r="DK47" s="112"/>
      <c r="DL47" s="112"/>
      <c r="DM47" s="112"/>
      <c r="DN47" s="112"/>
      <c r="DO47" s="112"/>
      <c r="DP47" s="111"/>
      <c r="DQ47" s="112" t="str">
        <f>HYPERLINK("http://tipdoc.de/bus/grafik/kinder-tip/SCHULTIP_give_didacta.pdf","x")</f>
        <v>x</v>
      </c>
      <c r="DR47" s="112" t="str">
        <f>HYPERLINK("https://broschueren.nordrheinwestfalendirekt.de/broschuerenservice/msw/tue-das-schulsystem-in-nordrhein-westfalen-einfach-und-schnell-erklaert/1906","x")</f>
        <v>x</v>
      </c>
      <c r="DS47" s="112" t="str">
        <f>HYPERLINK("http://bildung.koeln.de/materialbibliothek/download.php?idx=46d99ecd1cd085058204a036d1394fed","x")</f>
        <v>x</v>
      </c>
      <c r="DT47" s="112" t="str">
        <f>HYPERLINK("http://bildung.koeln.de/materialbibliothek/download.php?idx=5fa16c0085d80ec9f9262f25c773ed7f","x")</f>
        <v>x</v>
      </c>
      <c r="DU47" s="112"/>
      <c r="DV47" s="112" t="str">
        <f>HYPERLINK("https://www.bmbf.de/pub/Kausa_Elternbroschuere_tuerkisch.pdf","x")</f>
        <v>x</v>
      </c>
      <c r="DW47" s="111"/>
      <c r="DX47" s="111"/>
      <c r="DY47" s="111"/>
      <c r="DZ47" s="112" t="str">
        <f>HYPERLINK("http://www.bamf.de/SharedDocs/Anlagen/TR/Publikationen/Flyer/AnerkennungBerufsabschluss/anerkennung-berufsabschluss.pdf?__blob=publicationFile","x")</f>
        <v>x</v>
      </c>
      <c r="EA47" s="112" t="str">
        <f>HYPERLINK("http://www.bamf.de/SharedDocs/Anlagen/TR/Publikationen/Flyer/AnerkennungBerufsabschluss/anerkennung-berufsabschluss_ausland.pdf?__blob=publicationFile","x")</f>
        <v>x</v>
      </c>
      <c r="EB47" s="112" t="str">
        <f>HYPERLINK("http://www.bamf.de/SharedDocs/Anlagen/DE/Publikationen/Broschueren/willkommen-in-deutschland-info-blaue-karte-eu_tr.pdf?__blob=publicationFile","x")</f>
        <v>x</v>
      </c>
      <c r="EC47" s="112" t="str">
        <f>HYPERLINK("http://www.bamf.de/SharedDocs/Anlagen/TR/Publikationen/Flyer/Berufsbezsprachf-ESF-BAMF/berufsbezsprachf-esf-bamf.pdf?__blob=publicationFile","x")</f>
        <v>x</v>
      </c>
      <c r="ED47" s="111"/>
      <c r="EE47" s="111"/>
      <c r="EF47" s="111"/>
      <c r="EG47" s="111"/>
      <c r="EH47" s="111"/>
      <c r="EI47" s="111"/>
      <c r="EJ47" s="112"/>
      <c r="EK47" s="112"/>
      <c r="EL47" s="115"/>
      <c r="EM47" s="112" t="str">
        <f>HYPERLINK("http://www.kvs-sachsen.de/fileadmin/img/Mitglieder/Asylbewerber/Allg-Informationen/Anlage_1_Tuerkisch_LEK.pdf","x")</f>
        <v>x</v>
      </c>
      <c r="EN47" s="112" t="str">
        <f>HYPERLINK("http://www.medizin-hilft-fluechtlingen.de/images/Dokumente/gSch/gSch_tur.pdf","x")</f>
        <v>x</v>
      </c>
      <c r="EO47" s="111"/>
      <c r="EP47" s="117" t="str">
        <f>HYPERLINK("http://www.medi-bild.de/pdf/anamnese/Welche_Sprache.pdf","x")</f>
        <v>x</v>
      </c>
      <c r="EQ47" s="117" t="str">
        <f>HYPERLINK("http://www.armut-gesundheit.de/fileadmin/redakteur/dokumente/Anamnesebogen%20-%20t%C3%BCrkischnew.pdf","x")</f>
        <v>x</v>
      </c>
      <c r="ER47" s="112" t="str">
        <f>HYPERLINK("http://www.kvs-sachsen.de/fileadmin/img/Mitglieder/Asylbewerber/Allg-Informationen/Anlagen_2-1_2-2_Tuerkisch_LEK.pdf","x")</f>
        <v>x</v>
      </c>
      <c r="ES47" s="111"/>
      <c r="ET47" s="111"/>
      <c r="EU47" s="111"/>
      <c r="EV47" s="112" t="str">
        <f>HYPERLINK("http://www.adler-apotheke-hh.de/fileadmin/user_upload/PDF-Dateien/Dosierzettel_mehrsprachig_AUF_0_.pdf","x")</f>
        <v>x</v>
      </c>
      <c r="EW47" s="112" t="str">
        <f t="shared" si="14"/>
        <v>x</v>
      </c>
      <c r="EX47" s="112" t="str">
        <f>HYPERLINK("http://www.rki.de/DE/Content/Infekt/IfSG/Belehrungsbogen/belehrungsbogen_eltern_tuerkisch.pdf?__blob=publicationFile","x")</f>
        <v>x</v>
      </c>
      <c r="EY47" s="112" t="str">
        <f>HYPERLINK("http://www.bzga.de/infomaterialien/?sid=236","x")</f>
        <v>x</v>
      </c>
      <c r="EZ47" s="112" t="str">
        <f>HYPERLINK("https://www.mh-hannover.de/fileadmin/mhh/bilder/aktuelles_presse/pressestelle/bilder/Pilzverg_tuerkisch.pdf","x")</f>
        <v>x</v>
      </c>
      <c r="FA47" s="112"/>
      <c r="FB47" s="116"/>
      <c r="FC47" s="111"/>
      <c r="FD47" s="112" t="str">
        <f t="shared" si="15"/>
        <v>x</v>
      </c>
      <c r="FE47" s="112" t="str">
        <f>HYPERLINK("http://sghanstedt.elbnetz.com/ueber-uns/","x")</f>
        <v>x</v>
      </c>
      <c r="FF47" s="112" t="str">
        <f>HYPERLINK("http://www.fuhlenhagen.com/pdf_dateien/uebertzungshilfe_aerzte_mehrsprachig.pdf","x")</f>
        <v>x</v>
      </c>
      <c r="FG47" s="111"/>
      <c r="FH47" s="111"/>
      <c r="FI47" s="111"/>
      <c r="FJ47" s="112"/>
      <c r="FK47" s="112" t="str">
        <f>HYPERLINK("http://www.rki.de/DE/Content/Infekt/Impfen/Materialien/Downloads-Impfkalender/Impfkalender_Tuerkisch.pdf?__blob=publicationFile","x")</f>
        <v>x</v>
      </c>
      <c r="FL47" s="112" t="str">
        <f>HYPERLINK("http://www.ethno-medizinisches-zentrum.de/images/PDF-Files/impfwegweiser_turkisch_2013_online.pdf","x")</f>
        <v>x</v>
      </c>
      <c r="FM47" s="112"/>
      <c r="FN47" s="112" t="str">
        <f>HYPERLINK("http://www.rki.de/DE/Content/Infekt/Impfen/Materialien/Glossar-Downloads/glossar-de-tuerkisch.pdf?__blob=publicationFile","x")</f>
        <v>x</v>
      </c>
      <c r="FO47" s="112"/>
      <c r="FP47" s="112" t="str">
        <f>HYPERLINK("http://www.rki.de/DE/Content/Infekt/Impfen/Materialien/Downloads-MMR/MMR-Impfinfo-tuerkisch.pdf?__blob=publicationFile","x")</f>
        <v>x</v>
      </c>
      <c r="FQ47" s="112"/>
      <c r="FR47" s="112" t="str">
        <f>HYPERLINK("http://www.rki.de/DE/Content/Infekt/Impfen/Materialien/Downloads_HepA/Aufklaerung_HAV-Impfung_Tuerkisch.pdf?__blob=publicationFile","x")</f>
        <v>x</v>
      </c>
      <c r="FS47" s="112" t="str">
        <f>HYPERLINK("http://www.rki.de/DE/Content/Infekt/Impfen/Materialien/Downloads_Pneumokokken/Aufklaerung_Pneumo-Impfung_Tuerkisch.pdf?__blob=publicationFile","x")</f>
        <v>x</v>
      </c>
      <c r="FT47" s="112" t="str">
        <f>HYPERLINK("http://www.rki.de/DE/Content/Infekt/Impfen/Materialien/Downloads-DTaPIPVHibHepB/DTaPIPVHibHepB-tuerkisch.pdf?__blob=publicationFile","x")</f>
        <v>x</v>
      </c>
      <c r="FU47" s="112" t="str">
        <f>HYPERLINK("http://www.rki.de/DE/Content/Infekt/Impfen/Materialien/Downloads-Varizellen/Varizellen-Impfinfo-tuerkisch.pdf;jsessionid=65B697F4EE7EDA8A1ED9E2C4CD6C74EC.2_cid363?__blob=publicationFile","x")</f>
        <v>x</v>
      </c>
      <c r="FV47" s="112" t="str">
        <f>HYPERLINK("http://www.rki.de/DE/Content/Infekt/Impfen/Materialien/Downloads-Tdap-IPV/Tdap-IPV-tuerkisch.pdf?__blob=publicationFile","x")</f>
        <v>x</v>
      </c>
      <c r="FW47" s="112" t="str">
        <f>HYPERLINK("http://www.rki.de/DE/Content/Infekt/Impfen/Materialien/Downloads-Influenza_nasal/Influenza_nasal-tuerkisch.pdf?__blob=publicationFile","x")</f>
        <v>x</v>
      </c>
      <c r="FX47" s="112" t="str">
        <f>HYPERLINK("http://www.medical-tribune.de/fileadmin/PDF/Arthrose_tuerkisch.pdf","x")</f>
        <v>x</v>
      </c>
      <c r="FY47" s="112"/>
      <c r="FZ47" s="112" t="str">
        <f>HYPERLINK("http://www.medical-tribune.de/fileadmin/PDF/Bluthochdruck_tuerkisch.pdf","x")</f>
        <v>x</v>
      </c>
      <c r="GA47" s="112"/>
      <c r="GB47" s="112"/>
      <c r="GC47" s="112" t="str">
        <f>HYPERLINK("http://www.medical-tribune.de/fileadmin/PDF/Demenz_tuerkisch.pdf","x")</f>
        <v>x</v>
      </c>
      <c r="GD47" s="115" t="str">
        <f>HYPERLINK("http://www.ethno-medizinisches-zentrum.de/images/PDF-Files/lf_diabetes_turkisch.pdf","x")</f>
        <v>x</v>
      </c>
      <c r="GE47" s="112" t="str">
        <f>HYPERLINK("http://www.medical-tribune.de/fileadmin/PDF/Divertikel_tuerkisch.pdf","x")</f>
        <v>x</v>
      </c>
      <c r="GF47" s="112"/>
      <c r="GG47" s="112" t="str">
        <f>HYPERLINK("http://www.medical-tribune.de/fileadmin/PDF/Gallenstein_tuerkisch.pdf","x")</f>
        <v>x</v>
      </c>
      <c r="GH47" s="112"/>
      <c r="GI47" s="112" t="str">
        <f>HYPERLINK("http://www.tipdoc.de/bus/pdf/hepatitis/Hep_B_Webseite.pdf","x")</f>
        <v>x</v>
      </c>
      <c r="GJ47" s="112" t="str">
        <f>HYPERLINK("http://www.tipdoc.de/bus/pdf/hepatitis/Hep_C_Webseite.pdf","x")</f>
        <v>x</v>
      </c>
      <c r="GK47" s="111"/>
      <c r="GL47" s="111"/>
      <c r="GM47" s="112" t="str">
        <f>HYPERLINK("http://www.rki.de/DE/Content/Infekt/Impfen/Materialien/Downloads-Influenza/Influenza-tuerkisch.pdf?__blob=publicationFile","x")</f>
        <v>x</v>
      </c>
      <c r="GN47" s="112" t="str">
        <f>HYPERLINK("http://www.medical-tribune.de/fileadmin/PDF/Erkaeltung_tuerkisch.pdf","x")</f>
        <v>x</v>
      </c>
      <c r="GO47" s="112"/>
      <c r="GP47" s="112" t="str">
        <f>HYPERLINK("http://www.medi-bild.de/pdf/kopflaeuse2/Kopflaeuse_TURK.pdf","x")</f>
        <v>x</v>
      </c>
      <c r="GQ47" s="112"/>
      <c r="GR47" s="111"/>
      <c r="GS47" s="111"/>
      <c r="GT47" s="115" t="str">
        <f>HYPERLINK("http://www.medical-tribune.de/fileadmin/PDF/Migraene_tuerkisch.pdf","x")</f>
        <v>x</v>
      </c>
      <c r="GU47" s="112" t="str">
        <f>HYPERLINK("http://www.medical-tribune.de/fileadmin/PDF/Rueckenschmerzen_tuerkisch.pdf","x")</f>
        <v>x</v>
      </c>
      <c r="GV47" s="112"/>
      <c r="GW47" s="112" t="str">
        <f>HYPERLINK("http://www.medical-tribune.de/fileadmin/PDF/Schlafstoerungen_tuerkisch.pdf","x")</f>
        <v>x</v>
      </c>
      <c r="GX47" s="112" t="str">
        <f>HYPERLINK("http://www.medical-tribune.de/fileadmin/PDF/Schwindel_tuerkisch.pdf","x")</f>
        <v>x</v>
      </c>
      <c r="GY47" s="112" t="str">
        <f>HYPERLINK("http://www.medical-tribune.de/fileadmin/PDF/Sodbrennen_tuerkisch.pdf","x")</f>
        <v>x</v>
      </c>
      <c r="GZ47" s="112" t="str">
        <f>HYPERLINK("http://www.medical-tribune.de/fileadmin/PDF/Sportverletzungen_tuerkisch.pdf","x")</f>
        <v>x</v>
      </c>
      <c r="HA47" s="112" t="str">
        <f>HYPERLINK("http://www.medical-tribune.de/fileadmin/PDF/Thrombose_tuerkisch.pdf","x")</f>
        <v>x</v>
      </c>
      <c r="HB47" s="112"/>
      <c r="HC47" s="112" t="str">
        <f t="shared" si="16"/>
        <v>x</v>
      </c>
      <c r="HD47" s="112" t="str">
        <f>HYPERLINK("https://www.zahnaerzte-wl.de/images/_PDF-suche/KZV_ZÄK/ENDSTAND_Ankreuzbogen_Ich_verstehe.pdf","x")</f>
        <v>x</v>
      </c>
      <c r="HE47" s="112" t="str">
        <f>HYPERLINK("https://www.zahnaerzte-wl.de/images/_PDF-suche/KZV_ZÄK/Anschreiben_Patienten_tuerkisch.pdf","x")</f>
        <v>x</v>
      </c>
      <c r="HF47" s="112" t="str">
        <f>HYPERLINK("https://www.zahnaerzte-wl.de/images/_PDF-suche/KZV_ZÄK/Fragebogen_tuerkisch.pdf","x")</f>
        <v>x</v>
      </c>
      <c r="HG47" s="112" t="str">
        <f>HYPERLINK("https://www.zahnaerzte-wl.de/images/_PDF-suche/KZV_ZÄK/Patientenerhebungsbogen_tuerkisch.pdf","x")</f>
        <v>x</v>
      </c>
      <c r="HH47" s="112"/>
      <c r="HI47" s="112" t="str">
        <f>HYPERLINK("http://www.bvkm.de/fileadmin/web_data/Behinderung_und_Migration_tuerkisch_2014.pdf","x")</f>
        <v>x</v>
      </c>
      <c r="HJ47" s="112" t="str">
        <f>HYPERLINK("http://www.ibbc-berlin.de/media/bvkm_Bro_de-tuerk_Berlin_web%20Endversion.pdf","x")</f>
        <v>x</v>
      </c>
      <c r="HK47" s="112" t="str">
        <f>HYPERLINK("http://www.psychenet.de/tr/ruhsal-saglik/bilgiler/depresyon.html","x")</f>
        <v>x</v>
      </c>
      <c r="HL47" s="115" t="str">
        <f>HYPERLINK("http://www.ethno-medizinisches-zentrum.de/images/PDF-Files/lf_depression_tr.pdf","x")</f>
        <v>x</v>
      </c>
      <c r="HM47" s="115" t="str">
        <f>HYPERLINK("http://www.psychenet.de/tr/ruhsal-saglik/bilgiler/psikoz.html","x")</f>
        <v>x</v>
      </c>
      <c r="HN47" s="115" t="str">
        <f>HYPERLINK("http://www.psychenet.de/tr/ruhsal-saglik/bilgiler/somatoform-bozukluklar.html","x")</f>
        <v>x</v>
      </c>
      <c r="HO47" s="115" t="str">
        <f>HYPERLINK("http://www.psychenet.de/tr/ruhsal-saglik/bilgiler/asiri-zayiflik.html","x")</f>
        <v>x</v>
      </c>
      <c r="HP47" s="115" t="str">
        <f>HYPERLINK("http://www.psychenet.de/tr/ruhsal-saglik/bilgiler/bulimia.html","x")</f>
        <v>x</v>
      </c>
      <c r="HQ47" s="115" t="str">
        <f>HYPERLINK("http://www.psychenet.de/tr/ruhsal-saglik/bilgiler/bipolar-bozukluk.html","x")</f>
        <v>x</v>
      </c>
      <c r="HR47" s="115" t="str">
        <f>HYPERLINK("http://www.psychenet.de/tr/ruhsal-saglik/bilgiler/agorafobili-panik-bozukluk.html","x")</f>
        <v>x</v>
      </c>
      <c r="HS47" s="115" t="str">
        <f>HYPERLINK("http://www.psychenet.de/tr/ruhsal-saglik/bilgiler/sosyal-fobi.html","x")</f>
        <v>x</v>
      </c>
      <c r="HT47" s="115"/>
      <c r="HU47" s="115" t="str">
        <f>HYPERLINK("http://www.psychenet.de/tr/ruhsal-saglik/bilgiler/burnout.html","x")</f>
        <v>x</v>
      </c>
      <c r="HV47" s="115" t="str">
        <f>HYPERLINK("http://www.psychenet.de/tr/ruhsal-saglik/bilgiler/bilgiler-ve-destek.html","x")</f>
        <v>x</v>
      </c>
      <c r="HW47" s="115" t="str">
        <f>HYPERLINK("http://www.medical-tribune.de/fileadmin/PDF/Restless_Legs_tuerkisch.pdf","x")</f>
        <v>x</v>
      </c>
      <c r="HX47" s="115" t="str">
        <f>HYPERLINK("http://www.bkk-psychisch-gesund.de/fileadmin/user_upload/Dokumente/Versicherte/Broschueren/Wegweiser_Psychotherapie_tuerkisch.pdf","x")</f>
        <v>x</v>
      </c>
      <c r="HY47" s="112" t="str">
        <f t="shared" si="17"/>
        <v>x</v>
      </c>
      <c r="HZ47" s="112" t="str">
        <f t="shared" si="18"/>
        <v>x</v>
      </c>
      <c r="IA47" s="115"/>
      <c r="IB47" s="115"/>
      <c r="IC47" s="115"/>
      <c r="ID47" s="115"/>
      <c r="IE47" s="115" t="str">
        <f>HYPERLINK("http://www.psychenet.de/tr/ruhsal-saglik/bilgiler/genclerde-alkol-tueketimi.html","x")</f>
        <v>x</v>
      </c>
      <c r="IF47" s="115"/>
      <c r="IG47" s="115"/>
      <c r="IH47" s="112" t="str">
        <f>HYPERLINK("http://www.ethno-medizinisches-zentrum.de/images/PDF-Files/lf_mediensucht_tr_geschutzt.pdf","x")</f>
        <v>x</v>
      </c>
      <c r="II47" s="115" t="str">
        <f>HYPERLINK("http://www.caritas.de/hilfeundberatung/onlineberatung/suchtberatung/haeufiggestelltefragensucht/haeufiggestelltefragen-sucht","x")</f>
        <v>x</v>
      </c>
      <c r="IJ47" s="115" t="str">
        <f>HYPERLINK("http://www.bzga.de/infomaterialien/suchtvorbeugung/","x")</f>
        <v>x</v>
      </c>
      <c r="IK47" s="112" t="str">
        <f>HYPERLINK("http://www.bamf.de/SharedDocs/Anlagen/TR/Publikationen/Flyer/Lassen-Sie-Sich-Beraten/lassen-sie-sich-beraten.pdf?__blob=publicationFile","x")</f>
        <v>x</v>
      </c>
      <c r="IL47" s="111"/>
      <c r="IM47" s="111"/>
      <c r="IN47" s="112" t="str">
        <f>HYPERLINK("https://www.bamf.de/SharedDocs/Anlagen/TR/Publikationen/Broschueren/willkommen-in-deutschland-tr.pdf?__blob=publicationFile","x")</f>
        <v>x</v>
      </c>
      <c r="IO47" s="112"/>
      <c r="IP47" s="111"/>
      <c r="IQ47" s="112" t="str">
        <f>HYPERLINK("http://www.bamf.de/SharedDocs/Anlagen/TR/Publikationen/Flyer/Lernen-Sie-Deutsch/lernen-sie-deutsch.pdf?__blob=publicationFile","x")</f>
        <v>x</v>
      </c>
      <c r="IR47" s="112"/>
      <c r="IS47" s="111"/>
      <c r="IT47" s="111"/>
      <c r="IU47" s="111"/>
      <c r="IV47" s="112" t="str">
        <f>HYPERLINK("http://www.asyl.net/fileadmin/user_upload/infoblatt_anhoerung/Tuerk_final.pdf","x")</f>
        <v>x</v>
      </c>
      <c r="IW47" s="112"/>
      <c r="IX47" s="112" t="str">
        <f>HYPERLINK("http://www.berlin.de/labo/willkommen-in-berlin/service/downloads/artikel.273193.php","x")</f>
        <v>x</v>
      </c>
      <c r="IY47" s="112" t="str">
        <f>HYPERLINK("http://www.bamf.de/SharedDocs/Anlagen/TR/Publikationen/Broschueren/broschuere-eat-a4-tr.pdf?__blob=publicationFile","x")</f>
        <v>x</v>
      </c>
      <c r="IZ47" s="111"/>
      <c r="JA47" s="111"/>
      <c r="JB47" s="111"/>
      <c r="JC47" s="112"/>
      <c r="JD47" s="111"/>
      <c r="JE47" s="112"/>
      <c r="JF47" s="112"/>
      <c r="JG47" s="112" t="str">
        <f>HYPERLINK("http://www.bamf.de/SharedDocs/Anlagen/TR/Publikationen/Flyer/Ehegattennachzug/ehegattennachzug.pdf?__blob=publicationFile","x")</f>
        <v>x</v>
      </c>
      <c r="JH47" s="112"/>
      <c r="JI47" s="111"/>
      <c r="JJ47" s="112"/>
      <c r="JK47" s="112"/>
      <c r="JL47" s="112"/>
      <c r="JM47" s="112" t="str">
        <f>HYPERLINK("https://www.arbeitsagentur.de/web/content/DE/Formulare/Detail/index.htm?dfContentId=L6019022DSTBAI485740","x")</f>
        <v>x</v>
      </c>
      <c r="JN47" s="112"/>
      <c r="JO47" s="112"/>
      <c r="JP47" s="112"/>
      <c r="JQ47" s="112"/>
      <c r="JR47" s="112" t="str">
        <f>HYPERLINK("http://www.ibla-germany.de/merkblaetter.php","x")</f>
        <v>x</v>
      </c>
      <c r="JS47" s="112"/>
      <c r="JT47" s="111"/>
      <c r="JU47" s="111"/>
      <c r="JV47" s="111"/>
      <c r="JW47" s="112"/>
      <c r="JX47" s="112"/>
      <c r="JY47" s="112"/>
      <c r="JZ47" s="112"/>
      <c r="KA47" s="112"/>
      <c r="KB47" s="112" t="str">
        <f>HYPERLINK("http://www.refugeeguide.de/dl/RefugeeGuide_tu_1208.pdf","x")</f>
        <v>x</v>
      </c>
      <c r="KC47" s="112" t="str">
        <f>HYPERLINK("http://www.bpb.de/shop/buecher/grundgesetz/34367/grundgesetz-fuer-die-bundesrepublik-deutschland","x")</f>
        <v>x</v>
      </c>
      <c r="KD47" s="112" t="str">
        <f>HYPERLINK("http://www.wedel.de/fileadmin/user_upload/media/pdf/Rathaus_und_Politik/20160118_PM_Broschuere.pdf","x")</f>
        <v>x</v>
      </c>
      <c r="KE47" s="112"/>
      <c r="KF47" s="111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2" t="str">
        <f>HYPERLINK("http://www.rki.de/DE/Content/Infekt/IfSG/Belehrungsbogen/belehrungsbogen_lebensmittel_tuerkisch.pdf?__blob=publicationFile","x")</f>
        <v>x</v>
      </c>
      <c r="ME47" s="111"/>
      <c r="MF47" s="111"/>
      <c r="MG47" s="111"/>
      <c r="MH47" s="111"/>
      <c r="MI47" s="112" t="str">
        <f>HYPERLINK("http://www.kindersicherheit.de/pdf/2012_poster_achtunggiftig_8sprachig.pdf","x")</f>
        <v>x</v>
      </c>
    </row>
    <row r="48" spans="1:347" x14ac:dyDescent="0.25">
      <c r="A48" s="102" t="s">
        <v>400</v>
      </c>
      <c r="B48" s="127" t="s">
        <v>5</v>
      </c>
      <c r="C48" s="102"/>
      <c r="D48" s="102"/>
      <c r="E48" s="102"/>
      <c r="F48" s="102"/>
      <c r="G48" s="102"/>
      <c r="H48" s="102"/>
      <c r="I48" s="102"/>
      <c r="J48" s="102"/>
      <c r="K48" s="103"/>
      <c r="L48" s="111"/>
      <c r="M48" s="111"/>
      <c r="N48" s="111"/>
      <c r="O48" s="111"/>
      <c r="P48" s="112" t="str">
        <f>HYPERLINK("http://www.awb-ahrweiler.de/admin/data/ddownload/Abfall%20Sonderhinweise-Franzoesisch%202015.pdf","x")</f>
        <v>x</v>
      </c>
      <c r="Q48" s="111"/>
      <c r="R48" s="111"/>
      <c r="S48" s="111"/>
      <c r="T48" s="111"/>
      <c r="U48" s="112" t="str">
        <f>HYPERLINK("http://www.ag-fluechtlingshilfe-wetterau.de/uploads/infos/191.pdf","x")</f>
        <v>x</v>
      </c>
      <c r="V48" s="112"/>
      <c r="W48" s="112"/>
      <c r="X48" s="111"/>
      <c r="Y48" s="112"/>
      <c r="Z48" s="112"/>
      <c r="AA48" s="112"/>
      <c r="AB48" s="112"/>
      <c r="AC48" s="112"/>
      <c r="AD48" s="112" t="str">
        <f>HYPERLINK("http://www.rundfunkbeitrag.de/e175/e1632/Informationsflyer_Buergerinnen_und_Buerger_franzoesisch.pdf","x")</f>
        <v>x</v>
      </c>
      <c r="AE48" s="112"/>
      <c r="AF48" s="112" t="str">
        <f>HYPERLINK("http://www.kub-berlin.org/formularprojekt/franzoesisch-antraege-und-anlagen-uebersetzungshilfen/","x")</f>
        <v>x</v>
      </c>
      <c r="AG48" s="112" t="str">
        <f>HYPERLINK("http://asyl-in-moenchengladbach.de/wp-content/uploads/2015/11/100711-Flyer_FR.pdf","x")</f>
        <v>x</v>
      </c>
      <c r="AH48" s="112" t="str">
        <f>HYPERLINK("http://sghanstedt.elbnetz.com/ueber-uns/","x")</f>
        <v>x</v>
      </c>
      <c r="AI48" s="111"/>
      <c r="AJ48" s="111"/>
      <c r="AK48" s="112" t="str">
        <f>HYPERLINK("https://www.vrsinfo.de/fileadmin/Dateien/downloadcenter/Folder_MobilPassTicket_Refugees01012016.pdf","x")</f>
        <v>x</v>
      </c>
      <c r="AL48" s="112" t="str">
        <f>HYPERLINK("https://www.vrsinfo.de/fileadmin/Dateien/downloadcenter/Willkommen_im_VRS2016_Druck.pdf","x")</f>
        <v>x</v>
      </c>
      <c r="AM48" s="112"/>
      <c r="AN48" s="112" t="str">
        <f>HYPERLINK("https://www.deutschebahn.com/file/de/2191748/eYdgZpqGpp5sMJ2KMKtg2r8aE4Q/10123812/data/infos_fuer_fluechtlinge.pdf","x")</f>
        <v>x</v>
      </c>
      <c r="AO48" s="112"/>
      <c r="AP48" s="112"/>
      <c r="AQ48" s="112"/>
      <c r="AR48" s="112"/>
      <c r="AS48" s="112"/>
      <c r="AT48" s="112"/>
      <c r="AU48" s="112"/>
      <c r="AV48" s="114" t="str">
        <f>HYPERLINK("http://www.studentenwerke.de/de/content/illustriertes-wohnheimw%C3%B6rterbuch-1","x")</f>
        <v>x</v>
      </c>
      <c r="AW48" s="114" t="str">
        <f t="shared" si="0"/>
        <v>x</v>
      </c>
      <c r="AX48" s="114" t="str">
        <f t="shared" si="1"/>
        <v>x</v>
      </c>
      <c r="AY48" s="111"/>
      <c r="AZ48" s="111"/>
      <c r="BA48" s="112" t="str">
        <f t="shared" si="2"/>
        <v>x</v>
      </c>
      <c r="BB48" s="112" t="str">
        <f t="shared" si="3"/>
        <v>x</v>
      </c>
      <c r="BC48" s="111"/>
      <c r="BD48" s="111"/>
      <c r="BE48" s="111"/>
      <c r="BF48" s="112" t="str">
        <f>HYPERLINK("http://fi-lohmar-siegburg.de/data/documents/communicationboard-arabic-french.pdf","x")</f>
        <v>x</v>
      </c>
      <c r="BG48" s="111"/>
      <c r="BH48" s="112" t="str">
        <f>HYPERLINK("http://www.refugeephrasebook.de/pdf/germany150920.pdf","x")</f>
        <v>x</v>
      </c>
      <c r="BI48" s="112" t="str">
        <f>HYPERLINK("https://www.advanced-online.eu/downloads/RefugeePhrasebookCards_German-French.pdf","x")</f>
        <v>x</v>
      </c>
      <c r="BJ48" s="112" t="str">
        <f>HYPERLINK("http://www.klett-sprachen.de/download/8638/W100255_Refugees_Welcome_Wortschatz.pdf","x")</f>
        <v>x</v>
      </c>
      <c r="BK48" s="111"/>
      <c r="BL48" s="112" t="str">
        <f>HYPERLINK("http://www.bundessprachenamt.de/deutsch/wir_ueber_uns/nachrichten/2015/20151103/Verständigungshilfe_Französisch_26_11_2015.pdf","x")</f>
        <v>x</v>
      </c>
      <c r="BM48" s="111"/>
      <c r="BN48" s="111"/>
      <c r="BO48" s="111"/>
      <c r="BP48" s="111"/>
      <c r="BQ48" s="111"/>
      <c r="BR48" s="111"/>
      <c r="BS48" s="112" t="str">
        <f t="shared" si="4"/>
        <v>x</v>
      </c>
      <c r="BT48" s="112"/>
      <c r="BU48" s="111"/>
      <c r="BV48" s="112" t="str">
        <f t="shared" si="5"/>
        <v>x</v>
      </c>
      <c r="BW48" s="112" t="str">
        <f>HYPERLINK("http://www.welcomegrooves.de/wp-content/uploads/2015/11/welcomegrooves-de-franzoesisch.pdf","x")</f>
        <v>x</v>
      </c>
      <c r="BX48" s="112"/>
      <c r="BY48" s="112"/>
      <c r="BZ48" s="112" t="str">
        <f>HYPERLINK("http://fluechtlingshilfe-nettetal.de/ausbildung/video-sprachkurse-deutsch-fuer-fluechtlinge/video-sprachkurs-franzoesisch-deutsch/","x")</f>
        <v>x</v>
      </c>
      <c r="CA48" s="112" t="str">
        <f t="shared" si="6"/>
        <v>x</v>
      </c>
      <c r="CB48" s="112" t="str">
        <f t="shared" si="7"/>
        <v>x</v>
      </c>
      <c r="CC48" s="112" t="str">
        <f t="shared" si="8"/>
        <v>x</v>
      </c>
      <c r="CD48" s="112"/>
      <c r="CE48" s="112"/>
      <c r="CF48" s="111"/>
      <c r="CG48" s="111"/>
      <c r="CH48" s="112" t="str">
        <f>HYPERLINK("http://mifkjf.rlp.de/fileadmin/mifkjf/Frauen/Gewalt_gegen_Frauen/Downloads/Broschueren_Flyer/Flyer_Gewalt_franzoesisch.pdf","x")</f>
        <v>x</v>
      </c>
      <c r="CI48" s="112" t="str">
        <f>HYPERLINK("https://www.hilfetelefon.de/fileadmin/hilfetelefon_de/Materialien/Flyer/Infoflyer_Hilfetelefon_Gewalt_gegen_Frauen141105_b2.pdf","x")</f>
        <v>x</v>
      </c>
      <c r="CJ48" s="112" t="str">
        <f>HYPERLINK("https://www.hilfetelefon.de/fileadmin/hilfetelefon_de/Materialien/weitere_werbemittel/Klappflyer_Vorder-_und_Rueckseite_opt2.pdf","x")</f>
        <v>x</v>
      </c>
      <c r="CK48" s="112" t="str">
        <f t="shared" si="9"/>
        <v>x</v>
      </c>
      <c r="CL48" s="112"/>
      <c r="CM48" s="112"/>
      <c r="CN48" s="112"/>
      <c r="CO48" s="112"/>
      <c r="CP48" s="112" t="str">
        <f>HYPERLINK("http://www.schwanger-und-viele-fragen.de/fr/","x")</f>
        <v>x</v>
      </c>
      <c r="CQ48" s="112"/>
      <c r="CR4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48" s="112" t="str">
        <f>HYPERLINK("http://en.beststart.org/for_parents/are-you-looking-resources-languages-other-english-and-french","x")</f>
        <v>x</v>
      </c>
      <c r="CT48" s="112"/>
      <c r="CU48" s="112" t="str">
        <f>HYPERLINK("http://www.profamilia.de/fileadmin/publikationen/Erwachsene/mehrsprachig/Bro_Verhuetung_frz_141002.pdf","x")</f>
        <v>x</v>
      </c>
      <c r="CV48" s="112"/>
      <c r="CW48" s="112"/>
      <c r="CX48" s="112"/>
      <c r="CY48" s="112" t="str">
        <f>HYPERLINK("http://www.caritas-schwarzwald-alb-donau.de/68854.html","x")</f>
        <v>x</v>
      </c>
      <c r="CZ48" s="112"/>
      <c r="DA48" s="112"/>
      <c r="DB48" s="112"/>
      <c r="DC48" s="115" t="str">
        <f>HYPERLINK("http://www.kindersicherheit.de/pdf/2013_BAG_Tomi_and_Mila_Deutsch_Francais.pdf","x")</f>
        <v>x</v>
      </c>
      <c r="DD48" s="112"/>
      <c r="DE48" s="112"/>
      <c r="DF48" s="112" t="str">
        <f t="shared" si="10"/>
        <v>x</v>
      </c>
      <c r="DG48" s="115" t="str">
        <f t="shared" si="11"/>
        <v>x</v>
      </c>
      <c r="DH48" s="112" t="str">
        <f t="shared" si="12"/>
        <v>x</v>
      </c>
      <c r="DI48" s="112" t="str">
        <f t="shared" si="13"/>
        <v>x</v>
      </c>
      <c r="DJ48" s="112"/>
      <c r="DK48" s="112"/>
      <c r="DL48" s="112"/>
      <c r="DM48" s="112"/>
      <c r="DN48" s="112"/>
      <c r="DO48" s="112"/>
      <c r="DP48" s="111"/>
      <c r="DQ48" s="111"/>
      <c r="DR48" s="112" t="str">
        <f>HYPERLINK("https://broschueren.nordrheinwestfalendirekt.de/broschuerenservice/msw/fr-das-schulsystem-in-nordrhein-westfalen-einfach-und-schnell-erklaert/1903","x")</f>
        <v>x</v>
      </c>
      <c r="DS48" s="112" t="str">
        <f>HYPERLINK("http://bildung.koeln.de/materialbibliothek/download.php?idx=6f75d59e17e7868506c0a48e6f7a44f2","x")</f>
        <v>x</v>
      </c>
      <c r="DT48" s="112" t="str">
        <f>HYPERLINK("http://bildung.koeln.de/materialbibliothek/download.php?idx=bde72be3f1bc4c51a4b0bcfe4a4187c4","x")</f>
        <v>x</v>
      </c>
      <c r="DU48" s="112"/>
      <c r="DV48" s="112" t="str">
        <f>HYPERLINK("https://www.bmbf.de/pub/KAUSA_Elternratgeber_deutsch_franzoesisch.pdf","x")</f>
        <v>x</v>
      </c>
      <c r="DW48" s="111"/>
      <c r="DX48" s="112" t="str">
        <f>HYPERLINK("http://www.wissenschaft.nrw.de/studium/informieren/informationen-fuer-fluechtlinge-die-in-nrw-studieren-moechten/","x")</f>
        <v>x</v>
      </c>
      <c r="DY48" s="111"/>
      <c r="DZ48" s="112" t="str">
        <f>HYPERLINK("http://www.bamf.de/SharedDocs/Anlagen/DE/Publikationen/Flyer/AnerkennungBerufsabschluss/anerkennung-berufsabschluss_fr.pdf?__blob=publicationFile","x")</f>
        <v>x</v>
      </c>
      <c r="EA48" s="112" t="str">
        <f>HYPERLINK("http://www.bamf.de/SharedDocs/Anlagen/DE/Publikationen/Flyer/AnerkennungBerufsabschluss/anerkennung-berufsabschluss_ausland_fr.pdf?__blob=publicationFile","x")</f>
        <v>x</v>
      </c>
      <c r="EB48" s="112" t="str">
        <f>HYPERLINK("http://www.bamf.de/SharedDocs/Anlagen/DE/Publikationen/Broschueren/willkommen-in-deutschland-info-blaue-karte-eu_fr.pdf?__blob=publicationFile","x")</f>
        <v>x</v>
      </c>
      <c r="EC48" s="112" t="str">
        <f>HYPERLINK("http://www.bamf.de/SharedDocs/Anlagen/DE/Publikationen/Flyer/Berufsbezsprachf-ESF-BAMF/berufsbezsprachf-esf-bamf_fr.pdf?__blob=publicationFile","x")</f>
        <v>x</v>
      </c>
      <c r="ED48" s="111"/>
      <c r="EE48" s="111"/>
      <c r="EF48" s="111"/>
      <c r="EG48" s="111"/>
      <c r="EH48" s="111"/>
      <c r="EI48" s="111"/>
      <c r="EJ48" s="112"/>
      <c r="EK48" s="112" t="str">
        <f>HYPERLINK("http://fluechtlingsrat-bw.de/files/Dateien/Dokumente/Materialbestellung/2014-12-flyer%20arbeitserlaubnis%20FRZ%20WEB.pdf","x")</f>
        <v>x</v>
      </c>
      <c r="EL48" s="111"/>
      <c r="EM48" s="112" t="str">
        <f>HYPERLINK("http://www.kvs-sachsen.de/fileadmin/img/Mitglieder/Asylbewerber/Allg-Informationen/Anlage_1_Franzoesisch_LEK.pdf","x")</f>
        <v>x</v>
      </c>
      <c r="EN48" s="112" t="str">
        <f>HYPERLINK("http://www.medizin-hilft-fluechtlingen.de/images/Dokumente/gSch/gSch_fra.pdf","x")</f>
        <v>x</v>
      </c>
      <c r="EO48" s="112"/>
      <c r="EP48" s="117" t="str">
        <f>HYPERLINK("http://www.medi-bild.de/pdf/anamnese/Welche_Sprache.pdf","x")</f>
        <v>x</v>
      </c>
      <c r="EQ48" s="117" t="str">
        <f>HYPERLINK("http://www.armut-gesundheit.de/fileadmin/redakteur/dokumente/Anamnesebogen%20-%20franz%C3%B6sischnew.pdf","x")</f>
        <v>x</v>
      </c>
      <c r="ER48" s="112" t="str">
        <f>HYPERLINK("http://www.kvs-sachsen.de/fileadmin/img/Mitglieder/Asylbewerber/Allg-Informationen/Anlagen_2-1_2-2_Franzoesisch_LEK.pdf","x")</f>
        <v>x</v>
      </c>
      <c r="ES48" s="111"/>
      <c r="ET48" s="111"/>
      <c r="EU48" s="112" t="str">
        <f>HYPERLINK("http://medizin-hilft-fluechtlingen.de/images/Dokumente/ein/ein_per.pdf","x")</f>
        <v>x</v>
      </c>
      <c r="EV48" s="112" t="str">
        <f>HYPERLINK("http://www.adler-apotheke-hh.de/fileadmin/user_upload/PDF-Dateien/Dosierzettel_mehrsprachig_AUF_0_.pdf","x")</f>
        <v>x</v>
      </c>
      <c r="EW48" s="112" t="str">
        <f t="shared" si="14"/>
        <v>x</v>
      </c>
      <c r="EX48" s="112" t="str">
        <f>HYPERLINK("http://www.rki.de/DE/Content/Infekt/IfSG/Belehrungsbogen/belehrungsbogen_eltern_franzoesisch.pdf?__blob=publicationFile","x")</f>
        <v>x</v>
      </c>
      <c r="EY48" s="111"/>
      <c r="EZ48" s="112" t="str">
        <f>HYPERLINK("https://www.mh-hannover.de/fileadmin/mhh/bilder/aktuelles_presse/pressestelle/bilder/Pilzvergif_franzoesisch.pdf","x")</f>
        <v>x</v>
      </c>
      <c r="FA48" s="112"/>
      <c r="FB48" s="112" t="str">
        <f>HYPERLINK("http://static.apotheken-umschau.de/media/gp/article_506373/bildwoerterbuch.pdf","x")</f>
        <v>x</v>
      </c>
      <c r="FC48" s="111"/>
      <c r="FD48" s="112" t="str">
        <f t="shared" si="15"/>
        <v>x</v>
      </c>
      <c r="FE48" s="112" t="str">
        <f>HYPERLINK("http://sghanstedt.elbnetz.com/ueber-uns/","x")</f>
        <v>x</v>
      </c>
      <c r="FF48" s="111"/>
      <c r="FG48" s="112" t="str">
        <f>HYPERLINK("http://www.tipdoc.de/grafik/asyl/Gesundheitsheft_Asyl.pdf","x")</f>
        <v>x</v>
      </c>
      <c r="FH48" s="111"/>
      <c r="FI48" s="111"/>
      <c r="FJ48" s="112"/>
      <c r="FK48" s="112" t="str">
        <f>HYPERLINK("http://www.rki.de/DE/Content/Infekt/Impfen/Materialien/Downloads-Impfkalender/Impfkalender_Franzoesisch.pdf?__blob=publicationFile","x")</f>
        <v>x</v>
      </c>
      <c r="FL48" s="112" t="str">
        <f>HYPERLINK("http://www.ethno-medizinisches-zentrum.de/images/PDF-Files/impfwegweiser_franzosisch_2013_online.pdf","x")</f>
        <v>x</v>
      </c>
      <c r="FM48" s="112"/>
      <c r="FN48" s="112" t="str">
        <f>HYPERLINK("http://www.rki.de/DE/Content/Infekt/Impfen/Materialien/Glossar-Downloads/glossar-de-franzoesisch.pdf?__blob=publicationFile","x")</f>
        <v>x</v>
      </c>
      <c r="FO48" s="112" t="str">
        <f>HYPERLINK("http://www.euro.who.int/__data/assets/pdf_file/0012/162300/VPD-Signs,-symptoms-and-complications-FRE.pdf","x")</f>
        <v>x</v>
      </c>
      <c r="FP48" s="112" t="str">
        <f>HYPERLINK("http://www.rki.de/DE/Content/Infekt/Impfen/Materialien/Downloads-MMR/MMR-Impfinfo-franzoesisch.pdf?__blob=publicationFile","x")</f>
        <v>x</v>
      </c>
      <c r="FQ48" s="112" t="str">
        <f>HYPERLINK("http://www.rki.de/DE/Content/InfAZ/P/Polio/Ausbruch_Syrien/Informationsblatt_Polio_Franzoesisch.pdf?__blob=publicationFile","x")</f>
        <v>x</v>
      </c>
      <c r="FR48" s="112" t="str">
        <f>HYPERLINK("http://www.rki.de/DE/Content/Infekt/Impfen/Materialien/Downloads_HepA/Aufklaerung_HAV-Impfung_Franzoesisch.pdf?__blob=publicationFile","x")</f>
        <v>x</v>
      </c>
      <c r="FS48" s="112" t="str">
        <f>HYPERLINK("http://www.rki.de/DE/Content/Infekt/Impfen/Materialien/Downloads_Pneumokokken/Aufklaerung_Pneumo-Impfung_Franzoesisch.pdf?__blob=publicationFile","x")</f>
        <v>x</v>
      </c>
      <c r="FT48" s="112" t="str">
        <f>HYPERLINK("http://www.rki.de/DE/Content/Infekt/Impfen/Materialien/Downloads-DTaPIPVHibHepB/DTaPIPVHibHepB-franzoesisch.pdf?__blob=publicationFile","x")</f>
        <v>x</v>
      </c>
      <c r="FU4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48" s="112" t="str">
        <f>HYPERLINK("http://www.rki.de/DE/Content/Infekt/Impfen/Materialien/Downloads-Tdap-IPV/Tdap-IPV-franzoesisch.pdf?__blob=publicationFile","x")</f>
        <v>x</v>
      </c>
      <c r="FW48" s="112" t="str">
        <f>HYPERLINK("http://www.rki.de/DE/Content/Infekt/Impfen/Materialien/Downloads-Influenza_nasal/Influenza_nasal-franzoesisch.pdf?__blob=publicationFile","x")</f>
        <v>x</v>
      </c>
      <c r="FX48" s="111"/>
      <c r="FY48" s="112"/>
      <c r="FZ48" s="112"/>
      <c r="GA48" s="111"/>
      <c r="GB48" s="111"/>
      <c r="GC48" s="111"/>
      <c r="GD48" s="112" t="str">
        <f>HYPERLINK("http://www.ethno-medizinisches-zentrum.de/images/PDF-Files/lf_diabete_franzosisch.pdf","x")</f>
        <v>x</v>
      </c>
      <c r="GE48" s="111"/>
      <c r="GF48" s="111"/>
      <c r="GG48" s="111"/>
      <c r="GH48" s="112"/>
      <c r="GI48" s="111"/>
      <c r="GJ48" s="111"/>
      <c r="GK48" s="112" t="str">
        <f>HYPERLINK("http://www.tipdoc.de/bus/pdf/hiv/HIV%20SRF_Webseite.pdf","x")</f>
        <v>x</v>
      </c>
      <c r="GL48" s="111"/>
      <c r="GM48" s="112" t="str">
        <f>HYPERLINK("http://www.rki.de/DE/Content/Infekt/Impfen/Materialien/Downloads-Influenza/Influenza-franzoesisch.pdf?__blob=publicationFile","x")</f>
        <v>x</v>
      </c>
      <c r="GN48" s="111"/>
      <c r="GO48" s="111"/>
      <c r="GP48" s="112" t="str">
        <f>HYPERLINK("http://www.tipdoc.de/grafik/pdf/kopflaeuse/Kopflaeuse_FRANZ.pdf","x")</f>
        <v>x</v>
      </c>
      <c r="GQ48" s="112"/>
      <c r="GR48" s="112" t="str">
        <f>HYPERLINK("http://www.tipdoc.com/bus/pdf/kraetze/tipdoc_Scabies_FRANZ.pdf","x")</f>
        <v>x</v>
      </c>
      <c r="GS48" s="112" t="str">
        <f>HYPERLINK("http://www.tipdoc.com/bus/pdf/MagenDarmHaende/MagenDarmHaende_FRANZ.pdf","x")</f>
        <v>x</v>
      </c>
      <c r="GT48" s="111"/>
      <c r="GU48" s="111"/>
      <c r="GV48" s="111"/>
      <c r="GW48" s="111"/>
      <c r="GX48" s="111"/>
      <c r="GY48" s="111"/>
      <c r="GZ48" s="111"/>
      <c r="HA48" s="111"/>
      <c r="HB48" s="111"/>
      <c r="HC48" s="112" t="str">
        <f t="shared" si="16"/>
        <v>x</v>
      </c>
      <c r="HD48" s="112" t="str">
        <f>HYPERLINK("https://www.zahnaerzte-wl.de/images/_PDF-suche/KZV_ZÄK/ENDSTAND_Ankreuzbogen_Ich_verstehe.pdf","x")</f>
        <v>x</v>
      </c>
      <c r="HE48" s="112" t="str">
        <f>HYPERLINK("https://www.zahnaerzte-wl.de/images/_PDF-suche/KZV_ZÄK/Anschreiben_Patienten_franzoesisch.pdf","x")</f>
        <v>x</v>
      </c>
      <c r="HF48" s="112" t="str">
        <f>HYPERLINK("https://www.zahnaerzte-wl.de/images/_PDF-suche/KZV_ZÄK/Fragebogen_franzoesisch.pdf","x")</f>
        <v>x</v>
      </c>
      <c r="HG48" s="112" t="str">
        <f>HYPERLINK("https://www.zahnaerzte-wl.de/images/_PDF-suche/KZV_ZÄK/Patientenerhebungsbogen_franzoesisch.pdf","x")</f>
        <v>x</v>
      </c>
      <c r="HH48" s="112"/>
      <c r="HI48" s="112" t="str">
        <f>HYPERLINK("http://www.bvkm.de/fileadmin/web_data/Behinderung_und_Migration_franzoesisch_2014.pdf","x")</f>
        <v>x</v>
      </c>
      <c r="HJ48" s="112"/>
      <c r="HK48" s="112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2" t="str">
        <f t="shared" si="17"/>
        <v>x</v>
      </c>
      <c r="HZ48" s="112" t="str">
        <f t="shared" si="18"/>
        <v>x</v>
      </c>
      <c r="IA48" s="112" t="str">
        <f>HYPERLINK("http://peacefulheart.se/wp-content/uploads/2015/01/Tapping_French_Module-20150102-2.pdf","x")</f>
        <v>x</v>
      </c>
      <c r="IB48" s="111"/>
      <c r="IC48" s="111"/>
      <c r="ID48" s="111"/>
      <c r="IE48" s="111"/>
      <c r="IF48" s="111"/>
      <c r="IG48" s="111"/>
      <c r="IH48" s="111"/>
      <c r="II48" s="112" t="str">
        <f>HYPERLINK("http://www.caritas.de/hilfeundberatung/onlineberatung/suchtberatung/haeufiggestelltefragensucht/haeufiggestelltefragen-sucht","x")</f>
        <v>x</v>
      </c>
      <c r="IJ48" s="111"/>
      <c r="IK48" s="112" t="str">
        <f>HYPERLINK("http://www.bamf.de/SharedDocs/Anlagen/DE/Publikationen/Flyer/Lassen-Sie-Sich-Beraten/lassen-sie-sich-beraten_fr.pdf?__blob=publicationFile","x")</f>
        <v>x</v>
      </c>
      <c r="IL48" s="112" t="str">
        <f>HYPERLINK("http://www.bamf.de/SharedDocs/Anlagen/DE/Publikationen/Flyer/flyer-erstorientierung-asylsuchende_franzoesisch.pdf?__blob=publicationFile","x")</f>
        <v>x</v>
      </c>
      <c r="IM48" s="112" t="str">
        <f>HYPERLINK("http://www.frnrw.de/index.php/inhaltliche-themen/arbeitshilfen/item/3710-erstinfos-fuer-asylsuchende","x")</f>
        <v>x</v>
      </c>
      <c r="IN48" s="112" t="str">
        <f>HYPERLINK("https://www.bamf.de/SharedDocs/Anlagen/DE/Publikationen/Broschueren/willkommen-in-deutschland_fr.pdf?__blob=publicationFile","x")</f>
        <v>x</v>
      </c>
      <c r="IO48" s="112"/>
      <c r="IP48" s="112"/>
      <c r="IQ48" s="112" t="str">
        <f>HYPERLINK("http://www.bamf.de/SharedDocs/Anlagen/DE/Publikationen/Flyer/Lernen-Sie-Deutsch/lernen-sie-deutsch_fr.pdf?__blob=publicationFile","x")</f>
        <v>x</v>
      </c>
      <c r="IR48" s="112"/>
      <c r="IS48" s="111"/>
      <c r="IT48" s="111"/>
      <c r="IU48" s="111"/>
      <c r="IV48" s="112" t="str">
        <f>HYPERLINK("http://www.asyl.net/fileadmin/user_upload/infoblatt_anhoerung/Frz_final.pdf","x")</f>
        <v>x</v>
      </c>
      <c r="IW48" s="112"/>
      <c r="IX48" s="112" t="str">
        <f>HYPERLINK("http://www.berlin.de/labo/willkommen-in-berlin/service/downloads/artikel.273193.php","x")</f>
        <v>x</v>
      </c>
      <c r="IY48" s="112" t="str">
        <f>HYPERLINK("http://www.bamf.de/SharedDocs/Anlagen/DE/Publikationen/Broschueren/broschuere-eat-a4-fr-franzoesisch.pdf?__blob=publicationFile","x")</f>
        <v>x</v>
      </c>
      <c r="IZ48" s="111"/>
      <c r="JA48" s="112" t="str">
        <f>HYPERLINK("http://fluechtlingsrat-bw.de/informationen-fuer-fluechtlinge.html","x")</f>
        <v>x</v>
      </c>
      <c r="JB48" s="111"/>
      <c r="JC48" s="112" t="str">
        <f>HYPERLINK("http://www.bamf.de/SharedDocs/Anlagen/DE/Publikationen/Flyer/20150223_ura2_fra.pdf?__blob=publicationFile","x")</f>
        <v>x</v>
      </c>
      <c r="JD48" s="111"/>
      <c r="JE48" s="112"/>
      <c r="JF48" s="112"/>
      <c r="JG48" s="112"/>
      <c r="JH48" s="112"/>
      <c r="JI48" s="111"/>
      <c r="JJ48" s="112" t="str">
        <f>HYPERLINK("http://www.kub-berlin.org/formularprojekt/franzoesisch-antraege-und-anlagen-uebersetzungshilfen/","x")</f>
        <v>x</v>
      </c>
      <c r="JK48" s="112" t="str">
        <f>HYPERLINK("https://www.arbeitsagentur.de/web/wcm/idc/groups/public/documents/webdatei/mdaw/mjg1/~edisp/l6019022dstbai788667.pdf?_ba.sid=L6019022DSTBAI784626","x")</f>
        <v>x</v>
      </c>
      <c r="JL48" s="112" t="str">
        <f>HYPERLINK("http://www.kub-berlin.org/formularprojekt/franzoesisch-antraege-und-anlagen-uebersetzungshilfen/","x")</f>
        <v>x</v>
      </c>
      <c r="JM48" s="112" t="str">
        <f>HYPERLINK("https://www.arbeitsagentur.de/web/content/DE/Formulare/Detail/index.htm?dfContentId=L6019022DSTBAI485740","x")</f>
        <v>x</v>
      </c>
      <c r="JN48" s="112"/>
      <c r="JO48" s="112"/>
      <c r="JP48" s="112"/>
      <c r="JQ48" s="112"/>
      <c r="JR48" s="112" t="str">
        <f>HYPERLINK("http://www.ibla-germany.de/merkblaetter.php","x")</f>
        <v>x</v>
      </c>
      <c r="JS48" s="112"/>
      <c r="JT48" s="112" t="str">
        <f>HYPERLINK("http://www.b-umf.de/images/willkommen/willkommensbroschurefranzoesisch-web.pdf","x")</f>
        <v>x</v>
      </c>
      <c r="JU48" s="111"/>
      <c r="JV48" s="111"/>
      <c r="JW48" s="112"/>
      <c r="JX48" s="112"/>
      <c r="JY48" s="112"/>
      <c r="JZ48" s="112"/>
      <c r="KA48" s="112"/>
      <c r="KB48" s="112" t="str">
        <f>HYPERLINK("http://www.refugeeguide.de/dl/RefugeeGuide_fr_925.pdf","x")</f>
        <v>x</v>
      </c>
      <c r="KC48" s="111"/>
      <c r="KD48" s="112" t="str">
        <f>HYPERLINK("http://www.wedel.de/fileadmin/user_upload/media/pdf/Rathaus_und_Politik/20160118_PM_Broschuere.pdf","x")</f>
        <v>x</v>
      </c>
      <c r="KE48" s="112" t="str">
        <f>HYPERLINK("http://www.frauenrechte.de/online/images/downloads/allgemein/TDF_Flyer_Women_Men.pdf","x")</f>
        <v>x</v>
      </c>
      <c r="KF48" s="112" t="str">
        <f>HYPERLINK("http://sab.landtag.sachsen.de/dokumente/landtagskurier/Grundwerte-A5-international_web_08012016.pdf","x")</f>
        <v>x</v>
      </c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2"/>
      <c r="LC48" s="111"/>
      <c r="LD48" s="112"/>
      <c r="LE48" s="112"/>
      <c r="LF48" s="112"/>
      <c r="LG48" s="112"/>
      <c r="LH48" s="112"/>
      <c r="LI48" s="112"/>
      <c r="LJ48" s="112"/>
      <c r="LK48" s="112"/>
      <c r="LL48" s="112"/>
      <c r="LM48" s="111"/>
      <c r="LN48" s="111"/>
      <c r="LO48" s="111"/>
      <c r="LP48" s="111"/>
      <c r="LQ48" s="112"/>
      <c r="LR48" s="111"/>
      <c r="LS48" s="112"/>
      <c r="LT48" s="112"/>
      <c r="LU48" s="111"/>
      <c r="LV48" s="111"/>
      <c r="LW48" s="111"/>
      <c r="LX48" s="111"/>
      <c r="LY48" s="111"/>
      <c r="LZ48" s="111"/>
      <c r="MA48" s="111"/>
      <c r="MB48" s="112"/>
      <c r="MC48" s="111"/>
      <c r="MD48" s="112" t="str">
        <f>HYPERLINK("http://www.rki.de/DE/Content/Infekt/IfSG/Belehrungsbogen/belehrungsbogen_lebensmittel_franzoesisch.pdf?__blob=publicationFile","x")</f>
        <v>x</v>
      </c>
      <c r="ME48" s="111"/>
      <c r="MF48" s="112" t="str">
        <f>HYPERLINK("http://www.gdv.de/wp-content/uploads/2016/01/Information_Brandschutz_Fluechtlingsheim_-Sicherheit_mehrsprachig.pdf","x")</f>
        <v>x</v>
      </c>
      <c r="MG48" s="112" t="str">
        <f>HYPERLINK("http://www.gdv.de/wp-content/uploads/2016/01/Information_Verhalten-im-Brandfall_mehrsprachig.pdf","x")</f>
        <v>x</v>
      </c>
      <c r="MH48" s="112" t="str">
        <f>HYPERLINK("http://www.aha-region.de/fileadmin/Download/pdf/aha_Plakat_Muelltrennung_fr.pdf","x")</f>
        <v>x</v>
      </c>
      <c r="MI48" s="112" t="str">
        <f>HYPERLINK("http://www.kindersicherheit.de/pdf/2012_poster_achtunggiftig_8sprachig.pdf","x")</f>
        <v>x</v>
      </c>
    </row>
    <row r="49" spans="1:347" x14ac:dyDescent="0.25">
      <c r="A49" s="102" t="s">
        <v>401</v>
      </c>
      <c r="B49" s="127" t="s">
        <v>5</v>
      </c>
      <c r="C49" s="102"/>
      <c r="D49" s="102"/>
      <c r="E49" s="102"/>
      <c r="F49" s="102"/>
      <c r="G49" s="102"/>
      <c r="H49" s="102"/>
      <c r="I49" s="102"/>
      <c r="J49" s="102"/>
      <c r="K49" s="103"/>
      <c r="L49" s="111"/>
      <c r="M49" s="111"/>
      <c r="N49" s="111"/>
      <c r="O49" s="111"/>
      <c r="P49" s="112" t="str">
        <f>HYPERLINK("http://www.awb-ahrweiler.de/admin/data/ddownload/Abfall%20Sonderhinweise-Franzoesisch%202015.pdf","x")</f>
        <v>x</v>
      </c>
      <c r="Q49" s="111"/>
      <c r="R49" s="111"/>
      <c r="S49" s="111"/>
      <c r="T49" s="111"/>
      <c r="U49" s="112" t="str">
        <f>HYPERLINK("http://www.ag-fluechtlingshilfe-wetterau.de/uploads/infos/191.pdf","x")</f>
        <v>x</v>
      </c>
      <c r="V49" s="112"/>
      <c r="W49" s="112"/>
      <c r="X49" s="111"/>
      <c r="Y49" s="112"/>
      <c r="Z49" s="112"/>
      <c r="AA49" s="112"/>
      <c r="AB49" s="112"/>
      <c r="AC49" s="112"/>
      <c r="AD49" s="112" t="str">
        <f>HYPERLINK("http://www.rundfunkbeitrag.de/e175/e1632/Informationsflyer_Buergerinnen_und_Buerger_franzoesisch.pdf","x")</f>
        <v>x</v>
      </c>
      <c r="AE49" s="112"/>
      <c r="AF49" s="112" t="str">
        <f>HYPERLINK("http://www.kub-berlin.org/formularprojekt/franzoesisch-antraege-und-anlagen-uebersetzungshilfen/","x")</f>
        <v>x</v>
      </c>
      <c r="AG49" s="112" t="str">
        <f>HYPERLINK("http://asyl-in-moenchengladbach.de/wp-content/uploads/2015/11/100711-Flyer_FR.pdf","x")</f>
        <v>x</v>
      </c>
      <c r="AH49" s="112" t="str">
        <f>HYPERLINK("http://sghanstedt.elbnetz.com/ueber-uns/","x")</f>
        <v>x</v>
      </c>
      <c r="AI49" s="111"/>
      <c r="AJ49" s="111"/>
      <c r="AK49" s="112" t="str">
        <f>HYPERLINK("https://www.vrsinfo.de/fileadmin/Dateien/downloadcenter/Folder_MobilPassTicket_Refugees01012016.pdf","x")</f>
        <v>x</v>
      </c>
      <c r="AL49" s="112" t="str">
        <f>HYPERLINK("https://www.vrsinfo.de/fileadmin/Dateien/downloadcenter/Willkommen_im_VRS2016_Druck.pdf","x")</f>
        <v>x</v>
      </c>
      <c r="AM49" s="112"/>
      <c r="AN49" s="112" t="str">
        <f>HYPERLINK("https://www.deutschebahn.com/file/de/2191748/eYdgZpqGpp5sMJ2KMKtg2r8aE4Q/10123812/data/infos_fuer_fluechtlinge.pdf","x")</f>
        <v>x</v>
      </c>
      <c r="AO49" s="112"/>
      <c r="AP49" s="112"/>
      <c r="AQ49" s="112"/>
      <c r="AR49" s="112"/>
      <c r="AS49" s="112"/>
      <c r="AT49" s="112"/>
      <c r="AU49" s="112"/>
      <c r="AV49" s="114" t="str">
        <f>HYPERLINK("http://www.studentenwerke.de/de/content/illustriertes-wohnheimw%C3%B6rterbuch-1","x")</f>
        <v>x</v>
      </c>
      <c r="AW49" s="114" t="str">
        <f t="shared" si="0"/>
        <v>x</v>
      </c>
      <c r="AX49" s="114" t="str">
        <f t="shared" si="1"/>
        <v>x</v>
      </c>
      <c r="AY49" s="111"/>
      <c r="AZ49" s="111"/>
      <c r="BA49" s="112" t="str">
        <f t="shared" si="2"/>
        <v>x</v>
      </c>
      <c r="BB49" s="112" t="str">
        <f t="shared" si="3"/>
        <v>x</v>
      </c>
      <c r="BC49" s="111"/>
      <c r="BD49" s="111"/>
      <c r="BE49" s="111"/>
      <c r="BF49" s="112" t="str">
        <f>HYPERLINK("http://fi-lohmar-siegburg.de/data/documents/communicationboard-arabic-french.pdf","x")</f>
        <v>x</v>
      </c>
      <c r="BG49" s="111"/>
      <c r="BH49" s="112" t="str">
        <f>HYPERLINK("http://www.refugeephrasebook.de/pdf/germany150920.pdf","x")</f>
        <v>x</v>
      </c>
      <c r="BI49" s="112" t="str">
        <f>HYPERLINK("https://www.advanced-online.eu/downloads/RefugeePhrasebookCards_German-French.pdf","x")</f>
        <v>x</v>
      </c>
      <c r="BJ49" s="112" t="str">
        <f>HYPERLINK("http://www.klett-sprachen.de/download/8638/W100255_Refugees_Welcome_Wortschatz.pdf","x")</f>
        <v>x</v>
      </c>
      <c r="BK49" s="111"/>
      <c r="BL49" s="112" t="str">
        <f>HYPERLINK("http://www.bundessprachenamt.de/deutsch/wir_ueber_uns/nachrichten/2015/20151103/Verständigungshilfe_Französisch_26_11_2015.pdf","x")</f>
        <v>x</v>
      </c>
      <c r="BM49" s="111"/>
      <c r="BN49" s="111"/>
      <c r="BO49" s="111"/>
      <c r="BP49" s="111"/>
      <c r="BQ49" s="111"/>
      <c r="BR49" s="111"/>
      <c r="BS49" s="112" t="str">
        <f t="shared" si="4"/>
        <v>x</v>
      </c>
      <c r="BT49" s="112"/>
      <c r="BU49" s="111"/>
      <c r="BV49" s="112" t="str">
        <f t="shared" si="5"/>
        <v>x</v>
      </c>
      <c r="BW49" s="112" t="str">
        <f>HYPERLINK("http://www.welcomegrooves.de/wp-content/uploads/2015/11/welcomegrooves-de-franzoesisch.pdf","x")</f>
        <v>x</v>
      </c>
      <c r="BX49" s="112"/>
      <c r="BY49" s="112"/>
      <c r="BZ49" s="112" t="str">
        <f>HYPERLINK("http://fluechtlingshilfe-nettetal.de/ausbildung/video-sprachkurse-deutsch-fuer-fluechtlinge/video-sprachkurs-franzoesisch-deutsch/","x")</f>
        <v>x</v>
      </c>
      <c r="CA49" s="112" t="str">
        <f t="shared" si="6"/>
        <v>x</v>
      </c>
      <c r="CB49" s="112" t="str">
        <f t="shared" si="7"/>
        <v>x</v>
      </c>
      <c r="CC49" s="112" t="str">
        <f t="shared" si="8"/>
        <v>x</v>
      </c>
      <c r="CD49" s="112"/>
      <c r="CE49" s="112"/>
      <c r="CF49" s="111"/>
      <c r="CG49" s="111"/>
      <c r="CH49" s="112" t="str">
        <f>HYPERLINK("http://mifkjf.rlp.de/fileadmin/mifkjf/Frauen/Gewalt_gegen_Frauen/Downloads/Broschueren_Flyer/Flyer_Gewalt_franzoesisch.pdf","x")</f>
        <v>x</v>
      </c>
      <c r="CI49" s="112" t="str">
        <f>HYPERLINK("https://www.hilfetelefon.de/fileadmin/hilfetelefon_de/Materialien/Flyer/Infoflyer_Hilfetelefon_Gewalt_gegen_Frauen141105_b2.pdf","x")</f>
        <v>x</v>
      </c>
      <c r="CJ49" s="112" t="str">
        <f>HYPERLINK("https://www.hilfetelefon.de/fileadmin/hilfetelefon_de/Materialien/weitere_werbemittel/Klappflyer_Vorder-_und_Rueckseite_opt2.pdf","x")</f>
        <v>x</v>
      </c>
      <c r="CK49" s="112" t="str">
        <f t="shared" si="9"/>
        <v>x</v>
      </c>
      <c r="CL49" s="112"/>
      <c r="CM49" s="112"/>
      <c r="CN49" s="112"/>
      <c r="CO49" s="112"/>
      <c r="CP49" s="112" t="str">
        <f>HYPERLINK("http://www.schwanger-und-viele-fragen.de/fr/","x")</f>
        <v>x</v>
      </c>
      <c r="CQ49" s="112"/>
      <c r="CR49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49" s="112" t="str">
        <f>HYPERLINK("http://en.beststart.org/for_parents/are-you-looking-resources-languages-other-english-and-french","x")</f>
        <v>x</v>
      </c>
      <c r="CT49" s="112"/>
      <c r="CU49" s="112" t="str">
        <f>HYPERLINK("http://www.profamilia.de/fileadmin/publikationen/Erwachsene/mehrsprachig/Bro_Verhuetung_frz_141002.pdf","x")</f>
        <v>x</v>
      </c>
      <c r="CV49" s="112"/>
      <c r="CW49" s="112"/>
      <c r="CX49" s="112"/>
      <c r="CY49" s="112" t="str">
        <f>HYPERLINK("http://www.caritas-schwarzwald-alb-donau.de/68854.html","x")</f>
        <v>x</v>
      </c>
      <c r="CZ49" s="112"/>
      <c r="DA49" s="112"/>
      <c r="DB49" s="112"/>
      <c r="DC49" s="115" t="str">
        <f>HYPERLINK("http://www.kindersicherheit.de/pdf/2013_BAG_Tomi_and_Mila_Deutsch_Francais.pdf","x")</f>
        <v>x</v>
      </c>
      <c r="DD49" s="112"/>
      <c r="DE49" s="112"/>
      <c r="DF49" s="112" t="str">
        <f t="shared" si="10"/>
        <v>x</v>
      </c>
      <c r="DG49" s="115" t="str">
        <f t="shared" si="11"/>
        <v>x</v>
      </c>
      <c r="DH49" s="112" t="str">
        <f t="shared" si="12"/>
        <v>x</v>
      </c>
      <c r="DI49" s="112" t="str">
        <f t="shared" si="13"/>
        <v>x</v>
      </c>
      <c r="DJ49" s="112"/>
      <c r="DK49" s="112"/>
      <c r="DL49" s="112"/>
      <c r="DM49" s="112"/>
      <c r="DN49" s="112"/>
      <c r="DO49" s="112"/>
      <c r="DP49" s="111"/>
      <c r="DQ49" s="111"/>
      <c r="DR49" s="112" t="str">
        <f>HYPERLINK("https://broschueren.nordrheinwestfalendirekt.de/broschuerenservice/msw/fr-das-schulsystem-in-nordrhein-westfalen-einfach-und-schnell-erklaert/1903","x")</f>
        <v>x</v>
      </c>
      <c r="DS49" s="112" t="str">
        <f>HYPERLINK("http://bildung.koeln.de/materialbibliothek/download.php?idx=6f75d59e17e7868506c0a48e6f7a44f2","x")</f>
        <v>x</v>
      </c>
      <c r="DT49" s="112" t="str">
        <f>HYPERLINK("http://bildung.koeln.de/materialbibliothek/download.php?idx=bde72be3f1bc4c51a4b0bcfe4a4187c4","x")</f>
        <v>x</v>
      </c>
      <c r="DU49" s="112"/>
      <c r="DV49" s="112" t="str">
        <f>HYPERLINK("https://www.bmbf.de/pub/KAUSA_Elternratgeber_deutsch_franzoesisch.pdf","x")</f>
        <v>x</v>
      </c>
      <c r="DW49" s="111"/>
      <c r="DX49" s="112" t="str">
        <f>HYPERLINK("http://www.wissenschaft.nrw.de/studium/informieren/informationen-fuer-fluechtlinge-die-in-nrw-studieren-moechten/","x")</f>
        <v>x</v>
      </c>
      <c r="DY49" s="111"/>
      <c r="DZ49" s="112" t="str">
        <f>HYPERLINK("http://www.bamf.de/SharedDocs/Anlagen/DE/Publikationen/Flyer/AnerkennungBerufsabschluss/anerkennung-berufsabschluss_fr.pdf?__blob=publicationFile","x")</f>
        <v>x</v>
      </c>
      <c r="EA49" s="112" t="str">
        <f>HYPERLINK("http://www.bamf.de/SharedDocs/Anlagen/DE/Publikationen/Flyer/AnerkennungBerufsabschluss/anerkennung-berufsabschluss_ausland_fr.pdf?__blob=publicationFile","x")</f>
        <v>x</v>
      </c>
      <c r="EB49" s="112" t="str">
        <f>HYPERLINK("http://www.bamf.de/SharedDocs/Anlagen/DE/Publikationen/Broschueren/willkommen-in-deutschland-info-blaue-karte-eu_fr.pdf?__blob=publicationFile","x")</f>
        <v>x</v>
      </c>
      <c r="EC49" s="112" t="str">
        <f>HYPERLINK("http://www.bamf.de/SharedDocs/Anlagen/DE/Publikationen/Flyer/Berufsbezsprachf-ESF-BAMF/berufsbezsprachf-esf-bamf_fr.pdf?__blob=publicationFile","x")</f>
        <v>x</v>
      </c>
      <c r="ED49" s="111"/>
      <c r="EE49" s="111"/>
      <c r="EF49" s="111"/>
      <c r="EG49" s="111"/>
      <c r="EH49" s="111"/>
      <c r="EI49" s="111"/>
      <c r="EJ49" s="112"/>
      <c r="EK49" s="112" t="str">
        <f>HYPERLINK("http://fluechtlingsrat-bw.de/files/Dateien/Dokumente/Materialbestellung/2014-12-flyer%20arbeitserlaubnis%20FRZ%20WEB.pdf","x")</f>
        <v>x</v>
      </c>
      <c r="EL49" s="111"/>
      <c r="EM49" s="112" t="str">
        <f>HYPERLINK("http://www.kvs-sachsen.de/fileadmin/img/Mitglieder/Asylbewerber/Allg-Informationen/Anlage_1_Franzoesisch_LEK.pdf","x")</f>
        <v>x</v>
      </c>
      <c r="EN49" s="112" t="str">
        <f>HYPERLINK("http://www.medizin-hilft-fluechtlingen.de/images/Dokumente/gSch/gSch_fra.pdf","x")</f>
        <v>x</v>
      </c>
      <c r="EO49" s="112"/>
      <c r="EP49" s="117" t="str">
        <f>HYPERLINK("http://www.medi-bild.de/pdf/anamnese/Welche_Sprache.pdf","x")</f>
        <v>x</v>
      </c>
      <c r="EQ49" s="117" t="str">
        <f>HYPERLINK("http://www.armut-gesundheit.de/fileadmin/redakteur/dokumente/Anamnesebogen%20-%20franz%C3%B6sischnew.pdf","x")</f>
        <v>x</v>
      </c>
      <c r="ER49" s="112" t="str">
        <f>HYPERLINK("http://www.kvs-sachsen.de/fileadmin/img/Mitglieder/Asylbewerber/Allg-Informationen/Anlagen_2-1_2-2_Franzoesisch_LEK.pdf","x")</f>
        <v>x</v>
      </c>
      <c r="ES49" s="111"/>
      <c r="ET49" s="111"/>
      <c r="EU49" s="112" t="str">
        <f>HYPERLINK("http://medizin-hilft-fluechtlingen.de/images/Dokumente/ein/ein_per.pdf","x")</f>
        <v>x</v>
      </c>
      <c r="EV49" s="112" t="str">
        <f>HYPERLINK("http://www.adler-apotheke-hh.de/fileadmin/user_upload/PDF-Dateien/Dosierzettel_mehrsprachig_AUF_0_.pdf","x")</f>
        <v>x</v>
      </c>
      <c r="EW49" s="112" t="str">
        <f t="shared" si="14"/>
        <v>x</v>
      </c>
      <c r="EX49" s="112" t="str">
        <f>HYPERLINK("http://www.rki.de/DE/Content/Infekt/IfSG/Belehrungsbogen/belehrungsbogen_eltern_franzoesisch.pdf?__blob=publicationFile","x")</f>
        <v>x</v>
      </c>
      <c r="EY49" s="111"/>
      <c r="EZ49" s="112" t="str">
        <f>HYPERLINK("https://www.mh-hannover.de/fileadmin/mhh/bilder/aktuelles_presse/pressestelle/bilder/Pilzvergif_franzoesisch.pdf","x")</f>
        <v>x</v>
      </c>
      <c r="FA49" s="112"/>
      <c r="FB49" s="112" t="str">
        <f>HYPERLINK("http://static.apotheken-umschau.de/media/gp/article_506373/bildwoerterbuch.pdf","x")</f>
        <v>x</v>
      </c>
      <c r="FC49" s="111"/>
      <c r="FD49" s="112" t="str">
        <f t="shared" si="15"/>
        <v>x</v>
      </c>
      <c r="FE49" s="112" t="str">
        <f>HYPERLINK("http://sghanstedt.elbnetz.com/ueber-uns/","x")</f>
        <v>x</v>
      </c>
      <c r="FF49" s="111"/>
      <c r="FG49" s="112" t="str">
        <f>HYPERLINK("http://www.tipdoc.de/grafik/asyl/Gesundheitsheft_Asyl.pdf","x")</f>
        <v>x</v>
      </c>
      <c r="FH49" s="111"/>
      <c r="FI49" s="111"/>
      <c r="FJ49" s="112"/>
      <c r="FK49" s="112" t="str">
        <f>HYPERLINK("http://www.rki.de/DE/Content/Infekt/Impfen/Materialien/Downloads-Impfkalender/Impfkalender_Franzoesisch.pdf?__blob=publicationFile","x")</f>
        <v>x</v>
      </c>
      <c r="FL49" s="112" t="str">
        <f>HYPERLINK("http://www.ethno-medizinisches-zentrum.de/images/PDF-Files/impfwegweiser_franzosisch_2013_online.pdf","x")</f>
        <v>x</v>
      </c>
      <c r="FM49" s="112"/>
      <c r="FN49" s="112" t="str">
        <f>HYPERLINK("http://www.rki.de/DE/Content/Infekt/Impfen/Materialien/Glossar-Downloads/glossar-de-franzoesisch.pdf?__blob=publicationFile","x")</f>
        <v>x</v>
      </c>
      <c r="FO49" s="112" t="str">
        <f>HYPERLINK("http://www.euro.who.int/__data/assets/pdf_file/0012/162300/VPD-Signs,-symptoms-and-complications-FRE.pdf","x")</f>
        <v>x</v>
      </c>
      <c r="FP49" s="112" t="str">
        <f>HYPERLINK("http://www.rki.de/DE/Content/Infekt/Impfen/Materialien/Downloads-MMR/MMR-Impfinfo-franzoesisch.pdf?__blob=publicationFile","x")</f>
        <v>x</v>
      </c>
      <c r="FQ49" s="112" t="str">
        <f>HYPERLINK("http://www.rki.de/DE/Content/InfAZ/P/Polio/Ausbruch_Syrien/Informationsblatt_Polio_Franzoesisch.pdf?__blob=publicationFile","x")</f>
        <v>x</v>
      </c>
      <c r="FR49" s="112" t="str">
        <f>HYPERLINK("http://www.rki.de/DE/Content/Infekt/Impfen/Materialien/Downloads_HepA/Aufklaerung_HAV-Impfung_Franzoesisch.pdf?__blob=publicationFile","x")</f>
        <v>x</v>
      </c>
      <c r="FS49" s="112" t="str">
        <f>HYPERLINK("http://www.rki.de/DE/Content/Infekt/Impfen/Materialien/Downloads_Pneumokokken/Aufklaerung_Pneumo-Impfung_Franzoesisch.pdf?__blob=publicationFile","x")</f>
        <v>x</v>
      </c>
      <c r="FT49" s="112" t="str">
        <f>HYPERLINK("http://www.rki.de/DE/Content/Infekt/Impfen/Materialien/Downloads-DTaPIPVHibHepB/DTaPIPVHibHepB-franzoesisch.pdf?__blob=publicationFile","x")</f>
        <v>x</v>
      </c>
      <c r="FU49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49" s="112" t="str">
        <f>HYPERLINK("http://www.rki.de/DE/Content/Infekt/Impfen/Materialien/Downloads-Tdap-IPV/Tdap-IPV-franzoesisch.pdf?__blob=publicationFile","x")</f>
        <v>x</v>
      </c>
      <c r="FW49" s="112" t="str">
        <f>HYPERLINK("http://www.rki.de/DE/Content/Infekt/Impfen/Materialien/Downloads-Influenza_nasal/Influenza_nasal-franzoesisch.pdf?__blob=publicationFile","x")</f>
        <v>x</v>
      </c>
      <c r="FX49" s="111"/>
      <c r="FY49" s="112"/>
      <c r="FZ49" s="112"/>
      <c r="GA49" s="111"/>
      <c r="GB49" s="111"/>
      <c r="GC49" s="111"/>
      <c r="GD49" s="112" t="str">
        <f>HYPERLINK("http://www.ethno-medizinisches-zentrum.de/images/PDF-Files/lf_diabete_franzosisch.pdf","x")</f>
        <v>x</v>
      </c>
      <c r="GE49" s="111"/>
      <c r="GF49" s="111"/>
      <c r="GG49" s="111"/>
      <c r="GH49" s="112"/>
      <c r="GI49" s="111"/>
      <c r="GJ49" s="111"/>
      <c r="GK49" s="112" t="str">
        <f>HYPERLINK("http://www.tipdoc.de/bus/pdf/hiv/HIV%20SRF_Webseite.pdf","x")</f>
        <v>x</v>
      </c>
      <c r="GL49" s="111"/>
      <c r="GM49" s="112" t="str">
        <f>HYPERLINK("http://www.rki.de/DE/Content/Infekt/Impfen/Materialien/Downloads-Influenza/Influenza-franzoesisch.pdf?__blob=publicationFile","x")</f>
        <v>x</v>
      </c>
      <c r="GN49" s="111"/>
      <c r="GO49" s="111"/>
      <c r="GP49" s="112" t="str">
        <f>HYPERLINK("http://www.tipdoc.de/grafik/pdf/kopflaeuse/Kopflaeuse_FRANZ.pdf","x")</f>
        <v>x</v>
      </c>
      <c r="GQ49" s="112"/>
      <c r="GR49" s="112" t="str">
        <f>HYPERLINK("http://www.tipdoc.com/bus/pdf/kraetze/tipdoc_Scabies_FRANZ.pdf","x")</f>
        <v>x</v>
      </c>
      <c r="GS49" s="112" t="str">
        <f>HYPERLINK("http://www.tipdoc.com/bus/pdf/MagenDarmHaende/MagenDarmHaende_FRANZ.pdf","x")</f>
        <v>x</v>
      </c>
      <c r="GT49" s="111"/>
      <c r="GU49" s="111"/>
      <c r="GV49" s="111"/>
      <c r="GW49" s="111"/>
      <c r="GX49" s="111"/>
      <c r="GY49" s="111"/>
      <c r="GZ49" s="111"/>
      <c r="HA49" s="111"/>
      <c r="HB49" s="111"/>
      <c r="HC49" s="112" t="str">
        <f t="shared" si="16"/>
        <v>x</v>
      </c>
      <c r="HD49" s="112" t="str">
        <f>HYPERLINK("https://www.zahnaerzte-wl.de/images/_PDF-suche/KZV_ZÄK/ENDSTAND_Ankreuzbogen_Ich_verstehe.pdf","x")</f>
        <v>x</v>
      </c>
      <c r="HE49" s="112" t="str">
        <f>HYPERLINK("https://www.zahnaerzte-wl.de/images/_PDF-suche/KZV_ZÄK/Anschreiben_Patienten_franzoesisch.pdf","x")</f>
        <v>x</v>
      </c>
      <c r="HF49" s="112" t="str">
        <f>HYPERLINK("https://www.zahnaerzte-wl.de/images/_PDF-suche/KZV_ZÄK/Fragebogen_franzoesisch.pdf","x")</f>
        <v>x</v>
      </c>
      <c r="HG49" s="112" t="str">
        <f>HYPERLINK("https://www.zahnaerzte-wl.de/images/_PDF-suche/KZV_ZÄK/Patientenerhebungsbogen_franzoesisch.pdf","x")</f>
        <v>x</v>
      </c>
      <c r="HH49" s="112"/>
      <c r="HI49" s="112" t="str">
        <f>HYPERLINK("http://www.bvkm.de/fileadmin/web_data/Behinderung_und_Migration_franzoesisch_2014.pdf","x")</f>
        <v>x</v>
      </c>
      <c r="HJ49" s="112"/>
      <c r="HK49" s="112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2" t="str">
        <f t="shared" si="17"/>
        <v>x</v>
      </c>
      <c r="HZ49" s="112" t="str">
        <f t="shared" si="18"/>
        <v>x</v>
      </c>
      <c r="IA49" s="112" t="str">
        <f>HYPERLINK("http://peacefulheart.se/wp-content/uploads/2015/01/Tapping_French_Module-20150102-2.pdf","x")</f>
        <v>x</v>
      </c>
      <c r="IB49" s="111"/>
      <c r="IC49" s="111"/>
      <c r="ID49" s="111"/>
      <c r="IE49" s="111"/>
      <c r="IF49" s="111"/>
      <c r="IG49" s="111"/>
      <c r="IH49" s="111"/>
      <c r="II49" s="112" t="str">
        <f>HYPERLINK("http://www.caritas.de/hilfeundberatung/onlineberatung/suchtberatung/haeufiggestelltefragensucht/haeufiggestelltefragen-sucht","x")</f>
        <v>x</v>
      </c>
      <c r="IJ49" s="111"/>
      <c r="IK49" s="112" t="str">
        <f>HYPERLINK("http://www.bamf.de/SharedDocs/Anlagen/DE/Publikationen/Flyer/Lassen-Sie-Sich-Beraten/lassen-sie-sich-beraten_fr.pdf?__blob=publicationFile","x")</f>
        <v>x</v>
      </c>
      <c r="IL49" s="112" t="str">
        <f>HYPERLINK("http://www.bamf.de/SharedDocs/Anlagen/DE/Publikationen/Flyer/flyer-erstorientierung-asylsuchende_franzoesisch.pdf?__blob=publicationFile","x")</f>
        <v>x</v>
      </c>
      <c r="IM49" s="112" t="str">
        <f>HYPERLINK("http://www.frnrw.de/index.php/inhaltliche-themen/arbeitshilfen/item/3710-erstinfos-fuer-asylsuchende","x")</f>
        <v>x</v>
      </c>
      <c r="IN49" s="112" t="str">
        <f>HYPERLINK("https://www.bamf.de/SharedDocs/Anlagen/DE/Publikationen/Broschueren/willkommen-in-deutschland_fr.pdf?__blob=publicationFile","x")</f>
        <v>x</v>
      </c>
      <c r="IO49" s="112"/>
      <c r="IP49" s="112"/>
      <c r="IQ49" s="112" t="str">
        <f>HYPERLINK("http://www.bamf.de/SharedDocs/Anlagen/DE/Publikationen/Flyer/Lernen-Sie-Deutsch/lernen-sie-deutsch_fr.pdf?__blob=publicationFile","x")</f>
        <v>x</v>
      </c>
      <c r="IR49" s="112"/>
      <c r="IS49" s="111"/>
      <c r="IT49" s="111"/>
      <c r="IU49" s="111"/>
      <c r="IV49" s="112" t="str">
        <f>HYPERLINK("http://www.asyl.net/fileadmin/user_upload/infoblatt_anhoerung/Frz_final.pdf","x")</f>
        <v>x</v>
      </c>
      <c r="IW49" s="112"/>
      <c r="IX49" s="112" t="str">
        <f>HYPERLINK("http://www.berlin.de/labo/willkommen-in-berlin/service/downloads/artikel.273193.php","x")</f>
        <v>x</v>
      </c>
      <c r="IY49" s="112" t="str">
        <f>HYPERLINK("http://www.bamf.de/SharedDocs/Anlagen/DE/Publikationen/Broschueren/broschuere-eat-a4-fr-franzoesisch.pdf?__blob=publicationFile","x")</f>
        <v>x</v>
      </c>
      <c r="IZ49" s="111"/>
      <c r="JA49" s="112" t="str">
        <f>HYPERLINK("http://fluechtlingsrat-bw.de/informationen-fuer-fluechtlinge.html","x")</f>
        <v>x</v>
      </c>
      <c r="JB49" s="111"/>
      <c r="JC49" s="112" t="str">
        <f>HYPERLINK("http://www.bamf.de/SharedDocs/Anlagen/DE/Publikationen/Flyer/20150223_ura2_fra.pdf?__blob=publicationFile","x")</f>
        <v>x</v>
      </c>
      <c r="JD49" s="111"/>
      <c r="JE49" s="112"/>
      <c r="JF49" s="112"/>
      <c r="JG49" s="112"/>
      <c r="JH49" s="112"/>
      <c r="JI49" s="111"/>
      <c r="JJ49" s="112" t="str">
        <f>HYPERLINK("http://www.kub-berlin.org/formularprojekt/franzoesisch-antraege-und-anlagen-uebersetzungshilfen/","x")</f>
        <v>x</v>
      </c>
      <c r="JK49" s="112" t="str">
        <f>HYPERLINK("https://www.arbeitsagentur.de/web/wcm/idc/groups/public/documents/webdatei/mdaw/mjg1/~edisp/l6019022dstbai788667.pdf?_ba.sid=L6019022DSTBAI784626","x")</f>
        <v>x</v>
      </c>
      <c r="JL49" s="112" t="str">
        <f>HYPERLINK("http://www.kub-berlin.org/formularprojekt/franzoesisch-antraege-und-anlagen-uebersetzungshilfen/","x")</f>
        <v>x</v>
      </c>
      <c r="JM49" s="112" t="str">
        <f>HYPERLINK("https://www.arbeitsagentur.de/web/content/DE/Formulare/Detail/index.htm?dfContentId=L6019022DSTBAI485740","x")</f>
        <v>x</v>
      </c>
      <c r="JN49" s="112"/>
      <c r="JO49" s="112"/>
      <c r="JP49" s="112"/>
      <c r="JQ49" s="112"/>
      <c r="JR49" s="112" t="str">
        <f>HYPERLINK("http://www.ibla-germany.de/merkblaetter.php","x")</f>
        <v>x</v>
      </c>
      <c r="JS49" s="112"/>
      <c r="JT49" s="112" t="str">
        <f>HYPERLINK("http://www.b-umf.de/images/willkommen/willkommensbroschurefranzoesisch-web.pdf","x")</f>
        <v>x</v>
      </c>
      <c r="JU49" s="111"/>
      <c r="JV49" s="111"/>
      <c r="JW49" s="112"/>
      <c r="JX49" s="112"/>
      <c r="JY49" s="112"/>
      <c r="JZ49" s="112"/>
      <c r="KA49" s="112"/>
      <c r="KB49" s="112" t="str">
        <f>HYPERLINK("http://www.refugeeguide.de/dl/RefugeeGuide_fr_925.pdf","x")</f>
        <v>x</v>
      </c>
      <c r="KC49" s="111"/>
      <c r="KD49" s="112" t="str">
        <f>HYPERLINK("http://www.wedel.de/fileadmin/user_upload/media/pdf/Rathaus_und_Politik/20160118_PM_Broschuere.pdf","x")</f>
        <v>x</v>
      </c>
      <c r="KE49" s="112" t="str">
        <f>HYPERLINK("http://www.frauenrechte.de/online/images/downloads/allgemein/TDF_Flyer_Women_Men.pdf","x")</f>
        <v>x</v>
      </c>
      <c r="KF49" s="112" t="str">
        <f>HYPERLINK("http://sab.landtag.sachsen.de/dokumente/landtagskurier/Grundwerte-A5-international_web_08012016.pdf","x")</f>
        <v>x</v>
      </c>
      <c r="KG49" s="112"/>
      <c r="KH49" s="112"/>
      <c r="KI49" s="112"/>
      <c r="KJ49" s="112"/>
      <c r="KK49" s="112"/>
      <c r="KL49" s="112"/>
      <c r="KM49" s="112"/>
      <c r="KN49" s="112"/>
      <c r="KO49" s="112"/>
      <c r="KP49" s="112"/>
      <c r="KQ49" s="112"/>
      <c r="KR49" s="112"/>
      <c r="KS49" s="112"/>
      <c r="KT49" s="112"/>
      <c r="KU49" s="112"/>
      <c r="KV49" s="112"/>
      <c r="KW49" s="112"/>
      <c r="KX49" s="112"/>
      <c r="KY49" s="112"/>
      <c r="KZ49" s="112"/>
      <c r="LA49" s="112"/>
      <c r="LB49" s="112"/>
      <c r="LC49" s="111"/>
      <c r="LD49" s="112"/>
      <c r="LE49" s="112"/>
      <c r="LF49" s="112"/>
      <c r="LG49" s="112"/>
      <c r="LH49" s="112"/>
      <c r="LI49" s="112"/>
      <c r="LJ49" s="112"/>
      <c r="LK49" s="112"/>
      <c r="LL49" s="112"/>
      <c r="LM49" s="111"/>
      <c r="LN49" s="111"/>
      <c r="LO49" s="111"/>
      <c r="LP49" s="111"/>
      <c r="LQ49" s="112"/>
      <c r="LR49" s="111"/>
      <c r="LS49" s="112"/>
      <c r="LT49" s="112"/>
      <c r="LU49" s="111"/>
      <c r="LV49" s="111"/>
      <c r="LW49" s="111"/>
      <c r="LX49" s="111"/>
      <c r="LY49" s="111"/>
      <c r="LZ49" s="111"/>
      <c r="MA49" s="111"/>
      <c r="MB49" s="112"/>
      <c r="MC49" s="111"/>
      <c r="MD49" s="112" t="str">
        <f>HYPERLINK("http://www.rki.de/DE/Content/Infekt/IfSG/Belehrungsbogen/belehrungsbogen_lebensmittel_franzoesisch.pdf?__blob=publicationFile","x")</f>
        <v>x</v>
      </c>
      <c r="ME49" s="111"/>
      <c r="MF49" s="112" t="str">
        <f>HYPERLINK("http://www.gdv.de/wp-content/uploads/2016/01/Information_Brandschutz_Fluechtlingsheim_-Sicherheit_mehrsprachig.pdf","x")</f>
        <v>x</v>
      </c>
      <c r="MG49" s="112" t="str">
        <f>HYPERLINK("http://www.gdv.de/wp-content/uploads/2016/01/Information_Verhalten-im-Brandfall_mehrsprachig.pdf","x")</f>
        <v>x</v>
      </c>
      <c r="MH49" s="112" t="str">
        <f>HYPERLINK("http://www.aha-region.de/fileadmin/Download/pdf/aha_Plakat_Muelltrennung_fr.pdf","x")</f>
        <v>x</v>
      </c>
      <c r="MI49" s="112" t="str">
        <f>HYPERLINK("http://www.kindersicherheit.de/pdf/2012_poster_achtunggiftig_8sprachig.pdf","x")</f>
        <v>x</v>
      </c>
    </row>
    <row r="50" spans="1:347" x14ac:dyDescent="0.25">
      <c r="A50" s="102" t="s">
        <v>136</v>
      </c>
      <c r="B50" s="127" t="s">
        <v>135</v>
      </c>
      <c r="C50" s="102"/>
      <c r="D50" s="102"/>
      <c r="E50" s="102"/>
      <c r="F50" s="102"/>
      <c r="G50" s="102"/>
      <c r="H50" s="102"/>
      <c r="I50" s="102"/>
      <c r="J50" s="102"/>
      <c r="K50" s="103"/>
      <c r="L50" s="111"/>
      <c r="M50" s="111"/>
      <c r="N50" s="112" t="str">
        <f>HYPERLINK("http://www.ag-fluechtlingshilfe-wetterau.de/uploads/infos/170.pdf","x")</f>
        <v>x</v>
      </c>
      <c r="O50" s="112"/>
      <c r="P50" s="112"/>
      <c r="Q50" s="112"/>
      <c r="R50" s="112"/>
      <c r="S50" s="112"/>
      <c r="T50" s="112"/>
      <c r="U50" s="112"/>
      <c r="V50" s="112"/>
      <c r="W50" s="111"/>
      <c r="X50" s="112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2"/>
      <c r="AP50" s="112"/>
      <c r="AQ50" s="112"/>
      <c r="AR50" s="112"/>
      <c r="AS50" s="112"/>
      <c r="AT50" s="112"/>
      <c r="AU50" s="112"/>
      <c r="AV50" s="113"/>
      <c r="AW50" s="114" t="str">
        <f t="shared" si="0"/>
        <v>x</v>
      </c>
      <c r="AX50" s="114" t="str">
        <f t="shared" si="1"/>
        <v>x</v>
      </c>
      <c r="AY50" s="111"/>
      <c r="AZ50" s="111"/>
      <c r="BA50" s="112" t="str">
        <f t="shared" si="2"/>
        <v>x</v>
      </c>
      <c r="BB50" s="112" t="str">
        <f t="shared" si="3"/>
        <v>x</v>
      </c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2" t="str">
        <f t="shared" si="4"/>
        <v>x</v>
      </c>
      <c r="BT50" s="112"/>
      <c r="BU50" s="111"/>
      <c r="BV50" s="112" t="str">
        <f t="shared" si="5"/>
        <v>x</v>
      </c>
      <c r="BW50" s="112"/>
      <c r="BX50" s="112"/>
      <c r="BY50" s="112"/>
      <c r="BZ50" s="112"/>
      <c r="CA50" s="112" t="str">
        <f t="shared" si="6"/>
        <v>x</v>
      </c>
      <c r="CB50" s="112" t="str">
        <f t="shared" si="7"/>
        <v>x</v>
      </c>
      <c r="CC50" s="112" t="str">
        <f t="shared" si="8"/>
        <v>x</v>
      </c>
      <c r="CD50" s="112"/>
      <c r="CE50" s="112"/>
      <c r="CF50" s="111"/>
      <c r="CG50" s="111"/>
      <c r="CH50" s="111"/>
      <c r="CI50" s="111"/>
      <c r="CJ50" s="112" t="str">
        <f>HYPERLINK("https://www.hilfetelefon.de/fileadmin/hilfetelefon_de/Materialien/weitere_werbemittel/Klappflyer_Vorder-_und_Rueckseite_opt2.pdf","x")</f>
        <v>x</v>
      </c>
      <c r="CK50" s="112" t="str">
        <f t="shared" si="9"/>
        <v>x</v>
      </c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5"/>
      <c r="DD50" s="112"/>
      <c r="DE50" s="112"/>
      <c r="DF50" s="112" t="str">
        <f t="shared" si="10"/>
        <v>x</v>
      </c>
      <c r="DG50" s="115" t="str">
        <f t="shared" si="11"/>
        <v>x</v>
      </c>
      <c r="DH50" s="112" t="str">
        <f t="shared" si="12"/>
        <v>x</v>
      </c>
      <c r="DI50" s="112" t="str">
        <f t="shared" si="13"/>
        <v>x</v>
      </c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2"/>
      <c r="DV50" s="112" t="str">
        <f>HYPERLINK("https://www.bmbf.de/pub/KAUSA_Elternratgeber_deutsch_chinesisch_bf.pdf","x")</f>
        <v>x</v>
      </c>
      <c r="DW50" s="111"/>
      <c r="DX50" s="111"/>
      <c r="DY50" s="111"/>
      <c r="DZ50" s="111"/>
      <c r="EA50" s="111"/>
      <c r="EB50" s="112"/>
      <c r="EC50" s="111"/>
      <c r="ED50" s="111"/>
      <c r="EE50" s="111"/>
      <c r="EF50" s="111"/>
      <c r="EG50" s="111"/>
      <c r="EH50" s="111"/>
      <c r="EI50" s="111"/>
      <c r="EJ50" s="112"/>
      <c r="EK50" s="112"/>
      <c r="EL50" s="111"/>
      <c r="EM50" s="112" t="str">
        <f>HYPERLINK("http://www.kvs-sachsen.de/fileadmin/img/Mitglieder/Asylbewerber/Allg-Informationen/Anlage_1_Chinesisch_LEK.pdf","x")</f>
        <v>x</v>
      </c>
      <c r="EN50" s="111"/>
      <c r="EO50" s="111"/>
      <c r="EP50" s="117" t="str">
        <f>HYPERLINK("http://www.medi-bild.de/pdf/anamnese/Welche_Sprache.pdf","x")</f>
        <v>x</v>
      </c>
      <c r="EQ50" s="117" t="str">
        <f>HYPERLINK("http://www.medknowledge.de/migration/tipdoc/anamnesebogen/tipdoc_Anamnese_chin.pdf","x")</f>
        <v>x</v>
      </c>
      <c r="ER50" s="112" t="str">
        <f>HYPERLINK("http://www.kvs-sachsen.de/fileadmin/img/Mitglieder/Asylbewerber/Allg-Informationen/Anlagen_2-1_2-2_Chinesisch_LEK.pdf","x")</f>
        <v>x</v>
      </c>
      <c r="ES50" s="112"/>
      <c r="ET50" s="112"/>
      <c r="EU50" s="111"/>
      <c r="EV50" s="111"/>
      <c r="EW50" s="112" t="str">
        <f t="shared" si="14"/>
        <v>x</v>
      </c>
      <c r="EX50" s="111"/>
      <c r="EY50" s="111"/>
      <c r="EZ50" s="111"/>
      <c r="FA50" s="111"/>
      <c r="FB50" s="111"/>
      <c r="FC50" s="111"/>
      <c r="FD50" s="112" t="str">
        <f t="shared" si="15"/>
        <v>x</v>
      </c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2" t="str">
        <f t="shared" si="16"/>
        <v>x</v>
      </c>
      <c r="HD50" s="111"/>
      <c r="HE50" s="111"/>
      <c r="HF50" s="111"/>
      <c r="HG50" s="111"/>
      <c r="HH50" s="111"/>
      <c r="HI50" s="111"/>
      <c r="HJ50" s="111"/>
      <c r="HK50" s="112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2" t="str">
        <f t="shared" si="17"/>
        <v>x</v>
      </c>
      <c r="HZ50" s="112" t="str">
        <f t="shared" si="18"/>
        <v>x</v>
      </c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2"/>
      <c r="IL50" s="111"/>
      <c r="IM50" s="111"/>
      <c r="IN50" s="111"/>
      <c r="IO50" s="111"/>
      <c r="IP50" s="111"/>
      <c r="IQ50" s="112"/>
      <c r="IR50" s="112"/>
      <c r="IS50" s="111"/>
      <c r="IT50" s="111"/>
      <c r="IU50" s="111"/>
      <c r="IV50" s="112" t="str">
        <f>HYPERLINK("http://www.asyl.net/fileadmin/user_upload/infoblatt_anhoerung/Chin_final.pdf","x")</f>
        <v>x</v>
      </c>
      <c r="IW50" s="112"/>
      <c r="IX50" s="112"/>
      <c r="IY50" s="112" t="str">
        <f>HYPERLINK("http://www.bamf.de/SharedDocs/Anlagen/DE/Publikationen/Broschueren/broschuere-eat-a4-zh-chinesisch.pdf?__blob=publicationFile","x")</f>
        <v>x</v>
      </c>
      <c r="IZ50" s="111"/>
      <c r="JA50" s="111"/>
      <c r="JB50" s="111"/>
      <c r="JC50" s="112"/>
      <c r="JD50" s="111"/>
      <c r="JE50" s="112"/>
      <c r="JF50" s="112"/>
      <c r="JG50" s="111"/>
      <c r="JH50" s="111"/>
      <c r="JI50" s="111"/>
      <c r="JJ50" s="112"/>
      <c r="JK50" s="112"/>
      <c r="JL50" s="112"/>
      <c r="JM50" s="112"/>
      <c r="JN50" s="112"/>
      <c r="JO50" s="112"/>
      <c r="JP50" s="112"/>
      <c r="JQ50" s="112"/>
      <c r="JR50" s="112" t="str">
        <f>HYPERLINK("http://www.ibla-germany.de/merkblaetter.php","x")</f>
        <v>x</v>
      </c>
      <c r="JS50" s="112"/>
      <c r="JT50" s="111"/>
      <c r="JU50" s="111"/>
      <c r="JV50" s="111"/>
      <c r="JW50" s="112"/>
      <c r="JX50" s="112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</row>
    <row r="51" spans="1:347" x14ac:dyDescent="0.25">
      <c r="A51" s="102" t="s">
        <v>136</v>
      </c>
      <c r="B51" s="127" t="s">
        <v>154</v>
      </c>
      <c r="C51" s="102"/>
      <c r="D51" s="102"/>
      <c r="E51" s="102"/>
      <c r="F51" s="102"/>
      <c r="G51" s="102"/>
      <c r="H51" s="102"/>
      <c r="I51" s="102"/>
      <c r="J51" s="102"/>
      <c r="K51" s="103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3"/>
      <c r="AW51" s="114" t="str">
        <f t="shared" si="0"/>
        <v>x</v>
      </c>
      <c r="AX51" s="114" t="str">
        <f t="shared" si="1"/>
        <v>x</v>
      </c>
      <c r="AY51" s="111"/>
      <c r="AZ51" s="111"/>
      <c r="BA51" s="112" t="str">
        <f t="shared" si="2"/>
        <v>x</v>
      </c>
      <c r="BB51" s="112" t="str">
        <f t="shared" si="3"/>
        <v>x</v>
      </c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2" t="str">
        <f t="shared" si="4"/>
        <v>x</v>
      </c>
      <c r="BT51" s="112"/>
      <c r="BU51" s="111"/>
      <c r="BV51" s="112" t="str">
        <f t="shared" si="5"/>
        <v>x</v>
      </c>
      <c r="BW51" s="112"/>
      <c r="BX51" s="112"/>
      <c r="BY51" s="112"/>
      <c r="BZ51" s="112"/>
      <c r="CA51" s="112" t="str">
        <f t="shared" si="6"/>
        <v>x</v>
      </c>
      <c r="CB51" s="112" t="str">
        <f t="shared" si="7"/>
        <v>x</v>
      </c>
      <c r="CC51" s="112" t="str">
        <f t="shared" si="8"/>
        <v>x</v>
      </c>
      <c r="CD51" s="112"/>
      <c r="CE51" s="112"/>
      <c r="CF51" s="111"/>
      <c r="CG51" s="111"/>
      <c r="CH51" s="111"/>
      <c r="CI51" s="111"/>
      <c r="CJ51" s="111"/>
      <c r="CK51" s="112" t="str">
        <f t="shared" si="9"/>
        <v>x</v>
      </c>
      <c r="CL51" s="112"/>
      <c r="CM51" s="112"/>
      <c r="CN51" s="112"/>
      <c r="CO51" s="112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2"/>
      <c r="DA51" s="112"/>
      <c r="DB51" s="112"/>
      <c r="DC51" s="115"/>
      <c r="DD51" s="112"/>
      <c r="DE51" s="112"/>
      <c r="DF51" s="112" t="str">
        <f t="shared" si="10"/>
        <v>x</v>
      </c>
      <c r="DG51" s="115" t="str">
        <f t="shared" si="11"/>
        <v>x</v>
      </c>
      <c r="DH51" s="112" t="str">
        <f t="shared" si="12"/>
        <v>x</v>
      </c>
      <c r="DI51" s="112" t="str">
        <f t="shared" si="13"/>
        <v>x</v>
      </c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8"/>
      <c r="EQ51" s="118"/>
      <c r="ER51" s="111"/>
      <c r="ES51" s="111"/>
      <c r="ET51" s="111"/>
      <c r="EU51" s="111"/>
      <c r="EV51" s="111"/>
      <c r="EW51" s="112" t="str">
        <f t="shared" si="14"/>
        <v>x</v>
      </c>
      <c r="EX51" s="111"/>
      <c r="EY51" s="111"/>
      <c r="EZ51" s="111"/>
      <c r="FA51" s="111"/>
      <c r="FB51" s="111"/>
      <c r="FC51" s="111"/>
      <c r="FD51" s="112" t="str">
        <f t="shared" si="15"/>
        <v>x</v>
      </c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2" t="str">
        <f t="shared" si="16"/>
        <v>x</v>
      </c>
      <c r="HD51" s="112" t="str">
        <f>HYPERLINK("https://www.zahnaerzte-wl.de/images/_PDF-suche/KZV_ZÄK/ENDSTAND_Ankreuzbogen_Ich_verstehe.pdf","x")</f>
        <v>x</v>
      </c>
      <c r="HE51" s="112" t="str">
        <f>HYPERLINK("https://www.zahnaerzte-wl.de/images/_PDF-suche/KZV_ZÄK/Anschreiben_Patienten_usbekisch.pdf","x")</f>
        <v>x</v>
      </c>
      <c r="HF51" s="112" t="str">
        <f>HYPERLINK("https://www.zahnaerzte-wl.de/images/_PDF-suche/KZV_ZÄK/Fragebogen_usbekisch.pdf","x")</f>
        <v>x</v>
      </c>
      <c r="HG51" s="112" t="str">
        <f>HYPERLINK("https://www.zahnaerzte-wl.de/images/_PDF-suche/KZV_ZÄK/Patientenerhebungsbogen_usbekisch.pdf","x")</f>
        <v>x</v>
      </c>
      <c r="HH51" s="112"/>
      <c r="HI51" s="112"/>
      <c r="HJ51" s="112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2" t="str">
        <f t="shared" si="17"/>
        <v>x</v>
      </c>
      <c r="HZ51" s="112" t="str">
        <f t="shared" si="18"/>
        <v>x</v>
      </c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1"/>
      <c r="JF51" s="111"/>
      <c r="JG51" s="111"/>
      <c r="JH51" s="111"/>
      <c r="JI51" s="111"/>
      <c r="JJ51" s="111"/>
      <c r="JK51" s="111"/>
      <c r="JL51" s="111"/>
      <c r="JM51" s="111"/>
      <c r="JN51" s="111"/>
      <c r="JO51" s="111"/>
      <c r="JP51" s="111"/>
      <c r="JQ51" s="111"/>
      <c r="JR51" s="111"/>
      <c r="JS51" s="111"/>
      <c r="JT51" s="111"/>
      <c r="JU51" s="111"/>
      <c r="JV51" s="111"/>
      <c r="JW51" s="111"/>
      <c r="JX51" s="111"/>
      <c r="JY51" s="111"/>
      <c r="JZ51" s="111"/>
      <c r="KA51" s="111"/>
      <c r="KB51" s="111"/>
      <c r="KC51" s="111"/>
      <c r="KD51" s="111"/>
      <c r="KE51" s="111"/>
      <c r="KF51" s="111"/>
      <c r="KG51" s="111"/>
      <c r="KH51" s="111"/>
      <c r="KI51" s="111"/>
      <c r="KJ51" s="111"/>
      <c r="KK51" s="111"/>
      <c r="KL51" s="111"/>
      <c r="KM51" s="111"/>
      <c r="KN51" s="111"/>
      <c r="KO51" s="111"/>
      <c r="KP51" s="111"/>
      <c r="KQ51" s="111"/>
      <c r="KR51" s="111"/>
      <c r="KS51" s="111"/>
      <c r="KT51" s="111"/>
      <c r="KU51" s="111"/>
      <c r="KV51" s="111"/>
      <c r="KW51" s="111"/>
      <c r="KX51" s="111"/>
      <c r="KY51" s="111"/>
      <c r="KZ51" s="111"/>
      <c r="LA51" s="111"/>
      <c r="LB51" s="111"/>
      <c r="LC51" s="111"/>
      <c r="LD51" s="111"/>
      <c r="LE51" s="111"/>
      <c r="LF51" s="111"/>
      <c r="LG51" s="111"/>
      <c r="LH51" s="111"/>
      <c r="LI51" s="111"/>
      <c r="LJ51" s="111"/>
      <c r="LK51" s="111"/>
      <c r="LL51" s="111"/>
      <c r="LM51" s="111"/>
      <c r="LN51" s="111"/>
      <c r="LO51" s="111"/>
      <c r="LP51" s="111"/>
      <c r="LQ51" s="111"/>
      <c r="LR51" s="111"/>
      <c r="LS51" s="111"/>
      <c r="LT51" s="111"/>
      <c r="LU51" s="111"/>
      <c r="LV51" s="111"/>
      <c r="LW51" s="111"/>
      <c r="LX51" s="111"/>
      <c r="LY51" s="111"/>
      <c r="LZ51" s="111"/>
      <c r="MA51" s="111"/>
      <c r="MB51" s="111"/>
      <c r="MC51" s="111"/>
      <c r="MD51" s="111"/>
      <c r="ME51" s="111"/>
      <c r="MF51" s="111"/>
      <c r="MG51" s="111"/>
      <c r="MH51" s="111"/>
      <c r="MI51" s="111"/>
    </row>
    <row r="52" spans="1:347" x14ac:dyDescent="0.25">
      <c r="A52" s="102" t="s">
        <v>405</v>
      </c>
      <c r="B52" s="127" t="s">
        <v>5</v>
      </c>
      <c r="C52" s="102"/>
      <c r="D52" s="102"/>
      <c r="E52" s="102"/>
      <c r="F52" s="102"/>
      <c r="G52" s="102"/>
      <c r="H52" s="102"/>
      <c r="I52" s="102"/>
      <c r="J52" s="102"/>
      <c r="K52" s="103"/>
      <c r="L52" s="111"/>
      <c r="M52" s="111"/>
      <c r="N52" s="111"/>
      <c r="O52" s="111"/>
      <c r="P52" s="112" t="str">
        <f>HYPERLINK("http://www.awb-ahrweiler.de/admin/data/ddownload/Abfall%20Sonderhinweise-Franzoesisch%202015.pdf","x")</f>
        <v>x</v>
      </c>
      <c r="Q52" s="111"/>
      <c r="R52" s="111"/>
      <c r="S52" s="111"/>
      <c r="T52" s="111"/>
      <c r="U52" s="112" t="str">
        <f>HYPERLINK("http://www.ag-fluechtlingshilfe-wetterau.de/uploads/infos/191.pdf","x")</f>
        <v>x</v>
      </c>
      <c r="V52" s="112"/>
      <c r="W52" s="112"/>
      <c r="X52" s="111"/>
      <c r="Y52" s="112"/>
      <c r="Z52" s="112"/>
      <c r="AA52" s="112"/>
      <c r="AB52" s="112"/>
      <c r="AC52" s="112"/>
      <c r="AD52" s="112" t="str">
        <f>HYPERLINK("http://www.rundfunkbeitrag.de/e175/e1632/Informationsflyer_Buergerinnen_und_Buerger_franzoesisch.pdf","x")</f>
        <v>x</v>
      </c>
      <c r="AE52" s="112"/>
      <c r="AF52" s="112" t="str">
        <f>HYPERLINK("http://www.kub-berlin.org/formularprojekt/franzoesisch-antraege-und-anlagen-uebersetzungshilfen/","x")</f>
        <v>x</v>
      </c>
      <c r="AG52" s="112" t="str">
        <f>HYPERLINK("http://asyl-in-moenchengladbach.de/wp-content/uploads/2015/11/100711-Flyer_FR.pdf","x")</f>
        <v>x</v>
      </c>
      <c r="AH52" s="112" t="str">
        <f>HYPERLINK("http://sghanstedt.elbnetz.com/ueber-uns/","x")</f>
        <v>x</v>
      </c>
      <c r="AI52" s="111"/>
      <c r="AJ52" s="111"/>
      <c r="AK52" s="112" t="str">
        <f>HYPERLINK("https://www.vrsinfo.de/fileadmin/Dateien/downloadcenter/Folder_MobilPassTicket_Refugees01012016.pdf","x")</f>
        <v>x</v>
      </c>
      <c r="AL52" s="112" t="str">
        <f>HYPERLINK("https://www.vrsinfo.de/fileadmin/Dateien/downloadcenter/Willkommen_im_VRS2016_Druck.pdf","x")</f>
        <v>x</v>
      </c>
      <c r="AM52" s="112"/>
      <c r="AN52" s="112" t="str">
        <f>HYPERLINK("https://www.deutschebahn.com/file/de/2191748/eYdgZpqGpp5sMJ2KMKtg2r8aE4Q/10123812/data/infos_fuer_fluechtlinge.pdf","x")</f>
        <v>x</v>
      </c>
      <c r="AO52" s="112"/>
      <c r="AP52" s="112"/>
      <c r="AQ52" s="112"/>
      <c r="AR52" s="112"/>
      <c r="AS52" s="112"/>
      <c r="AT52" s="112"/>
      <c r="AU52" s="112"/>
      <c r="AV52" s="114" t="str">
        <f>HYPERLINK("http://www.studentenwerke.de/de/content/illustriertes-wohnheimw%C3%B6rterbuch-1","x")</f>
        <v>x</v>
      </c>
      <c r="AW52" s="114" t="str">
        <f t="shared" si="0"/>
        <v>x</v>
      </c>
      <c r="AX52" s="114" t="str">
        <f t="shared" si="1"/>
        <v>x</v>
      </c>
      <c r="AY52" s="111"/>
      <c r="AZ52" s="111"/>
      <c r="BA52" s="112" t="str">
        <f t="shared" si="2"/>
        <v>x</v>
      </c>
      <c r="BB52" s="112" t="str">
        <f t="shared" si="3"/>
        <v>x</v>
      </c>
      <c r="BC52" s="111"/>
      <c r="BD52" s="111"/>
      <c r="BE52" s="111"/>
      <c r="BF52" s="112" t="str">
        <f>HYPERLINK("http://fi-lohmar-siegburg.de/data/documents/communicationboard-arabic-french.pdf","x")</f>
        <v>x</v>
      </c>
      <c r="BG52" s="111"/>
      <c r="BH52" s="112" t="str">
        <f>HYPERLINK("http://www.refugeephrasebook.de/pdf/germany150920.pdf","x")</f>
        <v>x</v>
      </c>
      <c r="BI52" s="112" t="str">
        <f>HYPERLINK("https://www.advanced-online.eu/downloads/RefugeePhrasebookCards_German-French.pdf","x")</f>
        <v>x</v>
      </c>
      <c r="BJ52" s="112" t="str">
        <f>HYPERLINK("http://www.klett-sprachen.de/download/8638/W100255_Refugees_Welcome_Wortschatz.pdf","x")</f>
        <v>x</v>
      </c>
      <c r="BK52" s="111"/>
      <c r="BL52" s="112" t="str">
        <f>HYPERLINK("http://www.bundessprachenamt.de/deutsch/wir_ueber_uns/nachrichten/2015/20151103/Verständigungshilfe_Französisch_26_11_2015.pdf","x")</f>
        <v>x</v>
      </c>
      <c r="BM52" s="111"/>
      <c r="BN52" s="111"/>
      <c r="BO52" s="111"/>
      <c r="BP52" s="111"/>
      <c r="BQ52" s="111"/>
      <c r="BR52" s="111"/>
      <c r="BS52" s="112" t="str">
        <f t="shared" si="4"/>
        <v>x</v>
      </c>
      <c r="BT52" s="112"/>
      <c r="BU52" s="111"/>
      <c r="BV52" s="112" t="str">
        <f t="shared" si="5"/>
        <v>x</v>
      </c>
      <c r="BW52" s="112" t="str">
        <f>HYPERLINK("http://www.welcomegrooves.de/wp-content/uploads/2015/11/welcomegrooves-de-franzoesisch.pdf","x")</f>
        <v>x</v>
      </c>
      <c r="BX52" s="112"/>
      <c r="BY52" s="112"/>
      <c r="BZ52" s="112" t="str">
        <f>HYPERLINK("http://fluechtlingshilfe-nettetal.de/ausbildung/video-sprachkurse-deutsch-fuer-fluechtlinge/video-sprachkurs-franzoesisch-deutsch/","x")</f>
        <v>x</v>
      </c>
      <c r="CA52" s="112" t="str">
        <f t="shared" si="6"/>
        <v>x</v>
      </c>
      <c r="CB52" s="112" t="str">
        <f t="shared" si="7"/>
        <v>x</v>
      </c>
      <c r="CC52" s="112" t="str">
        <f t="shared" si="8"/>
        <v>x</v>
      </c>
      <c r="CD52" s="112"/>
      <c r="CE52" s="112"/>
      <c r="CF52" s="111"/>
      <c r="CG52" s="111"/>
      <c r="CH52" s="112" t="str">
        <f>HYPERLINK("http://mifkjf.rlp.de/fileadmin/mifkjf/Frauen/Gewalt_gegen_Frauen/Downloads/Broschueren_Flyer/Flyer_Gewalt_franzoesisch.pdf","x")</f>
        <v>x</v>
      </c>
      <c r="CI52" s="112" t="str">
        <f>HYPERLINK("https://www.hilfetelefon.de/fileadmin/hilfetelefon_de/Materialien/Flyer/Infoflyer_Hilfetelefon_Gewalt_gegen_Frauen141105_b2.pdf","x")</f>
        <v>x</v>
      </c>
      <c r="CJ52" s="112" t="str">
        <f>HYPERLINK("https://www.hilfetelefon.de/fileadmin/hilfetelefon_de/Materialien/weitere_werbemittel/Klappflyer_Vorder-_und_Rueckseite_opt2.pdf","x")</f>
        <v>x</v>
      </c>
      <c r="CK52" s="112" t="str">
        <f t="shared" si="9"/>
        <v>x</v>
      </c>
      <c r="CL52" s="112"/>
      <c r="CM52" s="112"/>
      <c r="CN52" s="112"/>
      <c r="CO52" s="112"/>
      <c r="CP52" s="112" t="str">
        <f>HYPERLINK("http://www.schwanger-und-viele-fragen.de/fr/","x")</f>
        <v>x</v>
      </c>
      <c r="CQ52" s="112"/>
      <c r="CR52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2" s="112" t="str">
        <f>HYPERLINK("http://en.beststart.org/for_parents/are-you-looking-resources-languages-other-english-and-french","x")</f>
        <v>x</v>
      </c>
      <c r="CT52" s="112"/>
      <c r="CU52" s="112" t="str">
        <f>HYPERLINK("http://www.profamilia.de/fileadmin/publikationen/Erwachsene/mehrsprachig/Bro_Verhuetung_frz_141002.pdf","x")</f>
        <v>x</v>
      </c>
      <c r="CV52" s="112"/>
      <c r="CW52" s="112"/>
      <c r="CX52" s="112"/>
      <c r="CY52" s="112" t="str">
        <f>HYPERLINK("http://www.caritas-schwarzwald-alb-donau.de/68854.html","x")</f>
        <v>x</v>
      </c>
      <c r="CZ52" s="112"/>
      <c r="DA52" s="112"/>
      <c r="DB52" s="112"/>
      <c r="DC52" s="115" t="str">
        <f>HYPERLINK("http://www.kindersicherheit.de/pdf/2013_BAG_Tomi_and_Mila_Deutsch_Francais.pdf","x")</f>
        <v>x</v>
      </c>
      <c r="DD52" s="112"/>
      <c r="DE52" s="112"/>
      <c r="DF52" s="112" t="str">
        <f t="shared" si="10"/>
        <v>x</v>
      </c>
      <c r="DG52" s="115" t="str">
        <f t="shared" si="11"/>
        <v>x</v>
      </c>
      <c r="DH52" s="112" t="str">
        <f t="shared" si="12"/>
        <v>x</v>
      </c>
      <c r="DI52" s="112" t="str">
        <f t="shared" si="13"/>
        <v>x</v>
      </c>
      <c r="DJ52" s="112"/>
      <c r="DK52" s="112"/>
      <c r="DL52" s="112"/>
      <c r="DM52" s="112"/>
      <c r="DN52" s="112"/>
      <c r="DO52" s="112"/>
      <c r="DP52" s="111"/>
      <c r="DQ52" s="111"/>
      <c r="DR52" s="112" t="str">
        <f>HYPERLINK("https://broschueren.nordrheinwestfalendirekt.de/broschuerenservice/msw/fr-das-schulsystem-in-nordrhein-westfalen-einfach-und-schnell-erklaert/1903","x")</f>
        <v>x</v>
      </c>
      <c r="DS52" s="112" t="str">
        <f>HYPERLINK("http://bildung.koeln.de/materialbibliothek/download.php?idx=6f75d59e17e7868506c0a48e6f7a44f2","x")</f>
        <v>x</v>
      </c>
      <c r="DT52" s="112" t="str">
        <f>HYPERLINK("http://bildung.koeln.de/materialbibliothek/download.php?idx=bde72be3f1bc4c51a4b0bcfe4a4187c4","x")</f>
        <v>x</v>
      </c>
      <c r="DU52" s="112"/>
      <c r="DV52" s="112" t="str">
        <f>HYPERLINK("https://www.bmbf.de/pub/KAUSA_Elternratgeber_deutsch_franzoesisch.pdf","x")</f>
        <v>x</v>
      </c>
      <c r="DW52" s="111"/>
      <c r="DX52" s="112" t="str">
        <f>HYPERLINK("http://www.wissenschaft.nrw.de/studium/informieren/informationen-fuer-fluechtlinge-die-in-nrw-studieren-moechten/","x")</f>
        <v>x</v>
      </c>
      <c r="DY52" s="111"/>
      <c r="DZ52" s="112" t="str">
        <f>HYPERLINK("http://www.bamf.de/SharedDocs/Anlagen/DE/Publikationen/Flyer/AnerkennungBerufsabschluss/anerkennung-berufsabschluss_fr.pdf?__blob=publicationFile","x")</f>
        <v>x</v>
      </c>
      <c r="EA52" s="112" t="str">
        <f>HYPERLINK("http://www.bamf.de/SharedDocs/Anlagen/DE/Publikationen/Flyer/AnerkennungBerufsabschluss/anerkennung-berufsabschluss_ausland_fr.pdf?__blob=publicationFile","x")</f>
        <v>x</v>
      </c>
      <c r="EB52" s="112" t="str">
        <f>HYPERLINK("http://www.bamf.de/SharedDocs/Anlagen/DE/Publikationen/Broschueren/willkommen-in-deutschland-info-blaue-karte-eu_fr.pdf?__blob=publicationFile","x")</f>
        <v>x</v>
      </c>
      <c r="EC52" s="112" t="str">
        <f>HYPERLINK("http://www.bamf.de/SharedDocs/Anlagen/DE/Publikationen/Flyer/Berufsbezsprachf-ESF-BAMF/berufsbezsprachf-esf-bamf_fr.pdf?__blob=publicationFile","x")</f>
        <v>x</v>
      </c>
      <c r="ED52" s="111"/>
      <c r="EE52" s="111"/>
      <c r="EF52" s="111"/>
      <c r="EG52" s="111"/>
      <c r="EH52" s="111"/>
      <c r="EI52" s="111"/>
      <c r="EJ52" s="112"/>
      <c r="EK52" s="112" t="str">
        <f>HYPERLINK("http://fluechtlingsrat-bw.de/files/Dateien/Dokumente/Materialbestellung/2014-12-flyer%20arbeitserlaubnis%20FRZ%20WEB.pdf","x")</f>
        <v>x</v>
      </c>
      <c r="EL52" s="111"/>
      <c r="EM52" s="112" t="str">
        <f>HYPERLINK("http://www.kvs-sachsen.de/fileadmin/img/Mitglieder/Asylbewerber/Allg-Informationen/Anlage_1_Franzoesisch_LEK.pdf","x")</f>
        <v>x</v>
      </c>
      <c r="EN52" s="112" t="str">
        <f>HYPERLINK("http://www.medizin-hilft-fluechtlingen.de/images/Dokumente/gSch/gSch_fra.pdf","x")</f>
        <v>x</v>
      </c>
      <c r="EO52" s="112"/>
      <c r="EP52" s="117" t="str">
        <f>HYPERLINK("http://www.medi-bild.de/pdf/anamnese/Welche_Sprache.pdf","x")</f>
        <v>x</v>
      </c>
      <c r="EQ52" s="117" t="str">
        <f>HYPERLINK("http://www.armut-gesundheit.de/fileadmin/redakteur/dokumente/Anamnesebogen%20-%20franz%C3%B6sischnew.pdf","x")</f>
        <v>x</v>
      </c>
      <c r="ER52" s="112" t="str">
        <f>HYPERLINK("http://www.kvs-sachsen.de/fileadmin/img/Mitglieder/Asylbewerber/Allg-Informationen/Anlagen_2-1_2-2_Franzoesisch_LEK.pdf","x")</f>
        <v>x</v>
      </c>
      <c r="ES52" s="111"/>
      <c r="ET52" s="111"/>
      <c r="EU52" s="112" t="str">
        <f>HYPERLINK("http://medizin-hilft-fluechtlingen.de/images/Dokumente/ein/ein_per.pdf","x")</f>
        <v>x</v>
      </c>
      <c r="EV52" s="112" t="str">
        <f>HYPERLINK("http://www.adler-apotheke-hh.de/fileadmin/user_upload/PDF-Dateien/Dosierzettel_mehrsprachig_AUF_0_.pdf","x")</f>
        <v>x</v>
      </c>
      <c r="EW52" s="112" t="str">
        <f t="shared" si="14"/>
        <v>x</v>
      </c>
      <c r="EX52" s="112" t="str">
        <f>HYPERLINK("http://www.rki.de/DE/Content/Infekt/IfSG/Belehrungsbogen/belehrungsbogen_eltern_franzoesisch.pdf?__blob=publicationFile","x")</f>
        <v>x</v>
      </c>
      <c r="EY52" s="111"/>
      <c r="EZ52" s="112" t="str">
        <f>HYPERLINK("https://www.mh-hannover.de/fileadmin/mhh/bilder/aktuelles_presse/pressestelle/bilder/Pilzvergif_franzoesisch.pdf","x")</f>
        <v>x</v>
      </c>
      <c r="FA52" s="112"/>
      <c r="FB52" s="112" t="str">
        <f>HYPERLINK("http://static.apotheken-umschau.de/media/gp/article_506373/bildwoerterbuch.pdf","x")</f>
        <v>x</v>
      </c>
      <c r="FC52" s="111"/>
      <c r="FD52" s="112" t="str">
        <f t="shared" si="15"/>
        <v>x</v>
      </c>
      <c r="FE52" s="112" t="str">
        <f>HYPERLINK("http://sghanstedt.elbnetz.com/ueber-uns/","x")</f>
        <v>x</v>
      </c>
      <c r="FF52" s="111"/>
      <c r="FG52" s="112" t="str">
        <f>HYPERLINK("http://www.tipdoc.de/grafik/asyl/Gesundheitsheft_Asyl.pdf","x")</f>
        <v>x</v>
      </c>
      <c r="FH52" s="111"/>
      <c r="FI52" s="111"/>
      <c r="FJ52" s="112"/>
      <c r="FK52" s="112" t="str">
        <f>HYPERLINK("http://www.rki.de/DE/Content/Infekt/Impfen/Materialien/Downloads-Impfkalender/Impfkalender_Franzoesisch.pdf?__blob=publicationFile","x")</f>
        <v>x</v>
      </c>
      <c r="FL52" s="112" t="str">
        <f>HYPERLINK("http://www.ethno-medizinisches-zentrum.de/images/PDF-Files/impfwegweiser_franzosisch_2013_online.pdf","x")</f>
        <v>x</v>
      </c>
      <c r="FM52" s="112"/>
      <c r="FN52" s="112" t="str">
        <f>HYPERLINK("http://www.rki.de/DE/Content/Infekt/Impfen/Materialien/Glossar-Downloads/glossar-de-franzoesisch.pdf?__blob=publicationFile","x")</f>
        <v>x</v>
      </c>
      <c r="FO52" s="112" t="str">
        <f>HYPERLINK("http://www.euro.who.int/__data/assets/pdf_file/0012/162300/VPD-Signs,-symptoms-and-complications-FRE.pdf","x")</f>
        <v>x</v>
      </c>
      <c r="FP52" s="112" t="str">
        <f>HYPERLINK("http://www.rki.de/DE/Content/Infekt/Impfen/Materialien/Downloads-MMR/MMR-Impfinfo-franzoesisch.pdf?__blob=publicationFile","x")</f>
        <v>x</v>
      </c>
      <c r="FQ52" s="112" t="str">
        <f>HYPERLINK("http://www.rki.de/DE/Content/InfAZ/P/Polio/Ausbruch_Syrien/Informationsblatt_Polio_Franzoesisch.pdf?__blob=publicationFile","x")</f>
        <v>x</v>
      </c>
      <c r="FR52" s="112" t="str">
        <f>HYPERLINK("http://www.rki.de/DE/Content/Infekt/Impfen/Materialien/Downloads_HepA/Aufklaerung_HAV-Impfung_Franzoesisch.pdf?__blob=publicationFile","x")</f>
        <v>x</v>
      </c>
      <c r="FS52" s="112" t="str">
        <f>HYPERLINK("http://www.rki.de/DE/Content/Infekt/Impfen/Materialien/Downloads_Pneumokokken/Aufklaerung_Pneumo-Impfung_Franzoesisch.pdf?__blob=publicationFile","x")</f>
        <v>x</v>
      </c>
      <c r="FT52" s="112" t="str">
        <f>HYPERLINK("http://www.rki.de/DE/Content/Infekt/Impfen/Materialien/Downloads-DTaPIPVHibHepB/DTaPIPVHibHepB-franzoesisch.pdf?__blob=publicationFile","x")</f>
        <v>x</v>
      </c>
      <c r="FU52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2" s="112" t="str">
        <f>HYPERLINK("http://www.rki.de/DE/Content/Infekt/Impfen/Materialien/Downloads-Tdap-IPV/Tdap-IPV-franzoesisch.pdf?__blob=publicationFile","x")</f>
        <v>x</v>
      </c>
      <c r="FW52" s="112" t="str">
        <f>HYPERLINK("http://www.rki.de/DE/Content/Infekt/Impfen/Materialien/Downloads-Influenza_nasal/Influenza_nasal-franzoesisch.pdf?__blob=publicationFile","x")</f>
        <v>x</v>
      </c>
      <c r="FX52" s="111"/>
      <c r="FY52" s="112"/>
      <c r="FZ52" s="112"/>
      <c r="GA52" s="111"/>
      <c r="GB52" s="111"/>
      <c r="GC52" s="111"/>
      <c r="GD52" s="112" t="str">
        <f>HYPERLINK("http://www.ethno-medizinisches-zentrum.de/images/PDF-Files/lf_diabete_franzosisch.pdf","x")</f>
        <v>x</v>
      </c>
      <c r="GE52" s="111"/>
      <c r="GF52" s="111"/>
      <c r="GG52" s="111"/>
      <c r="GH52" s="112"/>
      <c r="GI52" s="111"/>
      <c r="GJ52" s="111"/>
      <c r="GK52" s="112" t="str">
        <f>HYPERLINK("http://www.tipdoc.de/bus/pdf/hiv/HIV%20SRF_Webseite.pdf","x")</f>
        <v>x</v>
      </c>
      <c r="GL52" s="111"/>
      <c r="GM52" s="112" t="str">
        <f>HYPERLINK("http://www.rki.de/DE/Content/Infekt/Impfen/Materialien/Downloads-Influenza/Influenza-franzoesisch.pdf?__blob=publicationFile","x")</f>
        <v>x</v>
      </c>
      <c r="GN52" s="111"/>
      <c r="GO52" s="111"/>
      <c r="GP52" s="112" t="str">
        <f>HYPERLINK("http://www.tipdoc.de/grafik/pdf/kopflaeuse/Kopflaeuse_FRANZ.pdf","x")</f>
        <v>x</v>
      </c>
      <c r="GQ52" s="112"/>
      <c r="GR52" s="112" t="str">
        <f>HYPERLINK("http://www.tipdoc.com/bus/pdf/kraetze/tipdoc_Scabies_FRANZ.pdf","x")</f>
        <v>x</v>
      </c>
      <c r="GS52" s="112" t="str">
        <f>HYPERLINK("http://www.tipdoc.com/bus/pdf/MagenDarmHaende/MagenDarmHaende_FRANZ.pdf","x")</f>
        <v>x</v>
      </c>
      <c r="GT52" s="111"/>
      <c r="GU52" s="111"/>
      <c r="GV52" s="111"/>
      <c r="GW52" s="111"/>
      <c r="GX52" s="111"/>
      <c r="GY52" s="111"/>
      <c r="GZ52" s="111"/>
      <c r="HA52" s="111"/>
      <c r="HB52" s="111"/>
      <c r="HC52" s="112" t="str">
        <f t="shared" si="16"/>
        <v>x</v>
      </c>
      <c r="HD52" s="112" t="str">
        <f>HYPERLINK("https://www.zahnaerzte-wl.de/images/_PDF-suche/KZV_ZÄK/ENDSTAND_Ankreuzbogen_Ich_verstehe.pdf","x")</f>
        <v>x</v>
      </c>
      <c r="HE52" s="112" t="str">
        <f>HYPERLINK("https://www.zahnaerzte-wl.de/images/_PDF-suche/KZV_ZÄK/Anschreiben_Patienten_franzoesisch.pdf","x")</f>
        <v>x</v>
      </c>
      <c r="HF52" s="112" t="str">
        <f>HYPERLINK("https://www.zahnaerzte-wl.de/images/_PDF-suche/KZV_ZÄK/Fragebogen_franzoesisch.pdf","x")</f>
        <v>x</v>
      </c>
      <c r="HG52" s="112" t="str">
        <f>HYPERLINK("https://www.zahnaerzte-wl.de/images/_PDF-suche/KZV_ZÄK/Patientenerhebungsbogen_franzoesisch.pdf","x")</f>
        <v>x</v>
      </c>
      <c r="HH52" s="112"/>
      <c r="HI52" s="112" t="str">
        <f>HYPERLINK("http://www.bvkm.de/fileadmin/web_data/Behinderung_und_Migration_franzoesisch_2014.pdf","x")</f>
        <v>x</v>
      </c>
      <c r="HJ52" s="112"/>
      <c r="HK52" s="112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2" t="str">
        <f t="shared" si="17"/>
        <v>x</v>
      </c>
      <c r="HZ52" s="112" t="str">
        <f t="shared" si="18"/>
        <v>x</v>
      </c>
      <c r="IA52" s="112" t="str">
        <f>HYPERLINK("http://peacefulheart.se/wp-content/uploads/2015/01/Tapping_French_Module-20150102-2.pdf","x")</f>
        <v>x</v>
      </c>
      <c r="IB52" s="111"/>
      <c r="IC52" s="111"/>
      <c r="ID52" s="111"/>
      <c r="IE52" s="111"/>
      <c r="IF52" s="111"/>
      <c r="IG52" s="111"/>
      <c r="IH52" s="111"/>
      <c r="II52" s="112" t="str">
        <f>HYPERLINK("http://www.caritas.de/hilfeundberatung/onlineberatung/suchtberatung/haeufiggestelltefragensucht/haeufiggestelltefragen-sucht","x")</f>
        <v>x</v>
      </c>
      <c r="IJ52" s="111"/>
      <c r="IK52" s="112" t="str">
        <f>HYPERLINK("http://www.bamf.de/SharedDocs/Anlagen/DE/Publikationen/Flyer/Lassen-Sie-Sich-Beraten/lassen-sie-sich-beraten_fr.pdf?__blob=publicationFile","x")</f>
        <v>x</v>
      </c>
      <c r="IL52" s="112" t="str">
        <f>HYPERLINK("http://www.bamf.de/SharedDocs/Anlagen/DE/Publikationen/Flyer/flyer-erstorientierung-asylsuchende_franzoesisch.pdf?__blob=publicationFile","x")</f>
        <v>x</v>
      </c>
      <c r="IM52" s="112" t="str">
        <f>HYPERLINK("http://www.frnrw.de/index.php/inhaltliche-themen/arbeitshilfen/item/3710-erstinfos-fuer-asylsuchende","x")</f>
        <v>x</v>
      </c>
      <c r="IN52" s="112" t="str">
        <f>HYPERLINK("https://www.bamf.de/SharedDocs/Anlagen/DE/Publikationen/Broschueren/willkommen-in-deutschland_fr.pdf?__blob=publicationFile","x")</f>
        <v>x</v>
      </c>
      <c r="IO52" s="112"/>
      <c r="IP52" s="112"/>
      <c r="IQ52" s="112" t="str">
        <f>HYPERLINK("http://www.bamf.de/SharedDocs/Anlagen/DE/Publikationen/Flyer/Lernen-Sie-Deutsch/lernen-sie-deutsch_fr.pdf?__blob=publicationFile","x")</f>
        <v>x</v>
      </c>
      <c r="IR52" s="112"/>
      <c r="IS52" s="111"/>
      <c r="IT52" s="111"/>
      <c r="IU52" s="111"/>
      <c r="IV52" s="112" t="str">
        <f>HYPERLINK("http://www.asyl.net/fileadmin/user_upload/infoblatt_anhoerung/Frz_final.pdf","x")</f>
        <v>x</v>
      </c>
      <c r="IW52" s="112"/>
      <c r="IX52" s="112" t="str">
        <f>HYPERLINK("http://www.berlin.de/labo/willkommen-in-berlin/service/downloads/artikel.273193.php","x")</f>
        <v>x</v>
      </c>
      <c r="IY52" s="112" t="str">
        <f>HYPERLINK("http://www.bamf.de/SharedDocs/Anlagen/DE/Publikationen/Broschueren/broschuere-eat-a4-fr-franzoesisch.pdf?__blob=publicationFile","x")</f>
        <v>x</v>
      </c>
      <c r="IZ52" s="111"/>
      <c r="JA52" s="112" t="str">
        <f>HYPERLINK("http://fluechtlingsrat-bw.de/informationen-fuer-fluechtlinge.html","x")</f>
        <v>x</v>
      </c>
      <c r="JB52" s="111"/>
      <c r="JC52" s="112" t="str">
        <f>HYPERLINK("http://www.bamf.de/SharedDocs/Anlagen/DE/Publikationen/Flyer/20150223_ura2_fra.pdf?__blob=publicationFile","x")</f>
        <v>x</v>
      </c>
      <c r="JD52" s="111"/>
      <c r="JE52" s="112"/>
      <c r="JF52" s="112"/>
      <c r="JG52" s="112"/>
      <c r="JH52" s="112"/>
      <c r="JI52" s="111"/>
      <c r="JJ52" s="112" t="str">
        <f>HYPERLINK("http://www.kub-berlin.org/formularprojekt/franzoesisch-antraege-und-anlagen-uebersetzungshilfen/","x")</f>
        <v>x</v>
      </c>
      <c r="JK52" s="112" t="str">
        <f>HYPERLINK("https://www.arbeitsagentur.de/web/wcm/idc/groups/public/documents/webdatei/mdaw/mjg1/~edisp/l6019022dstbai788667.pdf?_ba.sid=L6019022DSTBAI784626","x")</f>
        <v>x</v>
      </c>
      <c r="JL52" s="112" t="str">
        <f>HYPERLINK("http://www.kub-berlin.org/formularprojekt/franzoesisch-antraege-und-anlagen-uebersetzungshilfen/","x")</f>
        <v>x</v>
      </c>
      <c r="JM52" s="112" t="str">
        <f>HYPERLINK("https://www.arbeitsagentur.de/web/content/DE/Formulare/Detail/index.htm?dfContentId=L6019022DSTBAI485740","x")</f>
        <v>x</v>
      </c>
      <c r="JN52" s="112"/>
      <c r="JO52" s="112"/>
      <c r="JP52" s="112"/>
      <c r="JQ52" s="112"/>
      <c r="JR52" s="112" t="str">
        <f>HYPERLINK("http://www.ibla-germany.de/merkblaetter.php","x")</f>
        <v>x</v>
      </c>
      <c r="JS52" s="112"/>
      <c r="JT52" s="112" t="str">
        <f>HYPERLINK("http://www.b-umf.de/images/willkommen/willkommensbroschurefranzoesisch-web.pdf","x")</f>
        <v>x</v>
      </c>
      <c r="JU52" s="111"/>
      <c r="JV52" s="111"/>
      <c r="JW52" s="112"/>
      <c r="JX52" s="112"/>
      <c r="JY52" s="112"/>
      <c r="JZ52" s="112"/>
      <c r="KA52" s="112"/>
      <c r="KB52" s="112" t="str">
        <f>HYPERLINK("http://www.refugeeguide.de/dl/RefugeeGuide_fr_925.pdf","x")</f>
        <v>x</v>
      </c>
      <c r="KC52" s="111"/>
      <c r="KD52" s="112" t="str">
        <f>HYPERLINK("http://www.wedel.de/fileadmin/user_upload/media/pdf/Rathaus_und_Politik/20160118_PM_Broschuere.pdf","x")</f>
        <v>x</v>
      </c>
      <c r="KE52" s="112" t="str">
        <f>HYPERLINK("http://www.frauenrechte.de/online/images/downloads/allgemein/TDF_Flyer_Women_Men.pdf","x")</f>
        <v>x</v>
      </c>
      <c r="KF52" s="112" t="str">
        <f>HYPERLINK("http://sab.landtag.sachsen.de/dokumente/landtagskurier/Grundwerte-A5-international_web_08012016.pdf","x")</f>
        <v>x</v>
      </c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1"/>
      <c r="LD52" s="112"/>
      <c r="LE52" s="112"/>
      <c r="LF52" s="112"/>
      <c r="LG52" s="112"/>
      <c r="LH52" s="112"/>
      <c r="LI52" s="112"/>
      <c r="LJ52" s="112"/>
      <c r="LK52" s="112"/>
      <c r="LL52" s="112"/>
      <c r="LM52" s="111"/>
      <c r="LN52" s="111"/>
      <c r="LO52" s="111"/>
      <c r="LP52" s="111"/>
      <c r="LQ52" s="112"/>
      <c r="LR52" s="111"/>
      <c r="LS52" s="112"/>
      <c r="LT52" s="112"/>
      <c r="LU52" s="111"/>
      <c r="LV52" s="111"/>
      <c r="LW52" s="111"/>
      <c r="LX52" s="111"/>
      <c r="LY52" s="111"/>
      <c r="LZ52" s="111"/>
      <c r="MA52" s="111"/>
      <c r="MB52" s="112"/>
      <c r="MC52" s="111"/>
      <c r="MD52" s="112" t="str">
        <f>HYPERLINK("http://www.rki.de/DE/Content/Infekt/IfSG/Belehrungsbogen/belehrungsbogen_lebensmittel_franzoesisch.pdf?__blob=publicationFile","x")</f>
        <v>x</v>
      </c>
      <c r="ME52" s="111"/>
      <c r="MF52" s="112" t="str">
        <f>HYPERLINK("http://www.gdv.de/wp-content/uploads/2016/01/Information_Brandschutz_Fluechtlingsheim_-Sicherheit_mehrsprachig.pdf","x")</f>
        <v>x</v>
      </c>
      <c r="MG52" s="112" t="str">
        <f>HYPERLINK("http://www.gdv.de/wp-content/uploads/2016/01/Information_Verhalten-im-Brandfall_mehrsprachig.pdf","x")</f>
        <v>x</v>
      </c>
      <c r="MH52" s="112" t="str">
        <f>HYPERLINK("http://www.aha-region.de/fileadmin/Download/pdf/aha_Plakat_Muelltrennung_fr.pdf","x")</f>
        <v>x</v>
      </c>
      <c r="MI52" s="112" t="str">
        <f>HYPERLINK("http://www.kindersicherheit.de/pdf/2012_poster_achtunggiftig_8sprachig.pdf","x")</f>
        <v>x</v>
      </c>
    </row>
    <row r="53" spans="1:347" x14ac:dyDescent="0.25">
      <c r="A53" s="102" t="s">
        <v>93</v>
      </c>
      <c r="B53" s="127" t="s">
        <v>3</v>
      </c>
      <c r="C53" s="102"/>
      <c r="D53" s="102"/>
      <c r="E53" s="102"/>
      <c r="F53" s="102"/>
      <c r="G53" s="102"/>
      <c r="H53" s="102"/>
      <c r="I53" s="102"/>
      <c r="J53" s="102"/>
      <c r="K53" s="103"/>
      <c r="L53" s="112" t="str">
        <f>HYPERLINK("http://sghanstedt.elbnetz.com/ueber-uns/","x")</f>
        <v>x</v>
      </c>
      <c r="M53" s="112" t="str">
        <f>HYPERLINK("http://www.bamf.de/SharedDocs/Anlagen/DE/Downloads/Infothek/Sonstige/interkultureller-kalender-2016_pdf.pdf?__blob=publicationFile","x")</f>
        <v>x</v>
      </c>
      <c r="N53" s="112" t="str">
        <f>HYPERLINK("http://www.ag-fluechtlingshilfe-wetterau.de/uploads/infos/170.pdf","x")</f>
        <v>x</v>
      </c>
      <c r="O53" s="112" t="str">
        <f>HYPERLINK("http://www.ag-fluechtlingshilfe-wetterau.de/uploads/infos/220.pdf","x")</f>
        <v>x</v>
      </c>
      <c r="P53" s="112" t="str">
        <f>HYPERLINK("http://www.awb-ahrweiler.de/admin/data/ddownload/Abfall%20Sonderhinweise-deutsch_2014.pdf","x")</f>
        <v>x</v>
      </c>
      <c r="Q53" s="112" t="str">
        <f>HYPERLINK("http://www.ag-fluechtlingshilfe-wetterau.de/uploads/infos/221.pdf","x")</f>
        <v>x</v>
      </c>
      <c r="R53" s="112" t="str">
        <f>HYPERLINK("http://www.konto.org/download/merkblatt-basiskonto-asylbewerber-deutsch.pdf","x")</f>
        <v>x</v>
      </c>
      <c r="S53" s="112" t="str">
        <f>HYPERLINK("http://www.verbraucherzentrale.de/kontoeroeffnung-fuer-fluechtlinge","x")</f>
        <v>x</v>
      </c>
      <c r="T53" s="112" t="str">
        <f>HYPERLINK("https://antworten.sparkasse.de/wp-content/uploads/2015/10/Deutsch.pdf","x")</f>
        <v>x</v>
      </c>
      <c r="U53" s="112" t="str">
        <f>HYPERLINK("http://www.ag-fluechtlingshilfe-wetterau.de/uploads/infos/191.pdf","x")</f>
        <v>x</v>
      </c>
      <c r="V53" s="112" t="str">
        <f>HYPERLINK("http://www.vzhh.de/vzhh/412690/fluechtlinge-informationen-zu-geld-und-konto.aspx","x")</f>
        <v>x</v>
      </c>
      <c r="W53" s="112" t="str">
        <f>HYPERLINK("http://www.vzhh.de/vzhh/412689/fluechtlinge-informationen-zum-versicherungsschutz.aspx","x")</f>
        <v>x</v>
      </c>
      <c r="X53" s="112" t="str">
        <f>HYPERLINK("https://www.test.de/filestore/4939505_Finanztest_12_2015_Fl%c3%bcchtlinge_Merkblatt_deutsch.pdf?path=/protected/72/26/bc9fbfa2-95b8-4141-8966-a484f533cb32-protectedfile.pdf&amp;key=71100F8C185C493221F0B9451738E3C23D52E457","x")</f>
        <v>x</v>
      </c>
      <c r="Y53" s="112" t="str">
        <f>HYPERLINK("https://www.test.de/filestore/4939509_Finanztest_12_2015_Fl%c3%bcchtlinge_Tarifkommentare_deutsch.pdf?path=/protected/41/61/6bddbfa3-3bba-4288-9163-366c3c01082a-protectedfile.pdf&amp;key=2C3CC2C934835E012870952C5600BB453BF2669E","x")</f>
        <v>x</v>
      </c>
      <c r="Z53" s="112" t="str">
        <f>HYPERLINK("https://www.test.de/Handytarife-fuer-Fluechtlinge-So-telefonieren-Sie-guenstig-in-die-Heimat-4935914-4938453/","x")</f>
        <v>x</v>
      </c>
      <c r="AA53" s="112" t="str">
        <f>HYPERLINK("http://www.vzhh.de/vzhh/412686/fluechtlinge-informationen-zu-telefon-und-internet.aspx","x")</f>
        <v>x</v>
      </c>
      <c r="AB53" s="112" t="str">
        <f>HYPERLINK("Verbraucherzentrale Info zum Urheberrecht (illegale Downloads)","x")</f>
        <v>x</v>
      </c>
      <c r="AC53" s="112" t="str">
        <f>HYPERLINK("http://www.vzhh.de/vzhh/409638/vzhh_refugees_telephone_internet.pdf","x")</f>
        <v>x</v>
      </c>
      <c r="AD53" s="112" t="str">
        <f>HYPERLINK("http://www.vzhh.de/vzhh/410647/vzhh_refugees_rundfunk.pdf","x")</f>
        <v>x</v>
      </c>
      <c r="AE53" s="112" t="str">
        <f>HYPERLINK("http://www.vzhh.de/vzhh/411476/vzhh_refugees_rundfunk_befreiung.pdf","x")</f>
        <v>x</v>
      </c>
      <c r="AF53" s="112"/>
      <c r="AG53" s="112" t="str">
        <f>HYPERLINK("http://asyl-in-moenchengladbach.de/wp-content/uploads/2015/11/100711-Flyer_DE.pdf","x")</f>
        <v>x</v>
      </c>
      <c r="AH53" s="111"/>
      <c r="AI53" s="112" t="str">
        <f>HYPERLINK("https://www.adac.de/sp/stiftung/_mmm/pdf/SGE_FOL_Verkehrssicherheit_Fl%C3%BCchtlinge_A3_01_16_Internet_250277.pdf","x")</f>
        <v>x</v>
      </c>
      <c r="AJ53" s="112" t="str">
        <f>HYPERLINK("http://www.stadt-koeln.de/mediaasset/content/kvb_kinderleicht_und_spielend_einfach__deutsch_.pdf","x")</f>
        <v>x</v>
      </c>
      <c r="AK53" s="112" t="str">
        <f>HYPERLINK("https://www.vrsinfo.de/fileadmin/Dateien/downloadcenter/Folder_MobilPassTicket_Refugees01012016.pdf","x")</f>
        <v>x</v>
      </c>
      <c r="AL53" s="112" t="str">
        <f>HYPERLINK("https://www.vrsinfo.de/fileadmin/Dateien/downloadcenter/Willkommen_im_VRS2016_Druck.pdf","x")</f>
        <v>x</v>
      </c>
      <c r="AM53" s="112" t="str">
        <f>HYPERLINK("http://www.kvb-koeln.de/german/fahrplan/fahrradverleih.html","x")</f>
        <v>x</v>
      </c>
      <c r="AN53" s="112" t="str">
        <f>HYPERLINK("https://www.deutschebahn.com/file/de/2191748/eYdgZpqGpp5sMJ2KMKtg2r8aE4Q/10123812/data/infos_fuer_fluechtlinge.pdf","x")</f>
        <v>x</v>
      </c>
      <c r="AO53" s="112" t="str">
        <f>HYPERLINK("http://www.stadt-koeln.de/","x")</f>
        <v>x</v>
      </c>
      <c r="AP53" s="112" t="str">
        <f>HYPERLINK("http://www.stadt-koeln.de/leben-in-koeln/soziales/koeln-hilft-fluechtlingen","x")</f>
        <v>x</v>
      </c>
      <c r="AQ53" s="112" t="str">
        <f>HYPERLINK("http://wiku-koeln.de/","x")</f>
        <v>x</v>
      </c>
      <c r="AR53" s="112" t="str">
        <f>HYPERLINK("http://www.stadt-koeln.de/mediaasset/content/satzungen/koelner_stadtordnung_20140414.pdf","x")</f>
        <v>x</v>
      </c>
      <c r="AS53" s="112" t="str">
        <f>HYPERLINK("http://www.stadt-koeln.de/mediaasset/content/pdf32/bußgeldrahmen_kölner_stadtordnung_stand_juni_2015.pdf","x")</f>
        <v>x</v>
      </c>
      <c r="AT53" s="112" t="str">
        <f>HYPERLINK("http://www.koelnerkarneval.de/fileadmin/content/images/news/Festkomitee_Flyer_DE_AR.pdf","x")</f>
        <v>x</v>
      </c>
      <c r="AU53" s="112" t="str">
        <f>HYPERLINK("http://www.stadt-koeln.de/mediaasset/content/festkomitee_flyer_2016_d_gb.pdf","x")</f>
        <v>x</v>
      </c>
      <c r="AV53" s="114" t="str">
        <f>HYPERLINK("http://www.studentenwerke.de/de/content/illustriertes-wohnheimw%C3%B6rterbuch-1","x")</f>
        <v>x</v>
      </c>
      <c r="AW53" s="114" t="str">
        <f t="shared" si="0"/>
        <v>x</v>
      </c>
      <c r="AX53" s="114" t="str">
        <f t="shared" si="1"/>
        <v>x</v>
      </c>
      <c r="AY53" s="112" t="str">
        <f>HYPERLINK("http://fi-lohmar-siegburg.de/data/documents/Findefix_arabisch-Bildwoerterbuch.pdf","x")</f>
        <v>x</v>
      </c>
      <c r="AZ53" s="112" t="str">
        <f>HYPERLINK("https://www.hueber.de/media/36/Mini-Bildwoerterbuch_Deutsch.pdf","x")</f>
        <v>x</v>
      </c>
      <c r="BA53" s="112" t="str">
        <f t="shared" si="2"/>
        <v>x</v>
      </c>
      <c r="BB53" s="112" t="str">
        <f t="shared" si="3"/>
        <v>x</v>
      </c>
      <c r="BC53" s="112" t="str">
        <f>HYPERLINK("http://www.tobiidynavox.com/wp-content/uploads/2015/09/Tobii-Dynavox-Kommunikationstafel-farsi-deutsch.pdf","x")</f>
        <v>x</v>
      </c>
      <c r="BD53" s="112" t="str">
        <f>HYPERLINK("http://www.rehavista.de/?at=Mat_Boardmaker&amp;d=1&amp;dtype=mat&amp;id=1014","x")</f>
        <v>x</v>
      </c>
      <c r="BE53" s="112"/>
      <c r="BF53" s="112"/>
      <c r="BG53" s="112" t="str">
        <f>HYPERLINK("http://www.tavir-ravensburg.de/Erste%20Saetze.pdf","x")</f>
        <v>x</v>
      </c>
      <c r="BH53" s="112" t="str">
        <f>HYPERLINK("http://www.refugeephrasebook.de/pdf/germany150920.pdf","x")</f>
        <v>x</v>
      </c>
      <c r="BI53" s="112"/>
      <c r="BJ53" s="112" t="str">
        <f>HYPERLINK("http://www.klett-sprachen.de/download/8638/W100255_Refugees_Welcome_Wortschatz.pdf","x")</f>
        <v>x</v>
      </c>
      <c r="BK53" s="111" t="s">
        <v>59</v>
      </c>
      <c r="BL53" s="112" t="str">
        <f>HYPERLINK("http://www.bundessprachenamt.de/deutsch/wir_ueber_uns/nachrichten/2015/20151103/Verständigungshilfe_Englisch_26_11_2015.pdf","x")</f>
        <v>x</v>
      </c>
      <c r="BM53" s="112" t="str">
        <f>HYPERLINK("http://www.frnrw.de/images/Aus_den_Initiativen/Ehrenamtler/2015/Dictionary_x10_print-2.pdf","x")</f>
        <v>x</v>
      </c>
      <c r="BN53" s="112" t="str">
        <f>HYPERLINK("http://www.medbox.org/toolboxes/kleines-worterbuch-little-dictionary-deutsch-englisch-arabisch/preview","x")</f>
        <v>x</v>
      </c>
      <c r="BO53" s="111"/>
      <c r="BP53" s="112" t="str">
        <f>HYPERLINK("https://www.friedensdorf.de/documents/Woerterbuch_Dari.pdf","x")</f>
        <v>x</v>
      </c>
      <c r="BQ53" s="112" t="str">
        <f>HYPERLINK("https://www.friedensdorf.de/documents/Woerterbuch_Arabisch.pdf","x")</f>
        <v>x</v>
      </c>
      <c r="BR53" s="112" t="str">
        <f>HYPERLINK("http://www.friedensdorf.de/documents/Woerterbuch_Pashtu.pdf","x")</f>
        <v>x</v>
      </c>
      <c r="BS53" s="112" t="str">
        <f t="shared" si="4"/>
        <v>x</v>
      </c>
      <c r="BT53" s="112" t="str">
        <f>HYPERLINK("http://de.langenscheidt.com/doc/arabisch-deutsch-sprachfuehrer.pdf","x")</f>
        <v>x</v>
      </c>
      <c r="BU53" s="112" t="str">
        <f>HYPERLINK("http://www.memhr.org/dic/ebook/tigr-germ.pdf","x")</f>
        <v>x</v>
      </c>
      <c r="BV53" s="112" t="str">
        <f t="shared" si="5"/>
        <v>x</v>
      </c>
      <c r="BW53" s="112" t="str">
        <f>HYPERLINK("http://www.welcomegrooves.de/wp-content/uploads/2015/11/welcomegrooves-deutsch.pdf","x")</f>
        <v>x</v>
      </c>
      <c r="BX53" s="112"/>
      <c r="BY53" s="112" t="str">
        <f>HYPERLINK("http://www.tigrigna-german.ch/","x")</f>
        <v>x</v>
      </c>
      <c r="BZ53" s="112"/>
      <c r="CA53" s="112" t="str">
        <f t="shared" si="6"/>
        <v>x</v>
      </c>
      <c r="CB53" s="112" t="str">
        <f t="shared" si="7"/>
        <v>x</v>
      </c>
      <c r="CC53" s="112" t="str">
        <f t="shared" si="8"/>
        <v>x</v>
      </c>
      <c r="CD53" s="112" t="str">
        <f>HYPERLINK("http://www.deutschalsfremdsprache.ch/","x")</f>
        <v>x</v>
      </c>
      <c r="CE53" s="112" t="str">
        <f>HYPERLINK("http://www.schubert-verlag.de/aufgaben/arbeitsblaetter_a1_z/a1_arbeitsblaetter_index_z.htm","x")</f>
        <v>x</v>
      </c>
      <c r="CF53" s="111" t="s">
        <v>59</v>
      </c>
      <c r="CG53" s="112" t="str">
        <f>HYPERLINK("http://www.braunschweig.de/leben/frauen/hilfe/Ohne-Gewalt-leben.pdf","x")</f>
        <v>x</v>
      </c>
      <c r="CH53" s="112" t="str">
        <f>HYPERLINK("http://mifkjf.rlp.de/fileadmin/mifkjf/Frauen/Gewalt_gegen_Frauen/Downloads/Broschueren_Flyer/Flyer_Rat_und_Hilfe_Endfassung.pdf","x")</f>
        <v>x</v>
      </c>
      <c r="CI53" s="112" t="str">
        <f>HYPERLINK("https://www.hilfetelefon.de/fileadmin/hilfetelefon_de/Materialien/Flyer/Infoflyer_Hilfetelefon_Gewalt_gegen_Frauen141105_b2.pdf","x")</f>
        <v>x</v>
      </c>
      <c r="CJ53" s="112" t="str">
        <f>HYPERLINK("https://www.hilfetelefon.de/fileadmin/hilfetelefon_de/Materialien/weitere_werbemittel/Klappflyer_Vorder-_und_Rueckseite_opt2.pdf","x")</f>
        <v>x</v>
      </c>
      <c r="CK53" s="112" t="str">
        <f t="shared" si="9"/>
        <v>x</v>
      </c>
      <c r="CL53" s="112" t="str">
        <f>HYPERLINK("http://www.frauenberatungsstelle.de/pdf/Migrantinnen-beraten-Migrantinnen.pdf","x")</f>
        <v>x</v>
      </c>
      <c r="CM53" s="112" t="str">
        <f>HYPERLINK("http://www.frauenleben.org/spezielle_beratungsangebote/sexualisierte_gewalt.htm","x")</f>
        <v>x</v>
      </c>
      <c r="CN53" s="112" t="str">
        <f>HYPERLINK("https://www.frauen-gegen-gewalt.de/hilfsangebote.html","x")</f>
        <v>x</v>
      </c>
      <c r="CO53" s="112" t="str">
        <f>HYPERLINK("http://mifkjf.rlp.de/fileadmin/mifkjf/Frauen/Gewalt_gegen_Frauen/Downloads/Broschueren_Flyer/Info_KO-Tropfen.pdf","x")</f>
        <v>x</v>
      </c>
      <c r="CP53" s="112" t="str">
        <f>HYPERLINK("http://www.schwanger-und-viele-fragen.de/de/","x")</f>
        <v>x</v>
      </c>
      <c r="CQ53" s="112" t="str">
        <f>HYPERLINK("http://www.bhlv.de/medien/hebammenverband-flyer-fluechtlinge-12-seiten-rz-web.pdf","x")</f>
        <v>x</v>
      </c>
      <c r="CR53" s="112" t="str">
        <f>HYPERLINK("https://www.hebammenverband.de/index.php?eID=tx_nawsecuredl&amp;u=0&amp;g=0&amp;t=1462395526&amp;hash=57ac1ea9abaf848a51d4e83c2f9b257bb18fc709&amp;file=fileadmin/user_upload/pdf/Beruf_Hebamme/Was_tun_Hebammen/DHV_Flyer_Was_tun_Hebammen_deutsch_web.pdf","x")</f>
        <v>x</v>
      </c>
      <c r="CS53" s="112" t="str">
        <f>HYPERLINK("http://en.beststart.org/for_parents/are-you-looking-resources-languages-other-english-and-french","x")</f>
        <v>x</v>
      </c>
      <c r="CT53" s="112" t="str">
        <f>HYPERLINK("skurz(at)weleda.de","x")</f>
        <v>x</v>
      </c>
      <c r="CU53" s="112"/>
      <c r="CV53" s="112" t="str">
        <f>HYPERLINK("http://www.profamilia-sh.de/downloads/187/pille-danach.pdf","x")</f>
        <v>x</v>
      </c>
      <c r="CW53" s="112" t="str">
        <f>HYPERLINK("https://www.profamilia.de/fileadmin/publikationen/Reihe_Verhuetungsmethoden/Einleger_deutsch.pdf","x")</f>
        <v>x</v>
      </c>
      <c r="CX53" s="112" t="str">
        <f>HYPERLINK("http://www.profamilia.de/fileadmin/publikationen/Reihe_Koerper_und_Sexualtitaet/schwangerschaftsabbruch.pdf","x")</f>
        <v>x</v>
      </c>
      <c r="CY53" s="112" t="str">
        <f>HYPERLINK("http://www.caritas-schwarzwald-alb-donau.de/68854.html","x")</f>
        <v>x</v>
      </c>
      <c r="CZ53" s="112" t="str">
        <f>HYPERLINK("http://www.dgfpi.de/tl_files/download/medien/2011-01-19_DGfPI-Wuessten-sie.pdf","x")</f>
        <v>x</v>
      </c>
      <c r="DA53" s="112" t="str">
        <f>HYPERLINK("http://sichere-orte-schaffen.de/wp-content/uploads/Minibrosch_Fluechtlinge_multilang.pdf","x")</f>
        <v>x</v>
      </c>
      <c r="DB53" s="112" t="str">
        <f>HYPERLINK("http://www.neukoelln-jugend.de/redsys/index.php/component/content/article?id=157#uebersicht-methodenkoffer","x")</f>
        <v>x</v>
      </c>
      <c r="DC53" s="115" t="str">
        <f>HYPERLINK("http://www.kindersicherheit.de/pdf/2013_BAG_Tomi_and_Mila_Deutsch_English.pdf","x")</f>
        <v>x</v>
      </c>
      <c r="DD53" s="112" t="str">
        <f>HYPERLINK("http://www.kindersicherheit.de/pdf/2008Bilderbuch_Gefahrenhaus.pdf","x")</f>
        <v>x</v>
      </c>
      <c r="DE53" s="112" t="str">
        <f>HYPERLINK("http://www.kindersicherheit.de/pdf/2010BAG-Malbuch-Vorschulkinder.pdf","x")</f>
        <v>x</v>
      </c>
      <c r="DF53" s="112" t="str">
        <f t="shared" si="10"/>
        <v>x</v>
      </c>
      <c r="DG53" s="115" t="str">
        <f t="shared" si="11"/>
        <v>x</v>
      </c>
      <c r="DH53" s="112" t="str">
        <f t="shared" si="12"/>
        <v>x</v>
      </c>
      <c r="DI53" s="112" t="str">
        <f t="shared" si="13"/>
        <v>x</v>
      </c>
      <c r="DJ53" s="112"/>
      <c r="DK53" s="112" t="str">
        <f>HYPERLINK("http://en.childrenslibrary.org/","x")</f>
        <v>x</v>
      </c>
      <c r="DL53" s="112" t="str">
        <f>HYPERLINK("http://www.carlsen.de/sites/default/files/Walter-ebook_deutsch_LOW.pdf","x")</f>
        <v>x</v>
      </c>
      <c r="DM53" s="112" t="str">
        <f>HYPERLINK("http://www.deutschalsfremdsprache.ch/index.php?actualid=5057&amp;which_set=103","x")</f>
        <v>x</v>
      </c>
      <c r="DN53" s="112" t="str">
        <f>HYPERLINK("http://www.planet-schule.de/rss/article/440.html","x")</f>
        <v>x</v>
      </c>
      <c r="DO53" s="112"/>
      <c r="DP53" s="112" t="str">
        <f>HYPERLINK("http://tipdoc.de/bus/grafik/kinder-tip/SCHULTIP_give_didacta.pdf","x")</f>
        <v>x</v>
      </c>
      <c r="DQ53" s="112" t="str">
        <f>HYPERLINK("http://tipdoc.de/bus/grafik/kinder-tip/SCHULTIP_give_BulgRoSRB.pdf","x")</f>
        <v>x</v>
      </c>
      <c r="DR53" s="112" t="str">
        <f>HYPERLINK("https://broschueren.nordrheinwestfalendirekt.de/broschuerenservice/msw/de-das-schulsystem-in-nordrhein-westfalen-einfach-und-schnell-erklaert/1900","x")</f>
        <v>x</v>
      </c>
      <c r="DS53" s="112" t="str">
        <f>HYPERLINK("http://bildung.koeln.de/materialbibliothek/download.php?idx=76ea4cbd909e899005811521537acbbf","x")</f>
        <v>x</v>
      </c>
      <c r="DT53" s="112" t="str">
        <f>HYPERLINK("http://bildung.koeln.de/materialbibliothek/download.php?idx=4b9afdbd401b16d00f9d320cab886303","x")</f>
        <v>x</v>
      </c>
      <c r="DU53" s="112" t="str">
        <f>HYPERLINK("http://www.asyl.net/fileadmin/user_upload/redaktion/Dokumente/Publikationen/RechtBildung_2104druck.pdf","x")</f>
        <v>x</v>
      </c>
      <c r="DV53" s="112"/>
      <c r="DW53" s="112" t="str">
        <f>HYPERLINK("http://www.studis-online.de/Studieren/art-1898-studium_fluechtlinge.php","x")</f>
        <v>x</v>
      </c>
      <c r="DX53" s="112" t="str">
        <f>HYPERLINK("http://www.wissenschaft.nrw.de/studium/informieren/informationen-fuer-fluechtlinge-die-in-nrw-studieren-moechten/","x")</f>
        <v>x</v>
      </c>
      <c r="DY53" s="112" t="str">
        <f>HYPERLINK("http://www.bamf.de/SharedDocs/Anlagen/DE/Publikationen/Flyer/AnerkennungBerufsabschluss/berufliche_anerkennung_akademische-heilberufe.pdf?__blob=publicationFile","x")</f>
        <v>x</v>
      </c>
      <c r="DZ53" s="112" t="str">
        <f>HYPERLINK("http://www.bamf.de/SharedDocs/Anlagen/DE/Publikationen/Flyer/AnerkennungBerufsabschluss/anerkennung-berufsabschluss.pdf?__blob=publicationFile","x")</f>
        <v>x</v>
      </c>
      <c r="EA53" s="112" t="str">
        <f>HYPERLINK("http://www.bamf.de/SharedDocs/Anlagen/DE/Publikationen/Flyer/AnerkennungBerufsabschluss/anerkennung-berufsabschluss_ausland.pdf?__blob=publicationFile","x")</f>
        <v>x</v>
      </c>
      <c r="EB53" s="112" t="str">
        <f>HYPERLINK("http://www.bamf.de/SharedDocs/Anlagen/DE/Publikationen/Broschueren/willkommen-in-deutschland-info-blaue-karte-eu.pdf?__blob=publicationFile","x")</f>
        <v>x</v>
      </c>
      <c r="EC53" s="112" t="str">
        <f>HYPERLINK("http://www.bamf.de/SharedDocs/Anlagen/DE/Publikationen/Flyer/Berufsbezsprachf-ESF-BAMF/berufsbezsprachf-esf-bamf.pdf?__blob=publicationFile","x")</f>
        <v>x</v>
      </c>
      <c r="ED53" s="112" t="str">
        <f>HYPERLINK("http://abc-projekt.de/beluga/","x")</f>
        <v>x</v>
      </c>
      <c r="EE53" s="112" t="str">
        <f>HYPERLINK("https://www.hwk-ufr.de/downloads/informationsflyer-fluechtlinge-in-berufsausbildung-78,4272.pdf","x")</f>
        <v>x</v>
      </c>
      <c r="EF53" s="112" t="str">
        <f>HYPERLINK("https://www.hwk-ufr.de/downloads/informationsbroschuere-potenziale-nutzen-gefluechtete-menschen-beschaeftigen-78,4271.pdf","x")</f>
        <v>x</v>
      </c>
      <c r="EG53" s="112" t="str">
        <f>HYPERLINK("https://www.hwk-ufr.de/downloads/infoblatt-praktika-und-betriebliche-taetigkeiten-fuer-asylbewerber-und-geduldete-personen-78,4425.pdf","x")</f>
        <v>x</v>
      </c>
      <c r="EH53" s="112" t="str">
        <f>HYPERLINK("http://www.charta-der-vielfalt.de/fileadmin/user_upload/beispieldateien/Bilddateien/Publikationen/Fl%C3%BCchtlinge_in_den_Arbeitsmarkt_-_Charta_der_Vielfalt_2015.pdf","x")</f>
        <v>x</v>
      </c>
      <c r="EI53" s="112" t="str">
        <f>HYPERLINK("http://sghanstedt.elbnetz.com/ueber-uns/","x")</f>
        <v>x</v>
      </c>
      <c r="EJ53" s="112" t="str">
        <f>HYPERLINK("http://azf2.de/wp-content/uploads/2014/12/FlüRa_Rechtsreader_sechste-Auflage-WEB-2.pdf","x")</f>
        <v>x</v>
      </c>
      <c r="EK53" s="112" t="str">
        <f>HYPERLINK("http://fluechtlingsrat-bw.de/files/Dateien/Dokumente/Materialbestellung/2014-12-flyer%20arbeitserlaubnis%20WEB.pdf","x")</f>
        <v>x</v>
      </c>
      <c r="EL53" s="112" t="str">
        <f>HYPERLINK("http://www.aponet.de/englisch/20151019-fuer-den-notfall-wichtige-rufnummern-im-ueberblick.html","x")</f>
        <v>x</v>
      </c>
      <c r="EM53" s="112" t="str">
        <f>HYPERLINK("http://www.kvs-sachsen.de/fileadmin/img/Mitglieder/Asylbewerber/Allg-Informationen/Anlage-1_Merkblatt.pdf","x")</f>
        <v>x</v>
      </c>
      <c r="EN53" s="112" t="str">
        <f>HYPERLINK("http://www.medizin-hilft-fluechtlingen.de/images/Dokumente/gSch/gSch_deu.pdf","x")</f>
        <v>x</v>
      </c>
      <c r="EO53" s="112" t="str">
        <f>HYPERLINK("http://www.aponet.de/arabisch/20151016-medizinische-leistungen-fuer-asylbewerber.html","x")</f>
        <v>x</v>
      </c>
      <c r="EP53" s="117"/>
      <c r="EQ53" s="117" t="str">
        <f>HYPERLINK("http://www.armut-gesundheit.de/fileadmin/redakteur/dokumente/Anamnesebogen%20-%20deutschnew.pdf","x")</f>
        <v>x</v>
      </c>
      <c r="ER53" s="112" t="str">
        <f>HYPERLINK("http://www.kvs-sachsen.de/fileadmin/img/Mitglieder/Asylbewerber/Allg-Informationen/Anlage-2-1_Anamnese-Erwachsene.pdf","x")</f>
        <v>x</v>
      </c>
      <c r="ES53" s="112" t="str">
        <f>HYPERLINK("http://www.kvs-sachsen.de/fileadmin/img/Mitglieder/Asylbewerber/Allg-Informationen/Anlage-2-2_Anamnese-Kinder.pdf","x")</f>
        <v>x</v>
      </c>
      <c r="ET53" s="112" t="str">
        <f>HYPERLINK("http://www.pharmazeutische-zeitung.de/fileadmin/pdf/Fragebogen_PZ_43_2015.pdf","x")</f>
        <v>x</v>
      </c>
      <c r="EU53" s="112" t="str">
        <f>HYPERLINK("http://www.medizin-hilft-fluechtlingen.de/images/Dokumente/ein/ein_deu.pdf","x")</f>
        <v>x</v>
      </c>
      <c r="EV53" s="112" t="str">
        <f>HYPERLINK("http://www.adler-apotheke-hh.de/fileadmin/user_upload/PDF-Dateien/Dosierzettel_mehrsprachig_AUF_0_.pdf","x")</f>
        <v>x</v>
      </c>
      <c r="EW53" s="112" t="str">
        <f t="shared" si="14"/>
        <v>x</v>
      </c>
      <c r="EX53" s="112" t="str">
        <f>HYPERLINK("http://www.rki.de/DE/Content/Infekt/IfSG/Belehrungsbogen/belehrungsbogen_eltern_deutsch.pdf?__blob=publicationFile","x")</f>
        <v>x</v>
      </c>
      <c r="EY53" s="112" t="str">
        <f>HYPERLINK("http://www.bzga.de/infomaterialien/?sid=236","x")</f>
        <v>x</v>
      </c>
      <c r="EZ53" s="112" t="str">
        <f>HYPERLINK("https://www.mh-hannover.de/fileadmin/mhh/bilder/aktuelles_presse/pressestelle/bilder/Pilzvergift_deutsch.pdf","x")</f>
        <v>x</v>
      </c>
      <c r="FA53" s="112" t="str">
        <f>HYPERLINK("http://www.vzhh.de/vzhh/412685/fluechtlinge-informationen-zur-gesundheitsversorgung.aspx","x")</f>
        <v>x</v>
      </c>
      <c r="FB53" s="112" t="str">
        <f>HYPERLINK("http://static.apotheken-umschau.de/media/gp/article_506373/bildwoerterbuch.pdf","x")</f>
        <v>x</v>
      </c>
      <c r="FC53" s="112" t="str">
        <f>HYPERLINK("https://www.studentenwerke.de/sites/default/files/gesundheitswoerterbuch.pdf","x")</f>
        <v>x</v>
      </c>
      <c r="FD53" s="112" t="str">
        <f t="shared" si="15"/>
        <v>x</v>
      </c>
      <c r="FE53" s="112" t="str">
        <f>HYPERLINK("http://sghanstedt.elbnetz.com/ueber-uns/","x")</f>
        <v>x</v>
      </c>
      <c r="FF53" s="112" t="str">
        <f>HYPERLINK("http://www.fuhlenhagen.com/pdf_dateien/uebertzungshilfe_aerzte_mehrsprachig.pdf","x")</f>
        <v>x</v>
      </c>
      <c r="FG53" s="112" t="str">
        <f>HYPERLINK("http://www.tipdoc.de/grafik/asyl/Gesundheitsheft_Asyl.pdf","x")</f>
        <v>x</v>
      </c>
      <c r="FH53" s="112" t="str">
        <f>HYPERLINK("http://www.stadt-koeln.de/mediaasset/content/pdf53/gesundheitswegweiser_migranten.pdf","x")</f>
        <v>x</v>
      </c>
      <c r="FI53" s="112" t="str">
        <f>HYPERLINK("http://www.hamburg.de/contentblob/116906/data/fremdsprachige-gesundheitsinfos.pdf","x")</f>
        <v>x</v>
      </c>
      <c r="FJ53" s="112" t="str">
        <f>HYPERLINK("http://www.bundesgesundheitsministerium.de/fileadmin/dateien/Publikationen/Gesundheit/Broschueren/Ratgeber_Asylsuchende/Ratgeber_Asylsuchende_dt.pdf","x")</f>
        <v>x</v>
      </c>
      <c r="FK53" s="112" t="str">
        <f>HYPERLINK("http://www.rki.de/DE/Content/Infekt/Impfen/Materialien/Downloads-Impfkalender/Impfkalender_Deutsch.pdf?__blob=publicationFile","x")</f>
        <v>x</v>
      </c>
      <c r="FL53" s="112" t="str">
        <f>HYPERLINK("http://www.ethno-medizinisches-zentrum.de/images/PDF-Files/impfwegweiser_deutsch_2013_online.pdf","x")</f>
        <v>x</v>
      </c>
      <c r="FM53" s="112" t="str">
        <f>HYPERLINK("http://www.lak-rlp.de/fileadmin/redakteure/pdf/download/Impfpass_vorlaeufiger.pdf","x")</f>
        <v>x</v>
      </c>
      <c r="FN53" s="112" t="str">
        <f>HYPERLINK("http://www.rki.de/DE/Content/Infekt/Impfen/Materialien/Glossar-Downloads/glossar-de-englisch.pdf?__blob=publicationFile","x")</f>
        <v>x</v>
      </c>
      <c r="FO53" s="112" t="str">
        <f>HYPERLINK("http://www.euro.who.int/__data/assets/pdf_file/0013/162301/VPD-Signs,-symptoms-and-complications-GER.pdf","x")</f>
        <v>x</v>
      </c>
      <c r="FP53" s="112" t="str">
        <f>HYPERLINK("http://www.rki.de/DE/Content/Infekt/Impfen/Materialien/Downloads-MMR/muster-mmr_de.pdf?__blob=publicationFile","x")</f>
        <v>x</v>
      </c>
      <c r="FQ53" s="112" t="str">
        <f>HYPERLINK("http://www.rki.de/DE/Content/InfAZ/P/Polio/Ausbruch_Syrien/Informationsblatt_Polio_Deutsch.pdf?__blob=publicationFile","x")</f>
        <v>x</v>
      </c>
      <c r="FR53" s="112" t="str">
        <f>HYPERLINK("http://www.rki.de/DE/Content/Infekt/Impfen/Materialien/Downloads_HepA/Mustervorlage_HAV_de.pdf?__blob=publicationFile","x")</f>
        <v>x</v>
      </c>
      <c r="FS53" s="112" t="str">
        <f>HYPERLINK("http://www.rki.de/DE/Content/Infekt/Impfen/Materialien/Downloads_Pneumokokken/Mustervorlage_Pneumo_de.pdf?__blob=publicationFile","x")</f>
        <v>x</v>
      </c>
      <c r="FT53" s="112" t="str">
        <f>HYPERLINK("http://www.rki.de/DE/Content/Infekt/Impfen/Materialien/Downloads-DTaPIPVHibHepB/muster-DTaPIPVHibHepB_de.pdf?__blob=publicationFile","x")</f>
        <v>x</v>
      </c>
      <c r="FU53" s="112" t="str">
        <f>HYPERLINK("http://www.rki.de/DE/Content/Infekt/Impfen/Materialien/Downloads-Varizellen/muster-varizellen_de.pdf;jsessionid=65B697F4EE7EDA8A1ED9E2C4CD6C74EC.2_cid363?__blob=publicationFile","x")</f>
        <v>x</v>
      </c>
      <c r="FV53" s="112" t="str">
        <f>HYPERLINK("http://www.rki.de/DE/Content/Infekt/Impfen/Materialien/Downloads-Tdap-IPV/muster-Tdap-IPV_de.pdf?__blob=publicationFile","x")</f>
        <v>x</v>
      </c>
      <c r="FW53" s="112" t="str">
        <f>HYPERLINK("http://www.rki.de/DE/Content/Infekt/Impfen/Materialien/Downloads-Influenza_nasal/muster-influenza_nasal_de.pdf?__blob=publicationFile","x")</f>
        <v>x</v>
      </c>
      <c r="FX53" s="112" t="str">
        <f>HYPERLINK("http://www.medical-tribune.de/fileadmin/PDF/Arthrose.pdf","x")</f>
        <v>x</v>
      </c>
      <c r="FY53" s="112" t="str">
        <f>HYPERLINK("http://www.medical-tribune.de/fileadmin/PDF/Asthma.pdf","x")</f>
        <v>x</v>
      </c>
      <c r="FZ53" s="112" t="str">
        <f>HYPERLINK("http://www.medical-tribune.de/fileadmin/PDF/Bluthochdruck_deutsch.pdf","x")</f>
        <v>x</v>
      </c>
      <c r="GA53" s="112" t="str">
        <f>HYPERLINK("http://www.medical-tribune.de/fileadmin/PDF/Cholesterin.pdf","x")</f>
        <v>x</v>
      </c>
      <c r="GB53" s="112" t="str">
        <f>HYPERLINK("http://www.medical-tribune.de/fileadmin/PDF/COPD.pdf","x")</f>
        <v>x</v>
      </c>
      <c r="GC53" s="112" t="str">
        <f>HYPERLINK("http://www.medical-tribune.de/fileadmin/PDF/Demenz_PDF.pdf","x")</f>
        <v>x</v>
      </c>
      <c r="GD53" s="112" t="str">
        <f>HYPERLINK("http://www.ethno-medizinisches-zentrum.de/images/PDF-Files/lf_diabete_deutsch.pdf","x")</f>
        <v>x</v>
      </c>
      <c r="GE53" s="112" t="str">
        <f>HYPERLINK("http://www.medical-tribune.de/fileadmin/PDF/Divertikel_deutsch.pdf","x")</f>
        <v>x</v>
      </c>
      <c r="GF53" s="112" t="str">
        <f>HYPERLINK("http://www.medical-tribune.de/fileadmin/PDF/Durchblutungsstoerungen.pdf","x")</f>
        <v>x</v>
      </c>
      <c r="GG53" s="112" t="str">
        <f>HYPERLINK("http://www.medical-tribune.de/fileadmin/PDF/Gallensteine.pdf","x")</f>
        <v>x</v>
      </c>
      <c r="GH53" s="112" t="str">
        <f>HYPERLINK("http://www.medical-tribune.de/fileadmin/PDF/Gicht.pdf","x")</f>
        <v>x</v>
      </c>
      <c r="GI53" s="112" t="str">
        <f>HYPERLINK("http://www.tipdoc.de/bus/pdf/hepatitis/Hep_B_Webseite.pdf","x")</f>
        <v>x</v>
      </c>
      <c r="GJ53" s="112" t="str">
        <f>HYPERLINK("http://www.tipdoc.de/bus/pdf/hepatitis/Hep_C_Webseite.pdf","x")</f>
        <v>x</v>
      </c>
      <c r="GK53" s="112" t="str">
        <f>HYPERLINK("http://www.tipdoc.de/bus/pdf/hiv/HIV%20ESP_Webseite.pdf","x")</f>
        <v>x</v>
      </c>
      <c r="GL53" s="112" t="str">
        <f>HYPERLINK("http://www.bzga.de/infomaterialien/?sid=-1&amp;ab=10","x")</f>
        <v>x</v>
      </c>
      <c r="GM53" s="112" t="str">
        <f>HYPERLINK("http://www.rki.de/DE/Content/Infekt/Impfen/Materialien/Downloads-Influenza/muster-influenza_de.pdf?__blob=publicationFile","x")</f>
        <v>x</v>
      </c>
      <c r="GN53" s="112" t="str">
        <f>HYPERLINK("http://www.medical-tribune.de/fileadmin/PDF/erkaeltung.pdf","x")</f>
        <v>x</v>
      </c>
      <c r="GO53" s="112" t="str">
        <f>HYPERLINK("http://www.aponet.de/englisch/20151111-so-unterscheiden-sich-grippe-und-erkaeltung.html","x")</f>
        <v>x</v>
      </c>
      <c r="GP53" s="111"/>
      <c r="GQ53" s="112" t="str">
        <f>HYPERLINK("http://www.medical-tribune.de/fileadmin/Agenturbilder/KHKpdf.pdf","x")</f>
        <v>x</v>
      </c>
      <c r="GR53" s="112" t="str">
        <f>HYPERLINK("http://www.tipdoc.com/bus/pdf/kraetze/tipdoc_Scabies_DEU.pdf","x")</f>
        <v>x</v>
      </c>
      <c r="GS53" s="112" t="str">
        <f>HYPERLINK("http://www.tipdoc.com/bus/pdf/MagenDarmHaende/MagenDarmHaende_DEU.pdf","x")</f>
        <v>x</v>
      </c>
      <c r="GT53" s="112" t="str">
        <f>HYPERLINK("http://www.medical-tribune.de/fileadmin/PDF/Migraene.pdf","x")</f>
        <v>x</v>
      </c>
      <c r="GU53" s="112" t="str">
        <f>HYPERLINK("http://www.medical-tribune.de/fileadmin/PDF/Rueckenschmerzen.pdf","x")</f>
        <v>x</v>
      </c>
      <c r="GV53" s="112" t="str">
        <f>HYPERLINK("http://www.medical-tribune.de/fileadmin/PDF/Schlafapnoe.pdf","x")</f>
        <v>x</v>
      </c>
      <c r="GW53" s="112" t="str">
        <f>HYPERLINK("http://www.medical-tribune.de/fileadmin/PDF/Schlafstoerungen.pdf","x")</f>
        <v>x</v>
      </c>
      <c r="GX53" s="112" t="str">
        <f>HYPERLINK("http://www.medical-tribune.de/fileadmin/PDF/Schwindel.pdf","x")</f>
        <v>x</v>
      </c>
      <c r="GY53" s="112" t="str">
        <f>HYPERLINK("http://www.medical-tribune.de/fileadmin/PDF/Sodbrennen.pdf","x")</f>
        <v>x</v>
      </c>
      <c r="GZ53" s="112" t="str">
        <f>HYPERLINK("http://www.medical-tribune.de/fileadmin/PDF/SportverletzungenPDF.pdf","x")</f>
        <v>x</v>
      </c>
      <c r="HA53" s="112" t="str">
        <f>HYPERLINK("http://www.medical-tribune.de/fileadmin/PDF/Thrombose.pdf","x")</f>
        <v>x</v>
      </c>
      <c r="HB53" s="112" t="str">
        <f>HYPERLINK("http://www.medical-tribune.de/fileadmin/PDF/Obstipation.pdf","x")</f>
        <v>x</v>
      </c>
      <c r="HC53" s="112" t="str">
        <f t="shared" si="16"/>
        <v>x</v>
      </c>
      <c r="HD53" s="112" t="str">
        <f>HYPERLINK("https://www.zahnaerzte-wl.de/images/_PDF-suche/KZV_ZÄK/ENDSTAND_Ankreuzbogen_Ich_verstehe.pdf","x")</f>
        <v>x</v>
      </c>
      <c r="HE53" s="112" t="str">
        <f>HYPERLINK("https://www.zahnaerzte-wl.de/images/_PDF-suche/KZV_ZÄK/Anschreiben_Patienten_Deutsch.pdf","x")</f>
        <v>x</v>
      </c>
      <c r="HF53" s="112" t="str">
        <f>HYPERLINK("https://www.zahnaerzte-wl.de/images/_PDF-suche/KZV_ZÄK/Fragebogen_Deutsch.pdf","x")</f>
        <v>x</v>
      </c>
      <c r="HG53" s="112" t="str">
        <f>HYPERLINK("https://www.zahnaerzte-wl.de/images/_PDF-suche/KZV_ZÄK/Patientenerhebungsbogen_Deutsch.pdf","x")</f>
        <v>x</v>
      </c>
      <c r="HH53" s="112" t="str">
        <f>HYPERLINK("https://www.familienratgeber.de/selbstbestimmt_leben/fluechtlinge_behinderung.php","x")</f>
        <v>x</v>
      </c>
      <c r="HI53" s="112" t="str">
        <f>HYPERLINK("http://www.bvkm.de/fileadmin/web_data/Behinderung_und_Migration_deutsch_2014.pdf","x")</f>
        <v>x</v>
      </c>
      <c r="HJ53" s="112" t="str">
        <f>HYPERLINK("http://www.ibbc-berlin.de/media/bvkm_Bro_de-tuerk_Berlin_web%20Endversion.pdf","x")</f>
        <v>x</v>
      </c>
      <c r="HK53" s="112" t="str">
        <f>HYPERLINK("http://www.psychenet.de/psychische-gesundheit/informationen/depression.html","x")</f>
        <v>x</v>
      </c>
      <c r="HL53" s="112" t="str">
        <f>HYPERLINK("http://www.ethno-medizinisches-zentrum.de/images/PDF-Files/lf_depression_d.pdf","x")</f>
        <v>x</v>
      </c>
      <c r="HM53" s="112" t="str">
        <f>HYPERLINK("http://www.psychenet.de/psychische-gesundheit/informationen/psychosen.html","x")</f>
        <v>x</v>
      </c>
      <c r="HN53" s="112" t="str">
        <f>HYPERLINK("http://www.psychenet.de/psychische-gesundheit/informationen/somatoforme-stoerungen.html","x")</f>
        <v>x</v>
      </c>
      <c r="HO53" s="112" t="str">
        <f>HYPERLINK("http://www.psychenet.de/psychische-gesundheit/informationen/magersucht.html","x")</f>
        <v>x</v>
      </c>
      <c r="HP53" s="112" t="str">
        <f>HYPERLINK("http://www.psychenet.de/psychische-gesundheit/informationen/bulimie.html","x")</f>
        <v>x</v>
      </c>
      <c r="HQ53" s="112" t="str">
        <f>HYPERLINK("http://www.psychenet.de/psychische-gesundheit/informationen/bipolare-stoerungen.html","x")</f>
        <v>x</v>
      </c>
      <c r="HR53" s="112" t="str">
        <f>HYPERLINK("http://www.psychenet.de/psychische-gesundheit/informationen/panik-und-agoraphobie.html","x")</f>
        <v>x</v>
      </c>
      <c r="HS53" s="112" t="str">
        <f>HYPERLINK("http://www.psychenet.de/psychische-gesundheit/informationen/soziale-phobie.html","x")</f>
        <v>x</v>
      </c>
      <c r="HT53" s="112" t="str">
        <f>HYPERLINK("http://www.psychenet.de/psychische-gesundheit/informationen/generalisierte-angststoerung.html","x")</f>
        <v>x</v>
      </c>
      <c r="HU53" s="112" t="str">
        <f>HYPERLINK("http://www.psychenet.de/psychische-gesundheit/informationen/burnout.html","x")</f>
        <v>x</v>
      </c>
      <c r="HV53" s="112" t="str">
        <f>HYPERLINK("http://www.psychenet.de/psychische-gesundheit/informationen/information-und-unterstuetzung.html","x")</f>
        <v>x</v>
      </c>
      <c r="HW53" s="112" t="str">
        <f>HYPERLINK("http://www.medical-tribune.de/fileadmin/PDF/MT_Patienteninfo_Restlesslegs.pdf","x")</f>
        <v>x</v>
      </c>
      <c r="HX53" s="112" t="str">
        <f>HYPERLINK("http://www.bkk-psychisch-gesund.de/fileadmin/user_upload/Dokumente/Versicherte/Broschueren/Wegweiser_Psychotherapie_deutsch.pdf","x")</f>
        <v>x</v>
      </c>
      <c r="HY53" s="112" t="str">
        <f t="shared" si="17"/>
        <v>x</v>
      </c>
      <c r="HZ53" s="112" t="str">
        <f t="shared" si="18"/>
        <v>x</v>
      </c>
      <c r="IA53" s="112"/>
      <c r="IB53" s="112" t="str">
        <f>HYPERLINK("http://www.frnrw.de/index.php/inhaltliche-themen/krankheit-traumatisierung/item/2059-traumatisierung-bei-flüchtlingen","x")</f>
        <v>x</v>
      </c>
      <c r="IC53" s="112" t="str">
        <f>HYPERLINK("http://www.susannestein.de/VIA-online/traumabilderbuch.html","x")</f>
        <v>x</v>
      </c>
      <c r="ID53" s="112" t="str">
        <f>HYPERLINK("http://www.susannestein.de/VIA-online/trauma-bilderbuch.pdf","x")</f>
        <v>x</v>
      </c>
      <c r="IE53" s="112" t="str">
        <f>HYPERLINK("http://www.psychenet.de/psychische-gesundheit/informationen/alkohol-im-jugendalter.html#c1033","x")</f>
        <v>x</v>
      </c>
      <c r="IF53" s="112" t="str">
        <f>HYPERLINK("http://www.stadt-koeln.de/mediaasset/content/pdf53/1-5.pdf","x")</f>
        <v>x</v>
      </c>
      <c r="IG53" s="112" t="str">
        <f>HYPERLINK("http://www.jameda.de/krankheiten-lexikon/suchterkrankungen/","x")</f>
        <v>x</v>
      </c>
      <c r="IH53" s="112" t="str">
        <f>HYPERLINK("http://www.ethno-medizinisches-zentrum.de/images/PDF-Files/lf__mediensucht_d_geschutzt.pdf","x")</f>
        <v>x</v>
      </c>
      <c r="II53" s="112" t="str">
        <f>HYPERLINK("http://www.caritas.de/hilfeundberatung/onlineberatung/suchtberatung/haeufiggestelltefragensucht/haeufiggestelltefragen-sucht","x")</f>
        <v>x</v>
      </c>
      <c r="IJ53" s="112" t="str">
        <f>HYPERLINK("http://www.bzga.de/infomaterialien/suchtvorbeugung/","x")</f>
        <v>x</v>
      </c>
      <c r="IK53" s="112" t="str">
        <f>HYPERLINK("http://www.bamf.de/SharedDocs/Anlagen/DE/Publikationen/Flyer/Lassen-Sie-Sich-Beraten/lassen-sie-sich-beraten.pdf?__blob=publicationFile","x")</f>
        <v>x</v>
      </c>
      <c r="IL53" s="115" t="str">
        <f>HYPERLINK("http://www.bamf.de/SharedDocs/Anlagen/DE/Publikationen/Flyer/flyer-erstorientierung-asylsuchende.pdf?__blob=publicationFile","x")</f>
        <v>x</v>
      </c>
      <c r="IM53" s="112" t="str">
        <f>HYPERLINK("http://www.frnrw.de/index.php/inhaltliche-themen/arbeitshilfen/item/3710-erstinfos-fuer-asylsuchende","x")</f>
        <v>x</v>
      </c>
      <c r="IN53" s="112" t="str">
        <f>HYPERLINK("https://www.bamf.de/SharedDocs/Anlagen/DE/Publikationen/Broschueren/willkommen-in-deutschland.pdf?__blob=publicationFile","x")</f>
        <v>x</v>
      </c>
      <c r="IO53" s="112" t="str">
        <f>HYPERLINK("https://land.nrw/sites/default/files/asset/document/mfa062915_broschure_ankommen_in_nrw_rz_web_0.pdf","x")</f>
        <v>x</v>
      </c>
      <c r="IP53" s="112" t="str">
        <f>HYPERLINK("http://www.frnrw.de/images/Netzheft.pdf","x")</f>
        <v>x</v>
      </c>
      <c r="IQ53" s="112" t="str">
        <f>HYPERLINK("http://www.bamf.de/SharedDocs/Anlagen/DE/Publikationen/Flyer/Lernen-Sie-Deutsch/lernen-sie-deutsch.pdf?__blob=publicationFile","x")</f>
        <v>x</v>
      </c>
      <c r="IR53" s="112" t="str">
        <f>HYPERLINK("http://www.asyl.net/fileadmin/user_upload/redaktion/Dokumente/Arbeitshilfen/150910_Wie_l%C3%A4uft_ein_Asylverfahren_ab_%C3%9Cberblickstext_Deutsch.pdf","x")</f>
        <v>x</v>
      </c>
      <c r="IS53" s="112" t="str">
        <f>HYPERLINK("http://www.bamf.de/SharedDocs/Anlagen/DE/Publikationen/Broschueren/das-deutsche-asylverfahren.pdf?__blob=publicationFile","x")</f>
        <v>x</v>
      </c>
      <c r="IT53" s="112" t="str">
        <f>HYPERLINK("http://www.bamf.de/SharedDocs/Anlagen/DE/Publikationen/Flyer/ablauf-asylverfahren.pdf;jsessionid=DBD4307960D761935FCC3E0325D459A1.1_cid294?__blob=publicationFile","x")</f>
        <v>x</v>
      </c>
      <c r="IU53" s="112" t="str">
        <f>HYPERLINK("http://efi-landsberg.de/asyl/wp-content/uploads/2014/04/Asyl-Information-4-Grundlagen-des-Asylverfahrens.pdf","x")</f>
        <v>x</v>
      </c>
      <c r="IV53" s="112" t="str">
        <f>HYPERLINK("http://www.asyl.net/fileadmin/user_upload/infoblatt_anhoerung/Infoblatt_Asyl_dt_2015fin.pdf","x")</f>
        <v>x</v>
      </c>
      <c r="IW53" s="112" t="str">
        <f>HYPERLINK("http://efi-landsberg.de/asyl/wp-content/uploads/2014/04/Merkblatt-Asylbewerber-Fluechtlinge.pdf","x")</f>
        <v>x</v>
      </c>
      <c r="IX53" s="112" t="str">
        <f>HYPERLINK("http://www.berlin.de/labo/willkommen-in-berlin/service/downloads/artikel.273193.php","x")</f>
        <v>x</v>
      </c>
      <c r="IY53" s="112" t="str">
        <f>HYPERLINK("http://www.bamf.de/SharedDocs/Anlagen/DE/Publikationen/Broschueren/broschuere-eat-a4.pdf?__blob=publicationFile","x")</f>
        <v>x</v>
      </c>
      <c r="IZ53" s="112" t="str">
        <f>HYPERLINK("http://spandau-hilft-gerne.de/index.php/download.php","x")</f>
        <v>x</v>
      </c>
      <c r="JA53" s="112"/>
      <c r="JB53" s="112" t="str">
        <f>HYPERLINK("http://fluechtlingsrat-bw.de/files/Dateien/Dokumente/Materialbestellung/2014-12-flyer-aufenthaltsgestattung%20WEB.pdf","x")</f>
        <v>x</v>
      </c>
      <c r="JC53" s="112" t="str">
        <f>HYPERLINK("http://www.bamf.de/SharedDocs/Anlagen/DE/Publikationen/Flyer/20140110_ura2-kinderprojekt_de.pdf?__blob=publicationFile","x")</f>
        <v>x</v>
      </c>
      <c r="JD53" s="112" t="str">
        <f>HYPERLINK("http://fluechtlingsrat-bw.de/files/Dateien/Dokumente/Materialbestellung/2014-12-flyer-duldung%20WEB.pdf","x")</f>
        <v>x</v>
      </c>
      <c r="JE53" s="112" t="str">
        <f>HYPERLINK("http://www.bmi.bund.de/SharedDocs/Downloads/DE/Themen/MigrationIntegration/wege-zur-einbuergerung.pdf;jsessionid=811BF77719B5A2A48F53AF49191FA761.2_cid295?__blob=publicationFile","x")</f>
        <v>x</v>
      </c>
      <c r="JF53" s="112" t="str">
        <f>HYPERLINK("http://oet.bamf.de/pls/oetut/f?p=512:2:0::NO:::","x")</f>
        <v>x</v>
      </c>
      <c r="JG53" s="112" t="str">
        <f>HYPERLINK("http://www.bamf.de/SharedDocs/Anlagen/DE/Publikationen/Flyer/Ehegattennachzug/ehegattennachzug.pdf?__blob=publicationFile","x")</f>
        <v>x</v>
      </c>
      <c r="JH53" s="112" t="str">
        <f>HYPERLINK("https://familyreunion-syria.diplo.de/webportal/index.html#start","x")</f>
        <v>x</v>
      </c>
      <c r="JI53" s="111"/>
      <c r="JJ53" s="112" t="str">
        <f>HYPERLINK("http://www.gesetze-im-internet.de/asylblg/BJNR107410993.html","x")</f>
        <v>x</v>
      </c>
      <c r="JK53" s="112" t="str">
        <f>HYPERLINK("https://www.arbeitsagentur.de/web/wcm/idc/groups/public/documents/webdatei/mdaw/mjgz/~edisp/l6019022dstbai784627.pdf?_ba.sid=L6019022DSTBAI784624","x")</f>
        <v>x</v>
      </c>
      <c r="JL53" s="112"/>
      <c r="JM53" s="112"/>
      <c r="JN53" s="112" t="str">
        <f>HYPERLINK("http://efi-landsberg.de/asyl/wp-content/uploads/2014/04/Flyer-Bildungspaket.pdf","x")</f>
        <v>x</v>
      </c>
      <c r="JO53" s="112" t="str">
        <f>HYPERLINK("http://efi-landsberg.de/asyl/wp-content/uploads/2014/04/Antrag-Leistungen-Bildung-u-Teilhabe.pdf","x")</f>
        <v>x</v>
      </c>
      <c r="JP53" s="112" t="str">
        <f>HYPERLINK("http://efi-landsberg.de/asyl/wp-content/uploads/2014/04/Antrag-Leistungen-Bildung-u-Teilhabe-Anlage-Lernförderbedarf.pdf","x")</f>
        <v>x</v>
      </c>
      <c r="JQ53" s="112" t="str">
        <f>HYPERLINK("http://efi-landsberg.de/asyl/wp-content/uploads/2014/04/Antrag-auf-Beratungshilfe.pdf","x")</f>
        <v>x</v>
      </c>
      <c r="JR53" s="112" t="str">
        <f>HYPERLINK("http://www.ibla-germany.de/merkblaetter.php","x")</f>
        <v>x</v>
      </c>
      <c r="JS53" s="112" t="str">
        <f>HYPERLINK("http://www.ag-fluechtlingshilfe-wetterau.de/uploads/infos/107.pdf","x")</f>
        <v>x</v>
      </c>
      <c r="JT53" s="112" t="str">
        <f>HYPERLINK("http://www.b-umf.de/images/willkommen/willkommendeutsch-web.pdf","x")</f>
        <v>x</v>
      </c>
      <c r="JU53" s="112" t="str">
        <f>HYPERLINK("http://www.bildungsserver.de/Junge-unbegleitete-Fluechtlinge-11429.html","x")</f>
        <v>x</v>
      </c>
      <c r="JV53" s="112" t="str">
        <f>HYPERLINK("http://bleibinbw.de/tl_files/dokumente/OEFFENTLICHE%20Dokumente/NEWS%20Materialien/2012-04-flyer-bleiberecht-jugendliche-WEB.pdf","x")</f>
        <v>x</v>
      </c>
      <c r="JW53" s="112" t="str">
        <f>HYPERLINK("http://www.fluechtlingsrat-thr.de/sites/fluechtlingsrat/files/pdf/umF/B-umF_Arbeitshilfe_Ablauf-Vorl.-Inobhutnahme.pdf","x")</f>
        <v>x</v>
      </c>
      <c r="JX53" s="112" t="str">
        <f>HYPERLINK("https://www.arbeitsagentur.de/web/wcm/idc/groups/public/documents/webdatei/mdaw/mjgz/~edisp/l6019022dstbai784635.pdf?_ba.sid=L6019022DSTBAI784632","x")</f>
        <v>x</v>
      </c>
      <c r="JY53" s="112"/>
      <c r="JZ53" s="112"/>
      <c r="KA53" s="112" t="str">
        <f>HYPERLINK("http://www.kas.de/wf/de/33.43117/","x")</f>
        <v>x</v>
      </c>
      <c r="KB53" s="112" t="str">
        <f>HYPERLINK("http://www.refugeeguide.de/dl/RefugeeGuide_de_925.pdf","x")</f>
        <v>x</v>
      </c>
      <c r="KC53" s="112" t="str">
        <f>HYPERLINK("https://www.btg-bestellservice.de/pdf/10060000.pdf","x")</f>
        <v>x</v>
      </c>
      <c r="KD53" s="112" t="str">
        <f>HYPERLINK("http://www.wedel.de/fileadmin/user_upload/media/pdf/Rathaus_und_Politik/20160118_PM_Broschuere.pdf","x")</f>
        <v>x</v>
      </c>
      <c r="KE53" s="112" t="str">
        <f>HYPERLINK("http://www.frauenrechte.de/online/images/downloads/allgemein/TDF_Flyer_Women_Men.pdf","x")</f>
        <v>x</v>
      </c>
      <c r="KF53" s="112" t="str">
        <f>HYPERLINK("http://sab.landtag.sachsen.de/dokumente/landtagskurier/Grundwerte-A5-international_web_08012016.pdf","x")</f>
        <v>x</v>
      </c>
      <c r="KG53" s="112" t="str">
        <f>HYPERLINK("https://de.wikipedia.org/wiki/Politisches_System_der_Bundesrepublik_Deutschland","x")</f>
        <v>x</v>
      </c>
      <c r="KH53" s="112" t="str">
        <f>HYPERLINK("http://www.bpb.de/shop/lernen/Spicker-Politik/192702/das-grundgesetz-gg","x")</f>
        <v>x</v>
      </c>
      <c r="KI53" s="112" t="str">
        <f>HYPERLINK("http://wiki.schoolix.org/Die_Bundestagswahl","x")</f>
        <v>x</v>
      </c>
      <c r="KJ53" s="112" t="str">
        <f>HYPERLINK("http://lewebpedagogique.com/deutschlernen/files/2009/04/politik.jpg","x")</f>
        <v>x</v>
      </c>
      <c r="KK53" s="112" t="str">
        <f>HYPERLINK("https://www.bpb.de/system/files/pdf/ACJD7O.pdf","x")</f>
        <v>x</v>
      </c>
      <c r="KL53" s="112" t="str">
        <f>HYPERLINK("http://www.bing.com/search?q=Themenbl%C3%A4tter+im+UNterricht+Nr.+78&amp;qs=n&amp;form=QBRE&amp;pq=themenbl%C3%A4tter+im+unterricht+nr.+78&amp;sc=0-28&amp;sp=-1&amp;sk=&amp;cvid=2452B36FE81A49D4B78DCF13E9A9CFF5","x")</f>
        <v>x</v>
      </c>
      <c r="KM53" s="112" t="str">
        <f>HYPERLINK("http://www.bpb.de/shop/lernen/thema-im-unterricht/36917/politik-fuer-einsteiger","x")</f>
        <v>x</v>
      </c>
      <c r="KN53" s="112" t="str">
        <f>HYPERLINK("http://www.bing.com/search?q=Politik+f%C3%BCr+Einsteiger+L%C3%96sungen&amp;qs=n&amp;form=QBRE&amp;pq=politik+f%C3%BCr+einsteiger+l%C3%B6sungen&amp;sc=1-31&amp;sp=-1&amp;sk=&amp;cvid=9756181396B54723AD0869534FE3E5BB","x")</f>
        <v>x</v>
      </c>
      <c r="KO53" s="112" t="str">
        <f>HYPERLINK("http://www.bpb.de/shop/lernen/Spicker-Politik/156835/bundestagswahl-2013-kurzgefasst","x")</f>
        <v>x</v>
      </c>
      <c r="KP53" s="112" t="str">
        <f>HYPERLINK("http://www.bpb.de/shop/lernen/Spicker-Politik/165940/wie-aus-stimmen-sitze-werden","x")</f>
        <v>x</v>
      </c>
      <c r="KQ53" s="112" t="str">
        <f>HYPERLINK("http://www.bpb.de/shop/lernen/Spicker-Politik/209909/die-bundesregierung","x")</f>
        <v>x</v>
      </c>
      <c r="KR53" s="112" t="str">
        <f>HYPERLINK("http://www.bpb.de/shop/lernen/Spicker-Politik/209906/der-bundespraesident","x")</f>
        <v>x</v>
      </c>
      <c r="KS53" s="112" t="str">
        <f>HYPERLINK("http://www.bpb.de/shop/lernen/Spicker-Politik/34384/der-deutsche-bundestag","x")</f>
        <v>x</v>
      </c>
      <c r="KT53" s="112" t="str">
        <f>HYPERLINK("http://www.bpb.de/shop/lernen/Spicker-Politik/193030/parlamentarische-besonderheiten","x")</f>
        <v>x</v>
      </c>
      <c r="KU53" s="112" t="str">
        <f>HYPERLINK("http://www.bpb.de/shop/lernen/Spicker-Politik/34374/gesetzgebung","x")</f>
        <v>x</v>
      </c>
      <c r="KV53" s="112" t="str">
        <f>HYPERLINK("http://www.bpb.de/shop/lernen/Spicker-Politik/156828/7-aktuelle-fragen-an-die-politik","x")</f>
        <v>x</v>
      </c>
      <c r="KW53" s="112" t="str">
        <f>HYPERLINK("http://www.bpb.de/shop/lernen/Spicker-Politik/217681/flucht-und-asyl-2015","x")</f>
        <v>x</v>
      </c>
      <c r="KX53" s="112" t="str">
        <f>HYPERLINK("http://www.bpb.de/shop/lernen/Spicker-Politik/34369/mauerbau-13-august-1961","x")</f>
        <v>x</v>
      </c>
      <c r="KY53" s="112" t="str">
        <f>HYPERLINK("http://www.bpb.de/shop/lernen/Spicker-Politik/156832/verstehen-wir-uns-richtig","x")</f>
        <v>x</v>
      </c>
      <c r="KZ53" s="112" t="str">
        <f>HYPERLINK("http://www.bpb.de/shop/lernen/Spicker-Politik/34379/europaeische-union","x")</f>
        <v>x</v>
      </c>
      <c r="LA53" s="112" t="str">
        <f>HYPERLINK("http://www.bpb.de/shop/lernen/Spicker-Politik/204727/7-vorurteile-gegen-die-europaeische-union-eu","x")</f>
        <v>x</v>
      </c>
      <c r="LB53" s="112" t="str">
        <f>HYPERLINK("http://www.cloeser.org/pub/Staatsrecht_+_Verfassungsprozessrecht/15a%20Legitimationskette%20Bundesebene.pdf","x")</f>
        <v>x</v>
      </c>
      <c r="LC53" s="112" t="str">
        <f>HYPERLINK("http://www.kvn.de/Praxis/binarywriterservlet?imgUid=4aa7053a-57a5-4051-e581-fee3b8ff6bcb&amp;uBasVariant=11111111-1111-1111-1111-111111111111","x")</f>
        <v>x</v>
      </c>
      <c r="LD53" s="112" t="str">
        <f>HYPERLINK("http://efi-landsberg.de/asyl/wp-content/uploads/2014/04/Basic-Info-Asyl.pdf","x")</f>
        <v>x</v>
      </c>
      <c r="LE53" s="112" t="str">
        <f>HYPERLINK("http://www.bamf.de/SharedDocs/Anlagen/DE/Publikationen/Flyer/informationszentrum-asyl-und-migration.pdf?__blob=publicationFile","x")</f>
        <v>x</v>
      </c>
      <c r="LF53" s="112" t="str">
        <f>HYPERLINK("http://www.asyl.net/fileadmin/user_upload/redaktion/Dokumente/Publikationen/Basisinformationen/Basisinf1.pdf","x")</f>
        <v>x</v>
      </c>
      <c r="LG53" s="112" t="str">
        <f>HYPERLINK("http://www.asyl.net/index.php?id=329","x")</f>
        <v>x</v>
      </c>
      <c r="LH53" s="112" t="str">
        <f>HYPERLINK("http://www.asyl.net/fileadmin/user_upload/redaktion/Dokumente/Publikationen/Basisinformationen/Basisinf_2_Dublin_fin.pdf","x")</f>
        <v>x</v>
      </c>
      <c r="LI53" s="112" t="str">
        <f>HYPERLINK("http://www.fluechtlingshilfe-bw.de/fileadmin/_flh/Praxistipps/Handbuch-Fluechtlingshilfe-3.Aufl-WEB-DB.pdf","x")</f>
        <v>x</v>
      </c>
      <c r="LJ53" s="112" t="str">
        <f>HYPERLINK("http://www.ag-fluechtlingshilfe-wetterau.de/uploads/infos/145.pdf","x")</f>
        <v>x</v>
      </c>
      <c r="LK53" s="112" t="str">
        <f>HYPERLINK("https://caritas.erzbistum-koeln.de/export/sites/caritas/koeln-cv/.content/.galleries/downloads/Ratgeber_Ehrenamt_Fluechtlinge.pdf","x")</f>
        <v>x</v>
      </c>
      <c r="LL53" s="112"/>
      <c r="LM53" s="112" t="str">
        <f>HYPERLINK("http://www.bagljae.de/downloads/118_handlungsempfehlungen-umf_2014.pdf","x")</f>
        <v>x</v>
      </c>
      <c r="LN53" s="112" t="str">
        <f>HYPERLINK("http://mifkjf.rlp.de/fileadmin/mifkjf/Frauen/Gewalt_gegen_Frauen/Downloads/Broschueren_Flyer/MaedchenKonflikts_PLP.pdf","x")</f>
        <v>x</v>
      </c>
      <c r="LO53" s="112" t="str">
        <f>HYPERLINK("http://www.medicamondiale.org/fileadmin/redaktion/5_Service/Mediathek/Dokumente/Deutsch/Flyer_Infoblaetter/Tipps_fuer_Fluechtlings-HelferInnen_medica-mondiale_Stand-10-2015.pdf","x")</f>
        <v>x</v>
      </c>
      <c r="LP53" s="112" t="str">
        <f>HYPERLINK("http://www.medicamondiale.org/fileadmin/redaktion/5_Service/Mediathek/Dokumente/Deutsch/Flyer_Infoblaetter/medica-mondiale_Trauma-sensibler-Ansatz_Stand_02-2015.pdf","x")</f>
        <v>x</v>
      </c>
      <c r="LQ53" s="112" t="str">
        <f>HYPERLINK("http://www.bamf.de/SharedDocs/Anlagen/DE/Publikationen/Migrationsatlas/migrationsatlas-2013-08.pdf?__blob=publicationFile","x")</f>
        <v>x</v>
      </c>
      <c r="LR53" s="112" t="str">
        <f>HYPERLINK("http://www.ag-fluechtlingshilfe-wetterau.de/uploads/infos/228.pdf","x")</f>
        <v>x</v>
      </c>
      <c r="LS53" s="112" t="str">
        <f>HYPERLINK("http://www.ag-fluechtlingshilfe-wetterau.de/uploads/infos/190.pdf","x")</f>
        <v>x</v>
      </c>
      <c r="LT53" s="112" t="str">
        <f>HYPERLINK("http://www.bamf.de/SharedDocs/Anlagen/DE/Publikationen/EMN/Nationale-Studien-WorkingPaper/emn-wp60-minderjaehrige-in-deutschland.pdf?__blob=publicationFile","x")</f>
        <v>x</v>
      </c>
      <c r="LU53" s="112" t="str">
        <f>HYPERLINK("http://www.tagesschau.de/inland/fluechtlinge-bargeld-101.html","x")</f>
        <v>x</v>
      </c>
      <c r="LV53" s="112" t="str">
        <f>HYPERLINK("http://www.zeit.de/gesellschaft/zeitgeschehen/2016-01/sexmob-koeln-kriminalitaet-strafrecht-fischer-im-recht","x")</f>
        <v>x</v>
      </c>
      <c r="LW53" s="112" t="str">
        <f>HYPERLINK("http://www.welt.de/regionales/hamburg/article151345413/Hamburg-testet-Hightech-Praxis-fuer-Fluechtlinge.html","x")</f>
        <v>x</v>
      </c>
      <c r="LX53" s="112" t="str">
        <f>HYPERLINK("http://www.ag-fluechtlingshilfe-wetterau.de/uploads/infos/245.pdf","x")</f>
        <v>x</v>
      </c>
      <c r="LY53" s="112" t="str">
        <f>HYPERLINK("http://bildkorrektur.tumblr.com/","x")</f>
        <v>x</v>
      </c>
      <c r="LZ53" s="112" t="str">
        <f>HYPERLINK("http://www.bjf.info/projekte/cinemanya","x")</f>
        <v>x</v>
      </c>
      <c r="MA53" s="112" t="str">
        <f>HYPERLINK("http://www.fluechtlinge-mtk.de/uploads/infos/51.pdf","x")</f>
        <v>x</v>
      </c>
      <c r="MB53" s="112" t="str">
        <f>HYPERLINK("http://www.ag-fluechtlingshilfe-wetterau.de/uploads/infos/51.pdf","x")</f>
        <v>x</v>
      </c>
      <c r="MC53" s="112" t="str">
        <f>HYPERLINK("http://www.rki.de/DE/Content/Infekt/IfSG/Belehrungsbogen/belehrungsbogen_schulen.pdf?__blob=publicationFile","x")</f>
        <v>x</v>
      </c>
      <c r="MD53" s="112" t="str">
        <f>HYPERLINK("http://www.rki.de/DE/Content/Infekt/IfSG/Belehrungsbogen/belehrungsbogen_lebensmittel_deutsch.pdf?__blob=publicationFile","x")</f>
        <v>x</v>
      </c>
      <c r="ME53" s="112" t="str">
        <f>HYPERLINK("http://www.rki.de/DE/Content/Gesundheitsmonitoring/Gesundheitsberichterstattung/GesundAZ/Content/A/Asylsuchende/Inhalt/Management_Ausbrueche.pdf?__blob=publicationFile","x")</f>
        <v>x</v>
      </c>
      <c r="MF53" s="112" t="str">
        <f>HYPERLINK("http://www.gdv.de/wp-content/uploads/2016/01/Information_Brandschutz_Fluechtlingsheim_-Sicherheit_mehrsprachig.pdf","x")</f>
        <v>x</v>
      </c>
      <c r="MG53" s="112" t="str">
        <f>HYPERLINK("http://www.gdv.de/wp-content/uploads/2016/01/Information_Verhalten-im-Brandfall_mehrsprachig.pdf","x")</f>
        <v>x</v>
      </c>
      <c r="MH53" s="112" t="str">
        <f>HYPERLINK("http://www.aha-region.de/fileadmin/Download/pdf/aha_Plakat_Muelltrennung_de.pdf","x")</f>
        <v>x</v>
      </c>
      <c r="MI53" s="112" t="str">
        <f>HYPERLINK("http://www.kindersicherheit.de/pdf/2012_poster_achtunggiftig_8sprachig.pdf","x")</f>
        <v>x</v>
      </c>
    </row>
    <row r="54" spans="1:347" x14ac:dyDescent="0.25">
      <c r="A54" s="102" t="s">
        <v>51</v>
      </c>
      <c r="B54" s="127" t="s">
        <v>38</v>
      </c>
      <c r="C54" s="102"/>
      <c r="D54" s="102"/>
      <c r="E54" s="102"/>
      <c r="F54" s="102"/>
      <c r="G54" s="102"/>
      <c r="H54" s="102"/>
      <c r="I54" s="102"/>
      <c r="J54" s="102"/>
      <c r="K54" s="103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2"/>
      <c r="AP54" s="112"/>
      <c r="AQ54" s="112"/>
      <c r="AR54" s="112"/>
      <c r="AS54" s="112"/>
      <c r="AT54" s="112"/>
      <c r="AU54" s="112"/>
      <c r="AV54" s="113"/>
      <c r="AW54" s="114" t="str">
        <f t="shared" si="0"/>
        <v>x</v>
      </c>
      <c r="AX54" s="114" t="str">
        <f t="shared" si="1"/>
        <v>x</v>
      </c>
      <c r="AY54" s="111"/>
      <c r="AZ54" s="111"/>
      <c r="BA54" s="112" t="str">
        <f t="shared" si="2"/>
        <v>x</v>
      </c>
      <c r="BB54" s="112" t="str">
        <f t="shared" si="3"/>
        <v>x</v>
      </c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2" t="str">
        <f t="shared" si="4"/>
        <v>x</v>
      </c>
      <c r="BT54" s="112"/>
      <c r="BU54" s="111"/>
      <c r="BV54" s="112" t="str">
        <f t="shared" si="5"/>
        <v>x</v>
      </c>
      <c r="BW54" s="112"/>
      <c r="BX54" s="112"/>
      <c r="BY54" s="112"/>
      <c r="BZ54" s="112"/>
      <c r="CA54" s="112" t="str">
        <f t="shared" si="6"/>
        <v>x</v>
      </c>
      <c r="CB54" s="112" t="str">
        <f t="shared" si="7"/>
        <v>x</v>
      </c>
      <c r="CC54" s="112" t="str">
        <f t="shared" si="8"/>
        <v>x</v>
      </c>
      <c r="CD54" s="112"/>
      <c r="CE54" s="112"/>
      <c r="CF54" s="111"/>
      <c r="CG54" s="111"/>
      <c r="CH54" s="111"/>
      <c r="CI54" s="111"/>
      <c r="CJ54" s="111"/>
      <c r="CK54" s="112" t="str">
        <f t="shared" si="9"/>
        <v>x</v>
      </c>
      <c r="CL54" s="112"/>
      <c r="CM54" s="112"/>
      <c r="CN54" s="112"/>
      <c r="CO54" s="112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2"/>
      <c r="DA54" s="112" t="str">
        <f>HYPERLINK("http://sichere-orte-schaffen.de/wp-content/uploads/Minibrosch_Fluechtlinge_multilang.pdf","x")</f>
        <v>x</v>
      </c>
      <c r="DB54" s="112"/>
      <c r="DC54" s="115"/>
      <c r="DD54" s="112"/>
      <c r="DE54" s="112"/>
      <c r="DF54" s="112" t="str">
        <f t="shared" si="10"/>
        <v>x</v>
      </c>
      <c r="DG54" s="115" t="str">
        <f t="shared" si="11"/>
        <v>x</v>
      </c>
      <c r="DH54" s="112" t="str">
        <f t="shared" si="12"/>
        <v>x</v>
      </c>
      <c r="DI54" s="112" t="str">
        <f t="shared" si="13"/>
        <v>x</v>
      </c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2"/>
      <c r="DV54" s="111"/>
      <c r="DW54" s="111"/>
      <c r="DX54" s="111"/>
      <c r="DY54" s="111"/>
      <c r="DZ54" s="111"/>
      <c r="EA54" s="111"/>
      <c r="EB54" s="112"/>
      <c r="EC54" s="111"/>
      <c r="ED54" s="111"/>
      <c r="EE54" s="111"/>
      <c r="EF54" s="111"/>
      <c r="EG54" s="111"/>
      <c r="EH54" s="111"/>
      <c r="EI54" s="111"/>
      <c r="EJ54" s="112"/>
      <c r="EK54" s="112"/>
      <c r="EL54" s="111"/>
      <c r="EM54" s="111"/>
      <c r="EN54" s="111"/>
      <c r="EO54" s="111"/>
      <c r="EP54" s="117" t="str">
        <f>HYPERLINK("http://www.medi-bild.de/pdf/anamnese/Welche_Sprache.pdf","x")</f>
        <v>x</v>
      </c>
      <c r="EQ54" s="117" t="str">
        <f>HYPERLINK("http://www.medi-bild.de/pdf/anamnese/tipdoc_Anamnese_amh.pdf","x")</f>
        <v>x</v>
      </c>
      <c r="ER54" s="111"/>
      <c r="ES54" s="111"/>
      <c r="ET54" s="111"/>
      <c r="EU54" s="111"/>
      <c r="EV54" s="111"/>
      <c r="EW54" s="112" t="str">
        <f t="shared" si="14"/>
        <v>x</v>
      </c>
      <c r="EX54" s="111"/>
      <c r="EY54" s="111"/>
      <c r="EZ54" s="111"/>
      <c r="FA54" s="111"/>
      <c r="FB54" s="111"/>
      <c r="FC54" s="111"/>
      <c r="FD54" s="112" t="str">
        <f t="shared" si="15"/>
        <v>x</v>
      </c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2" t="str">
        <f t="shared" si="16"/>
        <v>x</v>
      </c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2" t="str">
        <f t="shared" si="17"/>
        <v>x</v>
      </c>
      <c r="HZ54" s="112" t="str">
        <f t="shared" si="18"/>
        <v>x</v>
      </c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2"/>
      <c r="IL54" s="112" t="str">
        <f>HYPERLINK("http://www.bamf.de/SharedDocs/Anlagen/DE/Publikationen/Flyer/flyer-erstorientierung-asylsuchende_amharisch.pdf?__blob=publicationFile","x")</f>
        <v>x</v>
      </c>
      <c r="IM54" s="111"/>
      <c r="IN54" s="111"/>
      <c r="IO54" s="111"/>
      <c r="IP54" s="111"/>
      <c r="IQ54" s="112"/>
      <c r="IR54" s="112"/>
      <c r="IS54" s="111"/>
      <c r="IT54" s="111"/>
      <c r="IU54" s="111"/>
      <c r="IV54" s="112" t="str">
        <f>HYPERLINK("http://www.asyl.net/fileadmin/user_upload/infoblatt_anhoerung/Infoblatt_2015_amh_fin.pdf","x")</f>
        <v>x</v>
      </c>
      <c r="IW54" s="112"/>
      <c r="IX54" s="112"/>
      <c r="IY54" s="112" t="str">
        <f>HYPERLINK("http://www.bamf.de/SharedDocs/Anlagen/DE/Publikationen/Broschueren/broschuere-eat-a4-am-amharisch.pdf?__blob=publicationFile","x")</f>
        <v>x</v>
      </c>
      <c r="IZ54" s="111"/>
      <c r="JA54" s="111"/>
      <c r="JB54" s="111"/>
      <c r="JC54" s="112"/>
      <c r="JD54" s="111"/>
      <c r="JE54" s="112"/>
      <c r="JF54" s="112"/>
      <c r="JG54" s="111"/>
      <c r="JH54" s="111"/>
      <c r="JI54" s="111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22"/>
      <c r="JU54" s="111"/>
      <c r="JV54" s="111"/>
      <c r="JW54" s="112"/>
      <c r="JX54" s="112"/>
      <c r="JY54" s="111"/>
      <c r="JZ54" s="111"/>
      <c r="KA54" s="111"/>
      <c r="KB54" s="111"/>
      <c r="KC54" s="111"/>
      <c r="KD54" s="111"/>
      <c r="KE54" s="111"/>
      <c r="KF54" s="122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  <c r="MI54" s="111"/>
    </row>
    <row r="55" spans="1:347" x14ac:dyDescent="0.25">
      <c r="A55" s="102" t="s">
        <v>51</v>
      </c>
      <c r="B55" s="127" t="s">
        <v>1</v>
      </c>
      <c r="C55" s="102"/>
      <c r="D55" s="102"/>
      <c r="E55" s="102"/>
      <c r="F55" s="102"/>
      <c r="G55" s="102"/>
      <c r="H55" s="102"/>
      <c r="I55" s="102"/>
      <c r="J55" s="102"/>
      <c r="K55" s="103"/>
      <c r="L55" s="112" t="str">
        <f>HYPERLINK("http://sghanstedt.elbnetz.com/ueber-uns/","x")</f>
        <v>x</v>
      </c>
      <c r="M55" s="111"/>
      <c r="N55" s="112" t="str">
        <f>HYPERLINK("http://www.ag-fluechtlingshilfe-wetterau.de/uploads/infos/170.pdf","x")</f>
        <v>x</v>
      </c>
      <c r="O55" s="112" t="str">
        <f>HYPERLINK("http://www.ag-fluechtlingshilfe-wetterau.de/uploads/infos/220.pdf","x")</f>
        <v>x</v>
      </c>
      <c r="P55" s="112" t="str">
        <f>HYPERLINK("http://www.awb-ahrweiler.de/admin/data/ddownload/Abfall%20Sonderhinweise-Arabisch%202015.pdf","x")</f>
        <v>x</v>
      </c>
      <c r="Q55" s="112" t="str">
        <f>HYPERLINK("http://www.ag-fluechtlingshilfe-wetterau.de/uploads/infos/221.pdf","x")</f>
        <v>x</v>
      </c>
      <c r="R55" s="112" t="str">
        <f>HYPERLINK("http://www.konto.org/download/merkblatt-basiskonto-asylbewerber-arabisch.pdf","x")</f>
        <v>x</v>
      </c>
      <c r="S55" s="112"/>
      <c r="T55" s="112" t="str">
        <f>HYPERLINK("https://antworten.sparkasse.de/wp-content/uploads/2015/10/Arabisch.pdf","x")</f>
        <v>x</v>
      </c>
      <c r="U55" s="112" t="str">
        <f>HYPERLINK("http://www.ag-fluechtlingshilfe-wetterau.de/uploads/infos/191.pdf","x")</f>
        <v>x</v>
      </c>
      <c r="V55" s="112"/>
      <c r="W55" s="112"/>
      <c r="X55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55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55" s="112"/>
      <c r="AA55" s="112"/>
      <c r="AB55" s="112"/>
      <c r="AC55" s="112"/>
      <c r="AD55" s="112" t="str">
        <f>HYPERLINK("http://www.rundfunkbeitrag.de/e175/e1629/Informationsflyer_Buergerinnen_und_Buerger_arabisch.pdf","x")</f>
        <v>x</v>
      </c>
      <c r="AE55" s="112"/>
      <c r="AF55" s="112" t="str">
        <f>HYPERLINK("http://www.kub-berlin.org/formularprojekt/de/arabisch-antraege-und-anlagen/","x")</f>
        <v>x</v>
      </c>
      <c r="AG55" s="112" t="str">
        <f>HYPERLINK("http://asyl-in-moenchengladbach.de/wp-content/uploads/2015/11/100711-Flyer_arab.pdf","x")</f>
        <v>x</v>
      </c>
      <c r="AH55" s="111"/>
      <c r="AI55" s="112" t="str">
        <f>HYPERLINK("https://www.adac.de/sp/stiftung/_mmm/pdf/SGE_FOL_Verkehrssicherheit_Fl%C3%BCchtlinge_A3_01_16_Internet_250277.pdf","x")</f>
        <v>x</v>
      </c>
      <c r="AJ55" s="112" t="str">
        <f>HYPERLINK("http://www.stadt-koeln.de/mediaasset/content/العربية_kvb_kinderleicht_und_spielend_einfach__arabisch_.pdf","x")</f>
        <v>x</v>
      </c>
      <c r="AK55" s="112" t="str">
        <f>HYPERLINK("https://www.vrsinfo.de/fileadmin/Dateien/downloadcenter/Folder_MobilPassTicket_Refugees01012016.pdf","x")</f>
        <v>x</v>
      </c>
      <c r="AL55" s="112" t="str">
        <f>HYPERLINK("https://www.vrsinfo.de/fileadmin/Dateien/downloadcenter/Willkommen_im_VRS2016_Druck.pdf","x")</f>
        <v>x</v>
      </c>
      <c r="AM55" s="112"/>
      <c r="AN55" s="112" t="str">
        <f>HYPERLINK("https://www.deutschebahn.com/file/de/2191748/eYdgZpqGpp5sMJ2KMKtg2r8aE4Q/10123812/data/infos_fuer_fluechtlinge.pdf","x")</f>
        <v>x</v>
      </c>
      <c r="AO55" s="112"/>
      <c r="AP55" s="112"/>
      <c r="AQ55" s="112"/>
      <c r="AR55" s="112"/>
      <c r="AS55" s="112"/>
      <c r="AT55" s="112" t="str">
        <f>HYPERLINK("http://www.koelnerkarneval.de/fileadmin/content/images/news/Festkomitee_Flyer_DE_AR.pdf","x")</f>
        <v>x</v>
      </c>
      <c r="AU55" s="112"/>
      <c r="AV55" s="114" t="str">
        <f>HYPERLINK("http://www.studentenwerke.de/de/content/illustriertes-wohnheimw%C3%B6rterbuch-1","x")</f>
        <v>x</v>
      </c>
      <c r="AW55" s="114" t="str">
        <f t="shared" si="0"/>
        <v>x</v>
      </c>
      <c r="AX55" s="114" t="str">
        <f t="shared" si="1"/>
        <v>x</v>
      </c>
      <c r="AY55" s="112" t="str">
        <f>HYPERLINK("http://fi-lohmar-siegburg.de/data/documents/Findefix_arabisch-Bildwoerterbuch.pdf","x")</f>
        <v>x</v>
      </c>
      <c r="AZ55" s="111"/>
      <c r="BA55" s="112" t="str">
        <f t="shared" si="2"/>
        <v>x</v>
      </c>
      <c r="BB55" s="112" t="str">
        <f t="shared" si="3"/>
        <v>x</v>
      </c>
      <c r="BC55" s="112"/>
      <c r="BD55" s="112" t="str">
        <f>HYPERLINK("http://www.rehavista.de/?at=Mat_Boardmaker&amp;d=1&amp;dtype=mat&amp;id=1014","x")</f>
        <v>x</v>
      </c>
      <c r="BE55" s="112" t="str">
        <f>HYPERLINK("http://fi-lohmar-siegburg.de/data/documents/communicationboard-arabic-english.pdf","x")</f>
        <v>x</v>
      </c>
      <c r="BF55" s="112" t="str">
        <f>HYPERLINK("http://fi-lohmar-siegburg.de/data/documents/communicationboard-arabic-french.pdf","x")</f>
        <v>x</v>
      </c>
      <c r="BG55" s="111"/>
      <c r="BH55" s="112" t="str">
        <f>HYPERLINK("http://www.refugeephrasebook.de/pdf/germany150920.pdf","x")</f>
        <v>x</v>
      </c>
      <c r="BI55" s="112" t="str">
        <f>HYPERLINK("https://www.advanced-online.eu/downloads/RefugeePhrasebookCards_German-Arabic.pdf","x")</f>
        <v>x</v>
      </c>
      <c r="BJ55" s="112" t="str">
        <f>HYPERLINK("http://www.klett-sprachen.de/download/8638/W100255_Refugees_Welcome_Wortschatz.pdf","x")</f>
        <v>x</v>
      </c>
      <c r="BK55" s="112" t="str">
        <f>HYPERLINK("http://www.agf-trier.de/sites/default/files/bersetzungshilfe%20allgemein%20Arab..pdf","x")</f>
        <v>x</v>
      </c>
      <c r="BL55" s="112" t="str">
        <f>HYPERLINK("http://www.bundessprachenamt.de/deutsch/wir_ueber_uns/nachrichten/2015/20151103/Verständigungshilfe_Syrisch-Arabisch_07_12_2015.pdf","x")</f>
        <v>x</v>
      </c>
      <c r="BM55" s="112" t="str">
        <f>HYPERLINK("http://www.frnrw.de/images/Aus_den_Initiativen/Ehrenamtler/2015/Dictionary_x10_print-2.pdf","x")</f>
        <v>x</v>
      </c>
      <c r="BN55" s="112" t="str">
        <f>HYPERLINK("http://www.medbox.org/toolboxes/kleines-worterbuch-little-dictionary-deutsch-englisch-arabisch/preview","x")</f>
        <v>x</v>
      </c>
      <c r="BO55" s="111"/>
      <c r="BP55" s="111"/>
      <c r="BQ55" s="112" t="str">
        <f>HYPERLINK("https://www.friedensdorf.de/documents/Woerterbuch_Arabisch.pdf","x")</f>
        <v>x</v>
      </c>
      <c r="BR55" s="111"/>
      <c r="BS55" s="112" t="str">
        <f t="shared" si="4"/>
        <v>x</v>
      </c>
      <c r="BT55" s="112" t="str">
        <f>HYPERLINK("http://de.langenscheidt.com/doc/arabisch-deutsch-sprachfuehrer.pdf","x")</f>
        <v>x</v>
      </c>
      <c r="BU55" s="111"/>
      <c r="BV55" s="112" t="str">
        <f t="shared" si="5"/>
        <v>x</v>
      </c>
      <c r="BW55" s="112" t="str">
        <f>HYPERLINK("http://www.welcomegrooves.de/wp-content/uploads/2015/10/welcomegrooves_DE-ARABISCH.pdf","x")</f>
        <v>x</v>
      </c>
      <c r="BX55" s="112"/>
      <c r="BY55" s="112"/>
      <c r="BZ55" s="112" t="str">
        <f>HYPERLINK("http://fluechtlingshilfe-nettetal.de/ausbildung/video-sprachkurse-deutsch-fuer-fluechtlinge/video-sprachkurs-syrisch-deutsch/","x")</f>
        <v>x</v>
      </c>
      <c r="CA55" s="112" t="str">
        <f t="shared" si="6"/>
        <v>x</v>
      </c>
      <c r="CB55" s="112" t="str">
        <f t="shared" si="7"/>
        <v>x</v>
      </c>
      <c r="CC55" s="112" t="str">
        <f t="shared" si="8"/>
        <v>x</v>
      </c>
      <c r="CD55" s="112"/>
      <c r="CE55" s="112"/>
      <c r="CF55" s="112" t="str">
        <f>HYPERLINK("http://www.agf-trier.de/sites/default/files/bersetzungshilfe%20%20f%C3%BCr%20Frauen%20Arab..pdf","x")</f>
        <v>x</v>
      </c>
      <c r="CG55" s="112" t="str">
        <f>HYPERLINK("http://www.braunschweig.de/leben/frauen/hilfe/Ohne-Gewalt-leben.pdf","x")</f>
        <v>x</v>
      </c>
      <c r="CH55" s="112" t="str">
        <f>HYPERLINK("http://mifkjf.rlp.de/fileadmin/mifkjf/Frauen/Gewalt_gegen_Frauen/Downloads/Broschueren_Flyer/Flyer_Gewalt_arabisch_fuer_ANSICHT.pdf","x")</f>
        <v>x</v>
      </c>
      <c r="CI55" s="112"/>
      <c r="CJ55" s="112" t="str">
        <f>HYPERLINK("https://www.hilfetelefon.de/fileadmin/hilfetelefon_de/Materialien/weitere_werbemittel/Klappflyer_Vorder-_und_Rueckseite_opt2.pdf","x")</f>
        <v>x</v>
      </c>
      <c r="CK55" s="112" t="str">
        <f t="shared" si="9"/>
        <v>x</v>
      </c>
      <c r="CL55" s="112" t="str">
        <f>HYPERLINK("http://www.frauenberatungsstelle.de/pdf/Migrantinnen-beraten-Migrantinnen.pdf","x")</f>
        <v>x</v>
      </c>
      <c r="CM55" s="112"/>
      <c r="CN55" s="112"/>
      <c r="CO55" s="112"/>
      <c r="CP55" s="112" t="str">
        <f>HYPERLINK("http://www.schwanger-und-viele-fragen.de/ar/","x")</f>
        <v>x</v>
      </c>
      <c r="CQ55" s="112"/>
      <c r="CR55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55" s="112"/>
      <c r="CT55" s="112"/>
      <c r="CU55" s="112" t="str">
        <f>HYPERLINK("http://www.profamilia.de/fileadmin/publikationen/Erwachsene/mehrsprachig/verhuetung_arabisch.pdf","x")</f>
        <v>x</v>
      </c>
      <c r="CV55" s="112"/>
      <c r="CW55" s="112"/>
      <c r="CX55" s="112"/>
      <c r="CY55" s="112" t="str">
        <f>HYPERLINK("http://www.caritas-schwarzwald-alb-donau.de/68854.html","x")</f>
        <v>x</v>
      </c>
      <c r="CZ55" s="112"/>
      <c r="DA55" s="112" t="str">
        <f>HYPERLINK("http://sichere-orte-schaffen.de/wp-content/uploads/Minibrosch_Fluechtlinge_multilang.pdf","x")</f>
        <v>x</v>
      </c>
      <c r="DB55" s="112"/>
      <c r="DC55" s="115" t="str">
        <f>HYPERLINK("http://www.kindersicherheit.de/pdf/2012_Bilderbuch-Gift-Arabisch.pdf","x")</f>
        <v>x</v>
      </c>
      <c r="DD55" s="112"/>
      <c r="DE55" s="112"/>
      <c r="DF55" s="112" t="str">
        <f t="shared" si="10"/>
        <v>x</v>
      </c>
      <c r="DG55" s="115" t="str">
        <f t="shared" si="11"/>
        <v>x</v>
      </c>
      <c r="DH55" s="112" t="str">
        <f t="shared" si="12"/>
        <v>x</v>
      </c>
      <c r="DI55" s="112" t="str">
        <f t="shared" si="13"/>
        <v>x</v>
      </c>
      <c r="DJ55" s="112" t="str">
        <f>HYPERLINK("http://www.bibliomedia.ch/de/angebote/dokumente/Glossar_arabisch.pdf","x")</f>
        <v>x</v>
      </c>
      <c r="DK55" s="112"/>
      <c r="DL55" s="112" t="str">
        <f>HYPERLINK("http://www.carlsen.de/sites/default/files/Walter-ebook_arabisch_klein.pdf","x")</f>
        <v>x</v>
      </c>
      <c r="DM55" s="112"/>
      <c r="DN55" s="112"/>
      <c r="DO55" s="112" t="str">
        <f>HYPERLINK("http://www.wdrmaus.de/sachgeschichten/maus-international/","x")</f>
        <v>x</v>
      </c>
      <c r="DP55" s="111"/>
      <c r="DQ55" s="112" t="str">
        <f>HYPERLINK("http://tipdoc.de/bus/grafik/kinder-tip/SCHULTIP_give_didacta.pdf","x")</f>
        <v>x</v>
      </c>
      <c r="DR55" s="112" t="str">
        <f>HYPERLINK("https://broschueren.nordrheinwestfalendirekt.de/broschuerenservice/msw/ar-das-schulsystem-in-nordrhein-westfalen-einfach-und-schnell-erklaert/1901","x")</f>
        <v>x</v>
      </c>
      <c r="DS55" s="112" t="str">
        <f>HYPERLINK("http://bildung.koeln.de/materialbibliothek/download.php?idx=7479da9798519efb4e1944d46a76011b","x")</f>
        <v>x</v>
      </c>
      <c r="DT55" s="112" t="str">
        <f>HYPERLINK("http://bildung.koeln.de/materialbibliothek/download.php?idx=dd3a964c240308ea1c8e0d161e49e314","x")</f>
        <v>x</v>
      </c>
      <c r="DU55" s="112"/>
      <c r="DV55" s="112" t="str">
        <f>HYPERLINK("https://www.bmbf.de/pub/Kausa_Elternbroschuere_arabisch.pdf","x")</f>
        <v>x</v>
      </c>
      <c r="DW55" s="112"/>
      <c r="DX55" s="112" t="str">
        <f>HYPERLINK("http://www.wissenschaft.nrw.de/studium/informieren/informationen-fuer-fluechtlinge-die-in-nrw-studieren-moechten/","x")</f>
        <v>x</v>
      </c>
      <c r="DY55" s="112" t="str">
        <f>HYPERLINK("http://www.bamf.de/SharedDocs/Anlagen/DE/Publikationen/Flyer/AnerkennungBerufsabschluss/berufliche_anerkennung_akademische-heilberufe_ar.pdf?__blob=publicationFile","x")</f>
        <v>x</v>
      </c>
      <c r="DZ55" s="112" t="str">
        <f>HYPERLINK("http://www.bamf.de/SharedDocs/Anlagen/DE/Publikationen/Flyer/AnerkennungBerufsabschluss/anerkennung-berufsabschluss_ar.pdf?__blob=publicationFile","x")</f>
        <v>x</v>
      </c>
      <c r="EA55" s="112" t="str">
        <f>HYPERLINK("http://www.bamf.de/SharedDocs/Anlagen/DE/Publikationen/Flyer/AnerkennungBerufsabschluss/anerkennung-berufsabschluss_ausland_ar.pdf?__blob=publicationFile","x")</f>
        <v>x</v>
      </c>
      <c r="EB55" s="112" t="str">
        <f>HYPERLINK("http://www.bamf.de/SharedDocs/Anlagen/DE/Publikationen/Broschueren/willkommen-in-deutschland-info-blaue-karte-eu_ar.pdf?__blob=publicationFile","x")</f>
        <v>x</v>
      </c>
      <c r="EC55" s="112" t="str">
        <f>HYPERLINK("http://www.bamf.de/SharedDocs/Anlagen/DE/Publikationen/Flyer/Berufsbezsprachf-ESF-BAMF/berufsbezsprachf-esf-bamf_ar.pdf?__blob=publicationFile","x")</f>
        <v>x</v>
      </c>
      <c r="ED55" s="111"/>
      <c r="EE55" s="111"/>
      <c r="EF55" s="111"/>
      <c r="EG55" s="111"/>
      <c r="EH55" s="111"/>
      <c r="EI55" s="111"/>
      <c r="EJ55" s="112"/>
      <c r="EK55" s="112" t="str">
        <f>HYPERLINK("http://fluechtlingsrat-bw.de/files/Dateien/Dokumente/Materialbestellung/2014-12-flyer%20arbeitserlaubnis%20AR%20WEB_final.pdf","x")</f>
        <v>x</v>
      </c>
      <c r="EL55" s="112" t="str">
        <f>HYPERLINK("http://www.aponet.de/arabisch/20151019-fuer-den-notfall-wichtige-rufnummern-im-ueberblick.html","x")</f>
        <v>x</v>
      </c>
      <c r="EM55" s="112" t="str">
        <f>HYPERLINK("http://www.kvs-sachsen.de/fileadmin/img/Mitglieder/Asylbewerber/Allg-Informationen/Anlage_1_Arabisch_LEK.pdf","x")</f>
        <v>x</v>
      </c>
      <c r="EN55" s="112" t="str">
        <f>HYPERLINK("http://www.medizin-hilft-fluechtlingen.de/images/Dokumente/gSch/gSch_arab.pdf","x")</f>
        <v>x</v>
      </c>
      <c r="EO55" s="112" t="str">
        <f>HYPERLINK("http://www.aponet.de/arabisch/20151016-medizinische-leistungen-fuer-asylbewerber.html","x")</f>
        <v>x</v>
      </c>
      <c r="EP55" s="117" t="str">
        <f>HYPERLINK("http://www.medi-bild.de/pdf/anamnese/Welche_Sprache.pdf","x")</f>
        <v>x</v>
      </c>
      <c r="EQ55" s="117" t="str">
        <f>HYPERLINK("http://www.armut-gesundheit.de/fileadmin/redakteur/dokumente/Anamnesebogen%20-%20Arabischnew.pdf","x")</f>
        <v>x</v>
      </c>
      <c r="ER55" s="112" t="str">
        <f>HYPERLINK("http://www.kvs-sachsen.de/fileadmin/img/Mitglieder/Asylbewerber/Allg-Informationen/Anlagen_2-1_2-2_Arabisch_LEK.pdf","x")</f>
        <v>x</v>
      </c>
      <c r="ES55" s="112"/>
      <c r="ET55" s="112" t="str">
        <f>HYPERLINK("http://www.pharmazeutische-zeitung.de/fileadmin/pdf/Fragebogen_PZ_43_2015.pdf","x")</f>
        <v>x</v>
      </c>
      <c r="EU55" s="112" t="str">
        <f>HYPERLINK("http://www.medizin-hilft-fluechtlingen.de/images/Dokumente/ein/ein_arab.pdf","x")</f>
        <v>x</v>
      </c>
      <c r="EV55" s="112" t="str">
        <f>HYPERLINK("http://www.adler-apotheke-hh.de/fileadmin/user_upload/PDF-Dateien/Dosierzettel_mehrsprachig_AUF_0_.pdf","x")</f>
        <v>x</v>
      </c>
      <c r="EW55" s="112" t="str">
        <f t="shared" si="14"/>
        <v>x</v>
      </c>
      <c r="EX55" s="112" t="str">
        <f>HYPERLINK("http://www.rki.de/DE/Content/Infekt/IfSG/Belehrungsbogen/belehrungsbogen_eltern_arabisch.pdf?__blob=publicationFile","x")</f>
        <v>x</v>
      </c>
      <c r="EY55" s="112" t="str">
        <f>HYPERLINK("http://www.bzga.de/infomaterialien/?sid=236","x")</f>
        <v>x</v>
      </c>
      <c r="EZ55" s="112" t="str">
        <f>HYPERLINK("https://www.mh-hannover.de/fileadmin/mhh/bilder/aktuelles_presse/presseinformationen_news/150921_Pilz_Vergif_Arab_3.pdf","x")</f>
        <v>x</v>
      </c>
      <c r="FA55" s="112"/>
      <c r="FB55" s="112" t="str">
        <f>HYPERLINK("http://static.apotheken-umschau.de/media/gp/article_506373/bildwoerterbuch.pdf","x")</f>
        <v>x</v>
      </c>
      <c r="FC55" s="111"/>
      <c r="FD55" s="112" t="str">
        <f t="shared" si="15"/>
        <v>x</v>
      </c>
      <c r="FE55" s="112" t="str">
        <f>HYPERLINK("http://sghanstedt.elbnetz.com/ueber-uns/","x")</f>
        <v>x</v>
      </c>
      <c r="FF55" s="112" t="str">
        <f>HYPERLINK("http://www.fuhlenhagen.com/pdf_dateien/uebertzungshilfe_aerzte_mehrsprachig.pdf","x")</f>
        <v>x</v>
      </c>
      <c r="FG55" s="112" t="str">
        <f>HYPERLINK("http://www.tipdoc.de/grafik/asyl/Gesundheitsheft_Asyl.pdf","x")</f>
        <v>x</v>
      </c>
      <c r="FH55" s="111"/>
      <c r="FI55" s="111"/>
      <c r="FJ55" s="112" t="str">
        <f>HYPERLINK("http://www.bundesgesundheitsministerium.de/fileadmin/dateien/Publikationen/Gesundheit/Broschueren/Ratgeber_Asylsuchende/Ratgeber_Asylsuchende_arab.PDF","x")</f>
        <v>x</v>
      </c>
      <c r="FK55" s="112" t="str">
        <f>HYPERLINK("http://www.rki.de/DE/Content/Infekt/Impfen/Materialien/Downloads-Impfkalender/Impfkalender_Arabisch.pdf?__blob=publicationFile","x")</f>
        <v>x</v>
      </c>
      <c r="FL55" s="112" t="str">
        <f>HYPERLINK("http://www.ethno-medizinisches-zentrum.de/images/PDF-Files/impfwegweiser_arabbisch_2013_online.pdf","x")</f>
        <v>x</v>
      </c>
      <c r="FM55" s="112"/>
      <c r="FN55" s="112" t="str">
        <f>HYPERLINK("http://www.rki.de/DE/Content/Infekt/Impfen/Materialien/Glossar-Downloads/glossar-de-arabisch.pdf?__blob=publicationFile","x")</f>
        <v>x</v>
      </c>
      <c r="FO55" s="112"/>
      <c r="FP55" s="112" t="str">
        <f>HYPERLINK("http://www.rki.de/DE/Content/Infekt/Impfen/Materialien/Downloads-MMR/MMR-Impfinfo-arabisch.pdf?__blob=publicationFile","x")</f>
        <v>x</v>
      </c>
      <c r="FQ55" s="112" t="str">
        <f>HYPERLINK("http://www.rki.de/DE/Content/InfAZ/P/Polio/Ausbruch_Syrien/Informationsblatt_Polio_Arabisch.pdf?__blob=publicationFile","x")</f>
        <v>x</v>
      </c>
      <c r="FR55" s="112" t="str">
        <f>HYPERLINK("http://www.rki.de/DE/Content/Infekt/Impfen/Materialien/Downloads_HepA/Aufklaerung_HAV-Impfung_arabisch.pdf?__blob=publicationFile","x")</f>
        <v>x</v>
      </c>
      <c r="FS55" s="112" t="str">
        <f>HYPERLINK("http://www.rki.de/DE/Content/Infekt/Impfen/Materialien/Downloads_Pneumokokken/Aufklaerung_Pneumo-Impfung_Arabisch.pdf?__blob=publicationFile","x")</f>
        <v>x</v>
      </c>
      <c r="FT55" s="112" t="str">
        <f>HYPERLINK("http://www.rki.de/DE/Content/Infekt/Impfen/Materialien/Downloads-DTaPIPVHibHepB/DTaPIPVHibHepB_arabisch.pdf?__blob=publicationFile","x")</f>
        <v>x</v>
      </c>
      <c r="FU55" s="112" t="str">
        <f>HYPERLINK("http://www.rki.de/DE/Content/Infekt/Impfen/Materialien/Downloads-Varizellen/Varizellen-Impfinfo-arabisch.pdf;jsessionid=65B697F4EE7EDA8A1ED9E2C4CD6C74EC.2_cid363?__blob=publicationFile","x")</f>
        <v>x</v>
      </c>
      <c r="FV55" s="112" t="str">
        <f>HYPERLINK("http://www.rki.de/DE/Content/Infekt/Impfen/Materialien/Downloads-Tdap-IPV/Tdap-IPV-arabisch.pdf?__blob=publicationFile","x")</f>
        <v>x</v>
      </c>
      <c r="FW55" s="112" t="str">
        <f>HYPERLINK("http://www.rki.de/DE/Content/Infekt/Impfen/Materialien/Downloads-Influenza_nasal/Influenza_nasal-arabisch.pdf?__blob=publicationFile","x")</f>
        <v>x</v>
      </c>
      <c r="FX55" s="112" t="str">
        <f>HYPERLINK("http://www.medical-tribune.de/fileadmin/PDF/Arthrose_arabisch.pdf","x")</f>
        <v>x</v>
      </c>
      <c r="FY55" s="112" t="str">
        <f>HYPERLINK("http://www.medical-tribune.de/fileadmin/PDF/Asthma_arabisch.pdf","x")</f>
        <v>x</v>
      </c>
      <c r="FZ55" s="112" t="str">
        <f>HYPERLINK("http://www.medical-tribune.de/fileadmin/PDF/Bluthochdruck_arabisch.pdf","x")</f>
        <v>x</v>
      </c>
      <c r="GA55" s="112"/>
      <c r="GB55" s="112" t="str">
        <f>HYPERLINK("http://www.medical-tribune.de/fileadmin/PDF/COPD_arabisch.pdf","x")</f>
        <v>x</v>
      </c>
      <c r="GC55" s="112"/>
      <c r="GD55" s="112" t="str">
        <f>HYPERLINK("http://www.ethno-medizinisches-zentrum.de/images/PDF-Files/lf_diabete_arab.pdf","x")</f>
        <v>x</v>
      </c>
      <c r="GE55" s="112"/>
      <c r="GF55" s="112"/>
      <c r="GG55" s="112"/>
      <c r="GH55" s="112"/>
      <c r="GI55" s="112" t="str">
        <f>HYPERLINK("http://www.tipdoc.de/bus/pdf/hepatitis/Hep_B_Webseite.pdf","x")</f>
        <v>x</v>
      </c>
      <c r="GJ55" s="112" t="str">
        <f>HYPERLINK("http://www.tipdoc.de/bus/pdf/hepatitis/Hep_C_Webseite.pdf","x")</f>
        <v>x</v>
      </c>
      <c r="GK55" s="111"/>
      <c r="GL55" s="111"/>
      <c r="GM55" s="112" t="str">
        <f>HYPERLINK("http://www.rki.de/DE/Content/Infekt/Impfen/Materialien/Downloads-Influenza/Influenza-arabisch.pdf?__blob=publicationFile","x")</f>
        <v>x</v>
      </c>
      <c r="GN55" s="112"/>
      <c r="GO55" s="112" t="str">
        <f>HYPERLINK("http://www.aponet.de/arabisch/20151111-so-unterscheiden-sich-grippe-und-erkaeltung.html","x")</f>
        <v>x</v>
      </c>
      <c r="GP55" s="112" t="str">
        <f>HYPERLINK("http://www.tipdoc.de/grafik/pdf/kopflaeuse/Kopflaeuse_ARAB.pdf","x")</f>
        <v>x</v>
      </c>
      <c r="GQ55" s="112"/>
      <c r="GR55" s="112" t="str">
        <f>HYPERLINK("http://www.tipdoc.com/bus/pdf/kraetze/tipdoc_Scabies_ARAB.pdf","x")</f>
        <v>x</v>
      </c>
      <c r="GS55" s="112" t="str">
        <f>HYPERLINK("http://www.tipdoc.com/bus/pdf/MagenDarmHaende/MagenDarmHaende_Arab.pdf","x")</f>
        <v>x</v>
      </c>
      <c r="GT55" s="112"/>
      <c r="GU55" s="112" t="str">
        <f>HYPERLINK("http://www.medical-tribune.de/fileadmin/PDF/Rueckenschmerzen_arabisch.pdf","x")</f>
        <v>x</v>
      </c>
      <c r="GV55" s="112"/>
      <c r="GW55" s="112"/>
      <c r="GX55" s="112" t="str">
        <f>HYPERLINK("http://www.medical-tribune.de/fileadmin/PDF/Schwindel_arabisch.pdf","x")</f>
        <v>x</v>
      </c>
      <c r="GY55" s="112"/>
      <c r="GZ55" s="112"/>
      <c r="HA55" s="112"/>
      <c r="HB55" s="112"/>
      <c r="HC55" s="112" t="str">
        <f t="shared" si="16"/>
        <v>x</v>
      </c>
      <c r="HD55" s="112" t="str">
        <f>HYPERLINK("https://www.zahnaerzte-wl.de/images/_PDF-suche/KZV_ZÄK/ENDSTAND_Ankreuzbogen_Ich_verstehe.pdf","x")</f>
        <v>x</v>
      </c>
      <c r="HE55" s="112" t="str">
        <f>HYPERLINK("https://www.zahnaerzte-wl.de/images/_PDF-suche/KZV_ZÄK/Anschreiben_Patienten_arabisch.pdf","x")</f>
        <v>x</v>
      </c>
      <c r="HF55" s="112" t="str">
        <f>HYPERLINK("https://www.zahnaerzte-wl.de/images/_PDF-suche/KZV_ZÄK/Fragebogen_arabisch.pdf","x")</f>
        <v>x</v>
      </c>
      <c r="HG55" s="112" t="str">
        <f>HYPERLINK("https://www.zahnaerzte-wl.de/images/_PDF-suche/KZV_ZÄK/Patientenerhebungsbogen_arabisch.pdf","x")</f>
        <v>x</v>
      </c>
      <c r="HH55" s="112"/>
      <c r="HI55" s="112"/>
      <c r="HJ55" s="112" t="str">
        <f>HYPERLINK("http://www.ibbc-berlin.de/media/Bro_de-arab.pdf","x")</f>
        <v>x</v>
      </c>
      <c r="HK55" s="112"/>
      <c r="HL55" s="112" t="str">
        <f>HYPERLINK("http://www.ethno-medizinisches-zentrum.de/images/PDF-Files/lf_depression__arab.pdf","x")</f>
        <v>x</v>
      </c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 t="str">
        <f>HYPERLINK("http://www.bkk-psychisch-gesund.de/fileadmin/user_upload/Dokumente/Versicherte/Broschueren/Wegweiser_Psychotherapie_arabisch.pdf","x")</f>
        <v>x</v>
      </c>
      <c r="HY55" s="112" t="str">
        <f t="shared" si="17"/>
        <v>x</v>
      </c>
      <c r="HZ55" s="112" t="str">
        <f t="shared" si="18"/>
        <v>x</v>
      </c>
      <c r="IA55" s="112"/>
      <c r="IB55" s="112"/>
      <c r="IC55" s="112"/>
      <c r="ID55" s="112" t="str">
        <f>HYPERLINK("http://www.susannestein.de/VIA-online/trauma-bilderbuch-arabisch.pdf","x")</f>
        <v>x</v>
      </c>
      <c r="IE55" s="112"/>
      <c r="IF55" s="112"/>
      <c r="IG55" s="112"/>
      <c r="IH55" s="111"/>
      <c r="II55" s="112"/>
      <c r="IJ55" s="112"/>
      <c r="IK55" s="112" t="str">
        <f>HYPERLINK("http://www.bamf.de/SharedDocs/Anlagen/DE/Publikationen/Flyer/Lassen-Sie-Sich-Beraten/lassen-sie-sich-beraten_ar.pdf?__blob=publicationFile","x")</f>
        <v>x</v>
      </c>
      <c r="IL55" s="112" t="str">
        <f>HYPERLINK("http://www.bamf.de/SharedDocs/Anlagen/DE/Publikationen/Flyer/flyer-erstorientierung-asylsuchende_arabisch.pdf?__blob=publicationFile","x")</f>
        <v>x</v>
      </c>
      <c r="IM55" s="111"/>
      <c r="IN55" s="112" t="str">
        <f>HYPERLINK("https://www.bamf.de/SharedDocs/Anlagen/DE/Publikationen/Broschueren/willkommen-in-deutschland_ar.pdf?__blob=publicationFile","x")</f>
        <v>x</v>
      </c>
      <c r="IO55" s="112"/>
      <c r="IP55" s="111"/>
      <c r="IQ55" s="112" t="str">
        <f>HYPERLINK("http://www.bamf.de/SharedDocs/Anlagen/DE/Publikationen/Flyer/Lernen-Sie-Deutsch/lernen-sie-deutsch_ar.pdf?__blob=publicationFile","x")</f>
        <v>x</v>
      </c>
      <c r="IR55" s="112" t="str">
        <f>HYPERLINK("http://www.asyl.net/fileadmin/user_upload/redaktion/Dokumente/Arbeitshilfen/150910_Wie_l%C3%A4uft_ein_Asylverfahren_ab_%C3%9Cberblickstext_Arabisch.pdf","x")</f>
        <v>x</v>
      </c>
      <c r="IS55" s="111"/>
      <c r="IT55" s="111"/>
      <c r="IU55" s="111"/>
      <c r="IV55" s="112" t="str">
        <f>HYPERLINK("http://www.asyl.net/fileadmin/user_upload/infoblatt_anhoerung/Infoblatt_2015_ar_fin.pdf","x")</f>
        <v>x</v>
      </c>
      <c r="IW55" s="112" t="str">
        <f>HYPERLINK("http://efi-landsberg.de/asyl/wp-content/uploads/2014/04/Merkblatt-Asylbewerber-Fluechtlinge.pdf","x")</f>
        <v>x</v>
      </c>
      <c r="IX55" s="112"/>
      <c r="IY55" s="112" t="str">
        <f>HYPERLINK("http://www.bamf.de/SharedDocs/Anlagen/DE/Publikationen/Broschueren/broschuere-eat-a4-ar-arabisch.pdf?__blob=publicationFile","x")</f>
        <v>x</v>
      </c>
      <c r="IZ55" s="111"/>
      <c r="JA55" s="112" t="str">
        <f>HYPERLINK("http://fluechtlingsrat-bw.de/informationen-fuer-fluechtlinge.html","x")</f>
        <v>x</v>
      </c>
      <c r="JB55" s="111"/>
      <c r="JC55" s="112"/>
      <c r="JD55" s="111"/>
      <c r="JE55" s="112"/>
      <c r="JF55" s="112"/>
      <c r="JG55" s="112" t="str">
        <f>HYPERLINK("http://www.bamf.de/SharedDocs/Anlagen/DE/Publikationen/Flyer/Ehegattennachzug/ehegattennachzug-ar.pdf?__blob=publicationFile","x")</f>
        <v>x</v>
      </c>
      <c r="JH55" s="112" t="str">
        <f>HYPERLINK("https://familyreunion-syria.diplo.de/webportal/index.html#start","x")</f>
        <v>x</v>
      </c>
      <c r="JI55" s="111"/>
      <c r="JJ55" s="112"/>
      <c r="JK55" s="112" t="str">
        <f>HYPERLINK("https://www.arbeitsagentur.de/web/wcm/idc/groups/public/documents/webdatei/mdaw/mjgz/~edisp/l6019022dstbai784629.pdf?_ba.sid=L6019022DSTBAI788745","x")</f>
        <v>x</v>
      </c>
      <c r="JL55" s="112" t="str">
        <f>HYPERLINK("http://www.kub-berlin.org/formularprojekt/de/arabisch-antraege-und-anlagen/","x")</f>
        <v>x</v>
      </c>
      <c r="JM55" s="112" t="str">
        <f>HYPERLINK("https://www.arbeitsagentur.de/web/content/DE/Formulare/Detail/index.htm?dfContentId=L6019022DSTBAI485740","x")</f>
        <v>x</v>
      </c>
      <c r="JN55" s="112"/>
      <c r="JO55" s="112"/>
      <c r="JP55" s="112"/>
      <c r="JQ55" s="112"/>
      <c r="JR55" s="112" t="str">
        <f>HYPERLINK("http://www.ibla-germany.de/merkblaetter.php","x")</f>
        <v>x</v>
      </c>
      <c r="JS55" s="112"/>
      <c r="JT55" s="112" t="str">
        <f>HYPERLINK("http://www.b-umf.de/images/willkommen/willkommensbroschurearabisch-web.pdf","x")</f>
        <v>x</v>
      </c>
      <c r="JU55" s="111"/>
      <c r="JV55" s="111"/>
      <c r="JW55" s="112"/>
      <c r="JX55" s="112"/>
      <c r="JY55" s="112"/>
      <c r="JZ55" s="112"/>
      <c r="KA55" s="112" t="str">
        <f>HYPERLINK("http://www.kas.de/wf/de/33.43117/","x")</f>
        <v>x</v>
      </c>
      <c r="KB55" s="112" t="str">
        <f>HYPERLINK("http://www.refugeeguide.de/dl/RefugeeGuide_ar_930.pdf","x")</f>
        <v>x</v>
      </c>
      <c r="KC55" s="112" t="str">
        <f>HYPERLINK("http://www.bpb.de/shop/buecher/grundgesetz/215136/grundgesetz-auf-arabisch","x")</f>
        <v>x</v>
      </c>
      <c r="KD55" s="112" t="str">
        <f>HYPERLINK("http://www.wedel.de/fileadmin/user_upload/media/pdf/Rathaus_und_Politik/20160118_PM_Broschuere.pdf","x")</f>
        <v>x</v>
      </c>
      <c r="KE55" s="112" t="str">
        <f>HYPERLINK("http://www.frauenrechte.de/online/images/downloads/allgemein/TDF_Flyer_Women_Men.pdf","x")</f>
        <v>x</v>
      </c>
      <c r="KF55" s="112" t="str">
        <f>HYPERLINK("http://sab.landtag.sachsen.de/dokumente/landtagskurier/Grundwerte-A5-international_web_08012016.pdf","x")</f>
        <v>x</v>
      </c>
      <c r="KG55" s="112"/>
      <c r="KH55" s="112"/>
      <c r="KI55" s="112"/>
      <c r="KJ55" s="112"/>
      <c r="KK55" s="112"/>
      <c r="KL55" s="112"/>
      <c r="KM55" s="112"/>
      <c r="KN55" s="112"/>
      <c r="KO55" s="112"/>
      <c r="KP55" s="112"/>
      <c r="KQ55" s="112"/>
      <c r="KR55" s="112"/>
      <c r="KS55" s="112"/>
      <c r="KT55" s="112"/>
      <c r="KU55" s="112"/>
      <c r="KV55" s="112"/>
      <c r="KW55" s="112"/>
      <c r="KX55" s="112"/>
      <c r="KY55" s="112"/>
      <c r="KZ55" s="112"/>
      <c r="LA55" s="112"/>
      <c r="LB55" s="112"/>
      <c r="LC55" s="111"/>
      <c r="LD55" s="111"/>
      <c r="LE55" s="111"/>
      <c r="LF55" s="111"/>
      <c r="LG55" s="112"/>
      <c r="LH55" s="111"/>
      <c r="LI55" s="111"/>
      <c r="LJ55" s="111"/>
      <c r="LK55" s="111"/>
      <c r="LL55" s="111"/>
      <c r="LM55" s="111"/>
      <c r="LN55" s="111"/>
      <c r="LO55" s="111"/>
      <c r="LP55" s="111"/>
      <c r="LQ55" s="111"/>
      <c r="LR55" s="111"/>
      <c r="LS55" s="111"/>
      <c r="LT55" s="112"/>
      <c r="LU55" s="111"/>
      <c r="LV55" s="111"/>
      <c r="LW55" s="111"/>
      <c r="LX55" s="111"/>
      <c r="LY55" s="111"/>
      <c r="LZ55" s="112" t="str">
        <f>HYPERLINK("http://www.bjf.info/projekte/cinemanya","x")</f>
        <v>x</v>
      </c>
      <c r="MA55" s="111"/>
      <c r="MB55" s="111"/>
      <c r="MC55" s="111"/>
      <c r="MD55" s="112" t="str">
        <f>HYPERLINK("http://www.rki.de/DE/Content/Infekt/IfSG/Belehrungsbogen/belehrungsbogen_lebensmittel_arabisch.pdf?__blob=publicationFile","x")</f>
        <v>x</v>
      </c>
      <c r="ME55" s="111"/>
      <c r="MF55" s="112" t="str">
        <f>HYPERLINK("http://www.gdv.de/wp-content/uploads/2016/01/Information_Brandschutz_Fluechtlingsheim_-Sicherheit_mehrsprachig.pdf","x")</f>
        <v>x</v>
      </c>
      <c r="MG55" s="112" t="str">
        <f>HYPERLINK("http://www.gdv.de/wp-content/uploads/2016/01/Information_Verhalten-im-Brandfall_mehrsprachig.pdf","x")</f>
        <v>x</v>
      </c>
      <c r="MH55" s="112" t="str">
        <f>HYPERLINK("http://www.aha-region.de/fileadmin/Download/pdf/aha_Plakat_Muelltrennung_ar.pdf","x")</f>
        <v>x</v>
      </c>
      <c r="MI55" s="112" t="str">
        <f>HYPERLINK("http://www.kindersicherheit.de/pdf/2012_poster_achtunggiftig_8sprachig.pdf","x")</f>
        <v>x</v>
      </c>
    </row>
    <row r="56" spans="1:347" x14ac:dyDescent="0.25">
      <c r="A56" s="102" t="s">
        <v>51</v>
      </c>
      <c r="B56" s="127" t="s">
        <v>5</v>
      </c>
      <c r="C56" s="102"/>
      <c r="D56" s="102"/>
      <c r="E56" s="102"/>
      <c r="F56" s="102"/>
      <c r="G56" s="102"/>
      <c r="H56" s="102"/>
      <c r="I56" s="102"/>
      <c r="J56" s="102"/>
      <c r="K56" s="103"/>
      <c r="L56" s="111"/>
      <c r="M56" s="111"/>
      <c r="N56" s="111"/>
      <c r="O56" s="111"/>
      <c r="P56" s="112" t="str">
        <f>HYPERLINK("http://www.awb-ahrweiler.de/admin/data/ddownload/Abfall%20Sonderhinweise-Franzoesisch%202015.pdf","x")</f>
        <v>x</v>
      </c>
      <c r="Q56" s="111"/>
      <c r="R56" s="111"/>
      <c r="S56" s="111"/>
      <c r="T56" s="111"/>
      <c r="U56" s="112" t="str">
        <f>HYPERLINK("http://www.ag-fluechtlingshilfe-wetterau.de/uploads/infos/191.pdf","x")</f>
        <v>x</v>
      </c>
      <c r="V56" s="112"/>
      <c r="W56" s="112"/>
      <c r="X56" s="111"/>
      <c r="Y56" s="112"/>
      <c r="Z56" s="112"/>
      <c r="AA56" s="112"/>
      <c r="AB56" s="112"/>
      <c r="AC56" s="112"/>
      <c r="AD56" s="112" t="str">
        <f>HYPERLINK("http://www.rundfunkbeitrag.de/e175/e1632/Informationsflyer_Buergerinnen_und_Buerger_franzoesisch.pdf","x")</f>
        <v>x</v>
      </c>
      <c r="AE56" s="112"/>
      <c r="AF56" s="112" t="str">
        <f>HYPERLINK("http://www.kub-berlin.org/formularprojekt/franzoesisch-antraege-und-anlagen-uebersetzungshilfen/","x")</f>
        <v>x</v>
      </c>
      <c r="AG56" s="112" t="str">
        <f>HYPERLINK("http://asyl-in-moenchengladbach.de/wp-content/uploads/2015/11/100711-Flyer_FR.pdf","x")</f>
        <v>x</v>
      </c>
      <c r="AH56" s="112" t="str">
        <f>HYPERLINK("http://sghanstedt.elbnetz.com/ueber-uns/","x")</f>
        <v>x</v>
      </c>
      <c r="AI56" s="111"/>
      <c r="AJ56" s="111"/>
      <c r="AK56" s="112" t="str">
        <f>HYPERLINK("https://www.vrsinfo.de/fileadmin/Dateien/downloadcenter/Folder_MobilPassTicket_Refugees01012016.pdf","x")</f>
        <v>x</v>
      </c>
      <c r="AL56" s="112" t="str">
        <f>HYPERLINK("https://www.vrsinfo.de/fileadmin/Dateien/downloadcenter/Willkommen_im_VRS2016_Druck.pdf","x")</f>
        <v>x</v>
      </c>
      <c r="AM56" s="112"/>
      <c r="AN56" s="112" t="str">
        <f>HYPERLINK("https://www.deutschebahn.com/file/de/2191748/eYdgZpqGpp5sMJ2KMKtg2r8aE4Q/10123812/data/infos_fuer_fluechtlinge.pdf","x")</f>
        <v>x</v>
      </c>
      <c r="AO56" s="112"/>
      <c r="AP56" s="112"/>
      <c r="AQ56" s="112"/>
      <c r="AR56" s="112"/>
      <c r="AS56" s="112"/>
      <c r="AT56" s="112"/>
      <c r="AU56" s="112"/>
      <c r="AV56" s="114" t="str">
        <f>HYPERLINK("http://www.studentenwerke.de/de/content/illustriertes-wohnheimw%C3%B6rterbuch-1","x")</f>
        <v>x</v>
      </c>
      <c r="AW56" s="114" t="str">
        <f t="shared" si="0"/>
        <v>x</v>
      </c>
      <c r="AX56" s="114" t="str">
        <f t="shared" si="1"/>
        <v>x</v>
      </c>
      <c r="AY56" s="111"/>
      <c r="AZ56" s="111"/>
      <c r="BA56" s="112" t="str">
        <f t="shared" si="2"/>
        <v>x</v>
      </c>
      <c r="BB56" s="112" t="str">
        <f t="shared" si="3"/>
        <v>x</v>
      </c>
      <c r="BC56" s="111"/>
      <c r="BD56" s="111"/>
      <c r="BE56" s="111"/>
      <c r="BF56" s="112" t="str">
        <f>HYPERLINK("http://fi-lohmar-siegburg.de/data/documents/communicationboard-arabic-french.pdf","x")</f>
        <v>x</v>
      </c>
      <c r="BG56" s="111"/>
      <c r="BH56" s="112" t="str">
        <f>HYPERLINK("http://www.refugeephrasebook.de/pdf/germany150920.pdf","x")</f>
        <v>x</v>
      </c>
      <c r="BI56" s="112" t="str">
        <f>HYPERLINK("https://www.advanced-online.eu/downloads/RefugeePhrasebookCards_German-French.pdf","x")</f>
        <v>x</v>
      </c>
      <c r="BJ56" s="112" t="str">
        <f>HYPERLINK("http://www.klett-sprachen.de/download/8638/W100255_Refugees_Welcome_Wortschatz.pdf","x")</f>
        <v>x</v>
      </c>
      <c r="BK56" s="111"/>
      <c r="BL56" s="112" t="str">
        <f>HYPERLINK("http://www.bundessprachenamt.de/deutsch/wir_ueber_uns/nachrichten/2015/20151103/Verständigungshilfe_Französisch_26_11_2015.pdf","x")</f>
        <v>x</v>
      </c>
      <c r="BM56" s="111"/>
      <c r="BN56" s="111"/>
      <c r="BO56" s="111"/>
      <c r="BP56" s="111"/>
      <c r="BQ56" s="111"/>
      <c r="BR56" s="111"/>
      <c r="BS56" s="112" t="str">
        <f t="shared" si="4"/>
        <v>x</v>
      </c>
      <c r="BT56" s="112"/>
      <c r="BU56" s="111"/>
      <c r="BV56" s="112" t="str">
        <f t="shared" si="5"/>
        <v>x</v>
      </c>
      <c r="BW56" s="112" t="str">
        <f>HYPERLINK("http://www.welcomegrooves.de/wp-content/uploads/2015/11/welcomegrooves-de-franzoesisch.pdf","x")</f>
        <v>x</v>
      </c>
      <c r="BX56" s="112"/>
      <c r="BY56" s="112"/>
      <c r="BZ56" s="112" t="str">
        <f>HYPERLINK("http://fluechtlingshilfe-nettetal.de/ausbildung/video-sprachkurse-deutsch-fuer-fluechtlinge/video-sprachkurs-franzoesisch-deutsch/","x")</f>
        <v>x</v>
      </c>
      <c r="CA56" s="112" t="str">
        <f t="shared" si="6"/>
        <v>x</v>
      </c>
      <c r="CB56" s="112" t="str">
        <f t="shared" si="7"/>
        <v>x</v>
      </c>
      <c r="CC56" s="112" t="str">
        <f t="shared" si="8"/>
        <v>x</v>
      </c>
      <c r="CD56" s="112"/>
      <c r="CE56" s="112"/>
      <c r="CF56" s="111"/>
      <c r="CG56" s="111"/>
      <c r="CH56" s="112" t="str">
        <f>HYPERLINK("http://mifkjf.rlp.de/fileadmin/mifkjf/Frauen/Gewalt_gegen_Frauen/Downloads/Broschueren_Flyer/Flyer_Gewalt_franzoesisch.pdf","x")</f>
        <v>x</v>
      </c>
      <c r="CI56" s="112" t="str">
        <f>HYPERLINK("https://www.hilfetelefon.de/fileadmin/hilfetelefon_de/Materialien/Flyer/Infoflyer_Hilfetelefon_Gewalt_gegen_Frauen141105_b2.pdf","x")</f>
        <v>x</v>
      </c>
      <c r="CJ56" s="112" t="str">
        <f>HYPERLINK("https://www.hilfetelefon.de/fileadmin/hilfetelefon_de/Materialien/weitere_werbemittel/Klappflyer_Vorder-_und_Rueckseite_opt2.pdf","x")</f>
        <v>x</v>
      </c>
      <c r="CK56" s="112" t="str">
        <f t="shared" si="9"/>
        <v>x</v>
      </c>
      <c r="CL56" s="112"/>
      <c r="CM56" s="112"/>
      <c r="CN56" s="112"/>
      <c r="CO56" s="112"/>
      <c r="CP56" s="112" t="str">
        <f>HYPERLINK("http://www.schwanger-und-viele-fragen.de/fr/","x")</f>
        <v>x</v>
      </c>
      <c r="CQ56" s="112"/>
      <c r="CR5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6" s="112" t="str">
        <f>HYPERLINK("http://en.beststart.org/for_parents/are-you-looking-resources-languages-other-english-and-french","x")</f>
        <v>x</v>
      </c>
      <c r="CT56" s="112"/>
      <c r="CU56" s="112" t="str">
        <f>HYPERLINK("http://www.profamilia.de/fileadmin/publikationen/Erwachsene/mehrsprachig/Bro_Verhuetung_frz_141002.pdf","x")</f>
        <v>x</v>
      </c>
      <c r="CV56" s="112"/>
      <c r="CW56" s="112"/>
      <c r="CX56" s="112"/>
      <c r="CY56" s="112" t="str">
        <f>HYPERLINK("http://www.caritas-schwarzwald-alb-donau.de/68854.html","x")</f>
        <v>x</v>
      </c>
      <c r="CZ56" s="112"/>
      <c r="DA56" s="112"/>
      <c r="DB56" s="112"/>
      <c r="DC56" s="115" t="str">
        <f>HYPERLINK("http://www.kindersicherheit.de/pdf/2013_BAG_Tomi_and_Mila_Deutsch_Francais.pdf","x")</f>
        <v>x</v>
      </c>
      <c r="DD56" s="112"/>
      <c r="DE56" s="112"/>
      <c r="DF56" s="112" t="str">
        <f t="shared" si="10"/>
        <v>x</v>
      </c>
      <c r="DG56" s="115" t="str">
        <f t="shared" si="11"/>
        <v>x</v>
      </c>
      <c r="DH56" s="112" t="str">
        <f t="shared" si="12"/>
        <v>x</v>
      </c>
      <c r="DI56" s="112" t="str">
        <f t="shared" si="13"/>
        <v>x</v>
      </c>
      <c r="DJ56" s="112"/>
      <c r="DK56" s="112"/>
      <c r="DL56" s="112"/>
      <c r="DM56" s="112"/>
      <c r="DN56" s="112"/>
      <c r="DO56" s="112"/>
      <c r="DP56" s="111"/>
      <c r="DQ56" s="111"/>
      <c r="DR56" s="112" t="str">
        <f>HYPERLINK("https://broschueren.nordrheinwestfalendirekt.de/broschuerenservice/msw/fr-das-schulsystem-in-nordrhein-westfalen-einfach-und-schnell-erklaert/1903","x")</f>
        <v>x</v>
      </c>
      <c r="DS56" s="112" t="str">
        <f>HYPERLINK("http://bildung.koeln.de/materialbibliothek/download.php?idx=6f75d59e17e7868506c0a48e6f7a44f2","x")</f>
        <v>x</v>
      </c>
      <c r="DT56" s="112" t="str">
        <f>HYPERLINK("http://bildung.koeln.de/materialbibliothek/download.php?idx=bde72be3f1bc4c51a4b0bcfe4a4187c4","x")</f>
        <v>x</v>
      </c>
      <c r="DU56" s="112"/>
      <c r="DV56" s="112" t="str">
        <f>HYPERLINK("https://www.bmbf.de/pub/KAUSA_Elternratgeber_deutsch_franzoesisch.pdf","x")</f>
        <v>x</v>
      </c>
      <c r="DW56" s="111"/>
      <c r="DX56" s="112" t="str">
        <f>HYPERLINK("http://www.wissenschaft.nrw.de/studium/informieren/informationen-fuer-fluechtlinge-die-in-nrw-studieren-moechten/","x")</f>
        <v>x</v>
      </c>
      <c r="DY56" s="111"/>
      <c r="DZ56" s="112" t="str">
        <f>HYPERLINK("http://www.bamf.de/SharedDocs/Anlagen/DE/Publikationen/Flyer/AnerkennungBerufsabschluss/anerkennung-berufsabschluss_fr.pdf?__blob=publicationFile","x")</f>
        <v>x</v>
      </c>
      <c r="EA56" s="112" t="str">
        <f>HYPERLINK("http://www.bamf.de/SharedDocs/Anlagen/DE/Publikationen/Flyer/AnerkennungBerufsabschluss/anerkennung-berufsabschluss_ausland_fr.pdf?__blob=publicationFile","x")</f>
        <v>x</v>
      </c>
      <c r="EB56" s="112" t="str">
        <f>HYPERLINK("http://www.bamf.de/SharedDocs/Anlagen/DE/Publikationen/Broschueren/willkommen-in-deutschland-info-blaue-karte-eu_fr.pdf?__blob=publicationFile","x")</f>
        <v>x</v>
      </c>
      <c r="EC56" s="112" t="str">
        <f>HYPERLINK("http://www.bamf.de/SharedDocs/Anlagen/DE/Publikationen/Flyer/Berufsbezsprachf-ESF-BAMF/berufsbezsprachf-esf-bamf_fr.pdf?__blob=publicationFile","x")</f>
        <v>x</v>
      </c>
      <c r="ED56" s="111"/>
      <c r="EE56" s="111"/>
      <c r="EF56" s="111"/>
      <c r="EG56" s="111"/>
      <c r="EH56" s="111"/>
      <c r="EI56" s="111"/>
      <c r="EJ56" s="112"/>
      <c r="EK56" s="112" t="str">
        <f>HYPERLINK("http://fluechtlingsrat-bw.de/files/Dateien/Dokumente/Materialbestellung/2014-12-flyer%20arbeitserlaubnis%20FRZ%20WEB.pdf","x")</f>
        <v>x</v>
      </c>
      <c r="EL56" s="111"/>
      <c r="EM56" s="112" t="str">
        <f>HYPERLINK("http://www.kvs-sachsen.de/fileadmin/img/Mitglieder/Asylbewerber/Allg-Informationen/Anlage_1_Franzoesisch_LEK.pdf","x")</f>
        <v>x</v>
      </c>
      <c r="EN56" s="112" t="str">
        <f>HYPERLINK("http://www.medizin-hilft-fluechtlingen.de/images/Dokumente/gSch/gSch_fra.pdf","x")</f>
        <v>x</v>
      </c>
      <c r="EO56" s="112"/>
      <c r="EP56" s="117" t="str">
        <f>HYPERLINK("http://www.medi-bild.de/pdf/anamnese/Welche_Sprache.pdf","x")</f>
        <v>x</v>
      </c>
      <c r="EQ56" s="117" t="str">
        <f>HYPERLINK("http://www.armut-gesundheit.de/fileadmin/redakteur/dokumente/Anamnesebogen%20-%20franz%C3%B6sischnew.pdf","x")</f>
        <v>x</v>
      </c>
      <c r="ER56" s="112" t="str">
        <f>HYPERLINK("http://www.kvs-sachsen.de/fileadmin/img/Mitglieder/Asylbewerber/Allg-Informationen/Anlagen_2-1_2-2_Franzoesisch_LEK.pdf","x")</f>
        <v>x</v>
      </c>
      <c r="ES56" s="111"/>
      <c r="ET56" s="111"/>
      <c r="EU56" s="112" t="str">
        <f>HYPERLINK("http://medizin-hilft-fluechtlingen.de/images/Dokumente/ein/ein_per.pdf","x")</f>
        <v>x</v>
      </c>
      <c r="EV56" s="112" t="str">
        <f>HYPERLINK("http://www.adler-apotheke-hh.de/fileadmin/user_upload/PDF-Dateien/Dosierzettel_mehrsprachig_AUF_0_.pdf","x")</f>
        <v>x</v>
      </c>
      <c r="EW56" s="112" t="str">
        <f t="shared" si="14"/>
        <v>x</v>
      </c>
      <c r="EX56" s="112" t="str">
        <f>HYPERLINK("http://www.rki.de/DE/Content/Infekt/IfSG/Belehrungsbogen/belehrungsbogen_eltern_franzoesisch.pdf?__blob=publicationFile","x")</f>
        <v>x</v>
      </c>
      <c r="EY56" s="111"/>
      <c r="EZ56" s="112" t="str">
        <f>HYPERLINK("https://www.mh-hannover.de/fileadmin/mhh/bilder/aktuelles_presse/pressestelle/bilder/Pilzvergif_franzoesisch.pdf","x")</f>
        <v>x</v>
      </c>
      <c r="FA56" s="112"/>
      <c r="FB56" s="112" t="str">
        <f>HYPERLINK("http://static.apotheken-umschau.de/media/gp/article_506373/bildwoerterbuch.pdf","x")</f>
        <v>x</v>
      </c>
      <c r="FC56" s="111"/>
      <c r="FD56" s="112" t="str">
        <f t="shared" si="15"/>
        <v>x</v>
      </c>
      <c r="FE56" s="112" t="str">
        <f>HYPERLINK("http://sghanstedt.elbnetz.com/ueber-uns/","x")</f>
        <v>x</v>
      </c>
      <c r="FF56" s="111"/>
      <c r="FG56" s="112" t="str">
        <f>HYPERLINK("http://www.tipdoc.de/grafik/asyl/Gesundheitsheft_Asyl.pdf","x")</f>
        <v>x</v>
      </c>
      <c r="FH56" s="111"/>
      <c r="FI56" s="111"/>
      <c r="FJ56" s="112"/>
      <c r="FK56" s="112" t="str">
        <f>HYPERLINK("http://www.rki.de/DE/Content/Infekt/Impfen/Materialien/Downloads-Impfkalender/Impfkalender_Franzoesisch.pdf?__blob=publicationFile","x")</f>
        <v>x</v>
      </c>
      <c r="FL56" s="112" t="str">
        <f>HYPERLINK("http://www.ethno-medizinisches-zentrum.de/images/PDF-Files/impfwegweiser_franzosisch_2013_online.pdf","x")</f>
        <v>x</v>
      </c>
      <c r="FM56" s="112"/>
      <c r="FN56" s="112" t="str">
        <f>HYPERLINK("http://www.rki.de/DE/Content/Infekt/Impfen/Materialien/Glossar-Downloads/glossar-de-franzoesisch.pdf?__blob=publicationFile","x")</f>
        <v>x</v>
      </c>
      <c r="FO56" s="112" t="str">
        <f>HYPERLINK("http://www.euro.who.int/__data/assets/pdf_file/0012/162300/VPD-Signs,-symptoms-and-complications-FRE.pdf","x")</f>
        <v>x</v>
      </c>
      <c r="FP56" s="112" t="str">
        <f>HYPERLINK("http://www.rki.de/DE/Content/Infekt/Impfen/Materialien/Downloads-MMR/MMR-Impfinfo-franzoesisch.pdf?__blob=publicationFile","x")</f>
        <v>x</v>
      </c>
      <c r="FQ56" s="112" t="str">
        <f>HYPERLINK("http://www.rki.de/DE/Content/InfAZ/P/Polio/Ausbruch_Syrien/Informationsblatt_Polio_Franzoesisch.pdf?__blob=publicationFile","x")</f>
        <v>x</v>
      </c>
      <c r="FR56" s="112" t="str">
        <f>HYPERLINK("http://www.rki.de/DE/Content/Infekt/Impfen/Materialien/Downloads_HepA/Aufklaerung_HAV-Impfung_Franzoesisch.pdf?__blob=publicationFile","x")</f>
        <v>x</v>
      </c>
      <c r="FS56" s="112" t="str">
        <f>HYPERLINK("http://www.rki.de/DE/Content/Infekt/Impfen/Materialien/Downloads_Pneumokokken/Aufklaerung_Pneumo-Impfung_Franzoesisch.pdf?__blob=publicationFile","x")</f>
        <v>x</v>
      </c>
      <c r="FT56" s="112" t="str">
        <f>HYPERLINK("http://www.rki.de/DE/Content/Infekt/Impfen/Materialien/Downloads-DTaPIPVHibHepB/DTaPIPVHibHepB-franzoesisch.pdf?__blob=publicationFile","x")</f>
        <v>x</v>
      </c>
      <c r="FU5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6" s="112" t="str">
        <f>HYPERLINK("http://www.rki.de/DE/Content/Infekt/Impfen/Materialien/Downloads-Tdap-IPV/Tdap-IPV-franzoesisch.pdf?__blob=publicationFile","x")</f>
        <v>x</v>
      </c>
      <c r="FW56" s="112" t="str">
        <f>HYPERLINK("http://www.rki.de/DE/Content/Infekt/Impfen/Materialien/Downloads-Influenza_nasal/Influenza_nasal-franzoesisch.pdf?__blob=publicationFile","x")</f>
        <v>x</v>
      </c>
      <c r="FX56" s="111"/>
      <c r="FY56" s="112"/>
      <c r="FZ56" s="112"/>
      <c r="GA56" s="111"/>
      <c r="GB56" s="111"/>
      <c r="GC56" s="111"/>
      <c r="GD56" s="112" t="str">
        <f>HYPERLINK("http://www.ethno-medizinisches-zentrum.de/images/PDF-Files/lf_diabete_franzosisch.pdf","x")</f>
        <v>x</v>
      </c>
      <c r="GE56" s="111"/>
      <c r="GF56" s="111"/>
      <c r="GG56" s="111"/>
      <c r="GH56" s="112"/>
      <c r="GI56" s="111"/>
      <c r="GJ56" s="111"/>
      <c r="GK56" s="112" t="str">
        <f>HYPERLINK("http://www.tipdoc.de/bus/pdf/hiv/HIV%20SRF_Webseite.pdf","x")</f>
        <v>x</v>
      </c>
      <c r="GL56" s="111"/>
      <c r="GM56" s="112" t="str">
        <f>HYPERLINK("http://www.rki.de/DE/Content/Infekt/Impfen/Materialien/Downloads-Influenza/Influenza-franzoesisch.pdf?__blob=publicationFile","x")</f>
        <v>x</v>
      </c>
      <c r="GN56" s="111"/>
      <c r="GO56" s="111"/>
      <c r="GP56" s="112" t="str">
        <f>HYPERLINK("http://www.tipdoc.de/grafik/pdf/kopflaeuse/Kopflaeuse_FRANZ.pdf","x")</f>
        <v>x</v>
      </c>
      <c r="GQ56" s="112"/>
      <c r="GR56" s="112" t="str">
        <f>HYPERLINK("http://www.tipdoc.com/bus/pdf/kraetze/tipdoc_Scabies_FRANZ.pdf","x")</f>
        <v>x</v>
      </c>
      <c r="GS56" s="112" t="str">
        <f>HYPERLINK("http://www.tipdoc.com/bus/pdf/MagenDarmHaende/MagenDarmHaende_FRANZ.pdf","x")</f>
        <v>x</v>
      </c>
      <c r="GT56" s="111"/>
      <c r="GU56" s="111"/>
      <c r="GV56" s="111"/>
      <c r="GW56" s="111"/>
      <c r="GX56" s="111"/>
      <c r="GY56" s="111"/>
      <c r="GZ56" s="111"/>
      <c r="HA56" s="111"/>
      <c r="HB56" s="111"/>
      <c r="HC56" s="112" t="str">
        <f t="shared" si="16"/>
        <v>x</v>
      </c>
      <c r="HD56" s="112" t="str">
        <f>HYPERLINK("https://www.zahnaerzte-wl.de/images/_PDF-suche/KZV_ZÄK/ENDSTAND_Ankreuzbogen_Ich_verstehe.pdf","x")</f>
        <v>x</v>
      </c>
      <c r="HE56" s="112" t="str">
        <f>HYPERLINK("https://www.zahnaerzte-wl.de/images/_PDF-suche/KZV_ZÄK/Anschreiben_Patienten_franzoesisch.pdf","x")</f>
        <v>x</v>
      </c>
      <c r="HF56" s="112" t="str">
        <f>HYPERLINK("https://www.zahnaerzte-wl.de/images/_PDF-suche/KZV_ZÄK/Fragebogen_franzoesisch.pdf","x")</f>
        <v>x</v>
      </c>
      <c r="HG56" s="112" t="str">
        <f>HYPERLINK("https://www.zahnaerzte-wl.de/images/_PDF-suche/KZV_ZÄK/Patientenerhebungsbogen_franzoesisch.pdf","x")</f>
        <v>x</v>
      </c>
      <c r="HH56" s="112"/>
      <c r="HI56" s="112" t="str">
        <f>HYPERLINK("http://www.bvkm.de/fileadmin/web_data/Behinderung_und_Migration_franzoesisch_2014.pdf","x")</f>
        <v>x</v>
      </c>
      <c r="HJ56" s="112"/>
      <c r="HK56" s="112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2" t="str">
        <f t="shared" si="17"/>
        <v>x</v>
      </c>
      <c r="HZ56" s="112" t="str">
        <f t="shared" si="18"/>
        <v>x</v>
      </c>
      <c r="IA56" s="112" t="str">
        <f>HYPERLINK("http://peacefulheart.se/wp-content/uploads/2015/01/Tapping_French_Module-20150102-2.pdf","x")</f>
        <v>x</v>
      </c>
      <c r="IB56" s="111"/>
      <c r="IC56" s="111"/>
      <c r="ID56" s="111"/>
      <c r="IE56" s="111"/>
      <c r="IF56" s="111"/>
      <c r="IG56" s="111"/>
      <c r="IH56" s="111"/>
      <c r="II56" s="112" t="str">
        <f>HYPERLINK("http://www.caritas.de/hilfeundberatung/onlineberatung/suchtberatung/haeufiggestelltefragensucht/haeufiggestelltefragen-sucht","x")</f>
        <v>x</v>
      </c>
      <c r="IJ56" s="111"/>
      <c r="IK56" s="112" t="str">
        <f>HYPERLINK("http://www.bamf.de/SharedDocs/Anlagen/DE/Publikationen/Flyer/Lassen-Sie-Sich-Beraten/lassen-sie-sich-beraten_fr.pdf?__blob=publicationFile","x")</f>
        <v>x</v>
      </c>
      <c r="IL56" s="112" t="str">
        <f>HYPERLINK("http://www.bamf.de/SharedDocs/Anlagen/DE/Publikationen/Flyer/flyer-erstorientierung-asylsuchende_franzoesisch.pdf?__blob=publicationFile","x")</f>
        <v>x</v>
      </c>
      <c r="IM56" s="112" t="str">
        <f>HYPERLINK("http://www.frnrw.de/index.php/inhaltliche-themen/arbeitshilfen/item/3710-erstinfos-fuer-asylsuchende","x")</f>
        <v>x</v>
      </c>
      <c r="IN56" s="112" t="str">
        <f>HYPERLINK("https://www.bamf.de/SharedDocs/Anlagen/DE/Publikationen/Broschueren/willkommen-in-deutschland_fr.pdf?__blob=publicationFile","x")</f>
        <v>x</v>
      </c>
      <c r="IO56" s="112"/>
      <c r="IP56" s="112"/>
      <c r="IQ56" s="112" t="str">
        <f>HYPERLINK("http://www.bamf.de/SharedDocs/Anlagen/DE/Publikationen/Flyer/Lernen-Sie-Deutsch/lernen-sie-deutsch_fr.pdf?__blob=publicationFile","x")</f>
        <v>x</v>
      </c>
      <c r="IR56" s="112"/>
      <c r="IS56" s="111"/>
      <c r="IT56" s="111"/>
      <c r="IU56" s="111"/>
      <c r="IV56" s="112" t="str">
        <f>HYPERLINK("http://www.asyl.net/fileadmin/user_upload/infoblatt_anhoerung/Frz_final.pdf","x")</f>
        <v>x</v>
      </c>
      <c r="IW56" s="112"/>
      <c r="IX56" s="112" t="str">
        <f>HYPERLINK("http://www.berlin.de/labo/willkommen-in-berlin/service/downloads/artikel.273193.php","x")</f>
        <v>x</v>
      </c>
      <c r="IY56" s="112" t="str">
        <f>HYPERLINK("http://www.bamf.de/SharedDocs/Anlagen/DE/Publikationen/Broschueren/broschuere-eat-a4-fr-franzoesisch.pdf?__blob=publicationFile","x")</f>
        <v>x</v>
      </c>
      <c r="IZ56" s="111"/>
      <c r="JA56" s="112" t="str">
        <f>HYPERLINK("http://fluechtlingsrat-bw.de/informationen-fuer-fluechtlinge.html","x")</f>
        <v>x</v>
      </c>
      <c r="JB56" s="111"/>
      <c r="JC56" s="112" t="str">
        <f>HYPERLINK("http://www.bamf.de/SharedDocs/Anlagen/DE/Publikationen/Flyer/20150223_ura2_fra.pdf?__blob=publicationFile","x")</f>
        <v>x</v>
      </c>
      <c r="JD56" s="111"/>
      <c r="JE56" s="112"/>
      <c r="JF56" s="112"/>
      <c r="JG56" s="112"/>
      <c r="JH56" s="112"/>
      <c r="JI56" s="111"/>
      <c r="JJ56" s="112" t="str">
        <f>HYPERLINK("http://www.kub-berlin.org/formularprojekt/franzoesisch-antraege-und-anlagen-uebersetzungshilfen/","x")</f>
        <v>x</v>
      </c>
      <c r="JK56" s="112" t="str">
        <f>HYPERLINK("https://www.arbeitsagentur.de/web/wcm/idc/groups/public/documents/webdatei/mdaw/mjg1/~edisp/l6019022dstbai788667.pdf?_ba.sid=L6019022DSTBAI784626","x")</f>
        <v>x</v>
      </c>
      <c r="JL56" s="112" t="str">
        <f>HYPERLINK("http://www.kub-berlin.org/formularprojekt/franzoesisch-antraege-und-anlagen-uebersetzungshilfen/","x")</f>
        <v>x</v>
      </c>
      <c r="JM56" s="112" t="str">
        <f>HYPERLINK("https://www.arbeitsagentur.de/web/content/DE/Formulare/Detail/index.htm?dfContentId=L6019022DSTBAI485740","x")</f>
        <v>x</v>
      </c>
      <c r="JN56" s="112"/>
      <c r="JO56" s="112"/>
      <c r="JP56" s="112"/>
      <c r="JQ56" s="112"/>
      <c r="JR56" s="112" t="str">
        <f>HYPERLINK("http://www.ibla-germany.de/merkblaetter.php","x")</f>
        <v>x</v>
      </c>
      <c r="JS56" s="112"/>
      <c r="JT56" s="112" t="str">
        <f>HYPERLINK("http://www.b-umf.de/images/willkommen/willkommensbroschurefranzoesisch-web.pdf","x")</f>
        <v>x</v>
      </c>
      <c r="JU56" s="111"/>
      <c r="JV56" s="111"/>
      <c r="JW56" s="112"/>
      <c r="JX56" s="112"/>
      <c r="JY56" s="112"/>
      <c r="JZ56" s="112"/>
      <c r="KA56" s="112"/>
      <c r="KB56" s="112" t="str">
        <f>HYPERLINK("http://www.refugeeguide.de/dl/RefugeeGuide_fr_925.pdf","x")</f>
        <v>x</v>
      </c>
      <c r="KC56" s="111"/>
      <c r="KD56" s="112" t="str">
        <f>HYPERLINK("http://www.wedel.de/fileadmin/user_upload/media/pdf/Rathaus_und_Politik/20160118_PM_Broschuere.pdf","x")</f>
        <v>x</v>
      </c>
      <c r="KE56" s="112" t="str">
        <f>HYPERLINK("http://www.frauenrechte.de/online/images/downloads/allgemein/TDF_Flyer_Women_Men.pdf","x")</f>
        <v>x</v>
      </c>
      <c r="KF56" s="112" t="str">
        <f>HYPERLINK("http://sab.landtag.sachsen.de/dokumente/landtagskurier/Grundwerte-A5-international_web_08012016.pdf","x")</f>
        <v>x</v>
      </c>
      <c r="KG56" s="112"/>
      <c r="KH56" s="112"/>
      <c r="KI56" s="112"/>
      <c r="KJ56" s="112"/>
      <c r="KK56" s="112"/>
      <c r="KL56" s="112"/>
      <c r="KM56" s="112"/>
      <c r="KN56" s="112"/>
      <c r="KO56" s="112"/>
      <c r="KP56" s="112"/>
      <c r="KQ56" s="112"/>
      <c r="KR56" s="112"/>
      <c r="KS56" s="112"/>
      <c r="KT56" s="112"/>
      <c r="KU56" s="112"/>
      <c r="KV56" s="112"/>
      <c r="KW56" s="112"/>
      <c r="KX56" s="112"/>
      <c r="KY56" s="112"/>
      <c r="KZ56" s="112"/>
      <c r="LA56" s="112"/>
      <c r="LB56" s="112"/>
      <c r="LC56" s="111"/>
      <c r="LD56" s="112"/>
      <c r="LE56" s="112"/>
      <c r="LF56" s="112"/>
      <c r="LG56" s="112"/>
      <c r="LH56" s="112"/>
      <c r="LI56" s="112"/>
      <c r="LJ56" s="112"/>
      <c r="LK56" s="112"/>
      <c r="LL56" s="112"/>
      <c r="LM56" s="111"/>
      <c r="LN56" s="111"/>
      <c r="LO56" s="111"/>
      <c r="LP56" s="111"/>
      <c r="LQ56" s="112"/>
      <c r="LR56" s="111"/>
      <c r="LS56" s="112"/>
      <c r="LT56" s="112"/>
      <c r="LU56" s="111"/>
      <c r="LV56" s="111"/>
      <c r="LW56" s="111"/>
      <c r="LX56" s="111"/>
      <c r="LY56" s="111"/>
      <c r="LZ56" s="111"/>
      <c r="MA56" s="111"/>
      <c r="MB56" s="112"/>
      <c r="MC56" s="111"/>
      <c r="MD56" s="112" t="str">
        <f>HYPERLINK("http://www.rki.de/DE/Content/Infekt/IfSG/Belehrungsbogen/belehrungsbogen_lebensmittel_franzoesisch.pdf?__blob=publicationFile","x")</f>
        <v>x</v>
      </c>
      <c r="ME56" s="111"/>
      <c r="MF56" s="112" t="str">
        <f>HYPERLINK("http://www.gdv.de/wp-content/uploads/2016/01/Information_Brandschutz_Fluechtlingsheim_-Sicherheit_mehrsprachig.pdf","x")</f>
        <v>x</v>
      </c>
      <c r="MG56" s="112" t="str">
        <f>HYPERLINK("http://www.gdv.de/wp-content/uploads/2016/01/Information_Verhalten-im-Brandfall_mehrsprachig.pdf","x")</f>
        <v>x</v>
      </c>
      <c r="MH56" s="112" t="str">
        <f>HYPERLINK("http://www.aha-region.de/fileadmin/Download/pdf/aha_Plakat_Muelltrennung_fr.pdf","x")</f>
        <v>x</v>
      </c>
      <c r="MI56" s="112" t="str">
        <f>HYPERLINK("http://www.kindersicherheit.de/pdf/2012_poster_achtunggiftig_8sprachig.pdf","x")</f>
        <v>x</v>
      </c>
    </row>
    <row r="57" spans="1:347" x14ac:dyDescent="0.25">
      <c r="A57" s="102" t="s">
        <v>51</v>
      </c>
      <c r="B57" s="127" t="s">
        <v>39</v>
      </c>
      <c r="C57" s="102"/>
      <c r="D57" s="102"/>
      <c r="E57" s="102"/>
      <c r="F57" s="102"/>
      <c r="G57" s="102"/>
      <c r="H57" s="102"/>
      <c r="I57" s="102"/>
      <c r="J57" s="102"/>
      <c r="K57" s="103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3"/>
      <c r="AW57" s="114" t="str">
        <f t="shared" si="0"/>
        <v>x</v>
      </c>
      <c r="AX57" s="114" t="str">
        <f t="shared" si="1"/>
        <v>x</v>
      </c>
      <c r="AY57" s="111"/>
      <c r="AZ57" s="111"/>
      <c r="BA57" s="112" t="str">
        <f t="shared" si="2"/>
        <v>x</v>
      </c>
      <c r="BB57" s="112" t="str">
        <f t="shared" si="3"/>
        <v>x</v>
      </c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2" t="str">
        <f t="shared" si="4"/>
        <v>x</v>
      </c>
      <c r="BT57" s="112"/>
      <c r="BU57" s="111"/>
      <c r="BV57" s="112" t="str">
        <f t="shared" si="5"/>
        <v>x</v>
      </c>
      <c r="BW57" s="112" t="str">
        <f>HYPERLINK("http://www.welcomegrooves.de/wp-content/uploads/2015/10/welcomegrooves_DE-SOMALI.pdf","x")</f>
        <v>x</v>
      </c>
      <c r="BX57" s="112"/>
      <c r="BY57" s="112"/>
      <c r="BZ57" s="112"/>
      <c r="CA57" s="112" t="str">
        <f t="shared" si="6"/>
        <v>x</v>
      </c>
      <c r="CB57" s="112" t="str">
        <f t="shared" si="7"/>
        <v>x</v>
      </c>
      <c r="CC57" s="112" t="str">
        <f t="shared" si="8"/>
        <v>x</v>
      </c>
      <c r="CD57" s="112"/>
      <c r="CE57" s="112"/>
      <c r="CF57" s="111"/>
      <c r="CG57" s="111"/>
      <c r="CH57" s="111"/>
      <c r="CI57" s="111"/>
      <c r="CJ57" s="111"/>
      <c r="CK57" s="112" t="str">
        <f t="shared" si="9"/>
        <v>x</v>
      </c>
      <c r="CL57" s="112"/>
      <c r="CM57" s="112"/>
      <c r="CN57" s="112"/>
      <c r="CO57" s="112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2"/>
      <c r="DA57" s="112" t="str">
        <f>HYPERLINK("http://sichere-orte-schaffen.de/wp-content/uploads/Minibrosch_Fluechtlinge_multilang.pdf","x")</f>
        <v>x</v>
      </c>
      <c r="DB57" s="112"/>
      <c r="DC57" s="115"/>
      <c r="DD57" s="112"/>
      <c r="DE57" s="112"/>
      <c r="DF57" s="112" t="str">
        <f t="shared" si="10"/>
        <v>x</v>
      </c>
      <c r="DG57" s="115" t="str">
        <f t="shared" si="11"/>
        <v>x</v>
      </c>
      <c r="DH57" s="112" t="str">
        <f t="shared" si="12"/>
        <v>x</v>
      </c>
      <c r="DI57" s="112" t="str">
        <f t="shared" si="13"/>
        <v>x</v>
      </c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8"/>
      <c r="EQ57" s="118"/>
      <c r="ER57" s="111"/>
      <c r="ES57" s="111"/>
      <c r="ET57" s="111"/>
      <c r="EU57" s="111"/>
      <c r="EV57" s="111"/>
      <c r="EW57" s="112" t="str">
        <f t="shared" si="14"/>
        <v>x</v>
      </c>
      <c r="EX57" s="111"/>
      <c r="EY57" s="111"/>
      <c r="EZ57" s="111"/>
      <c r="FA57" s="111"/>
      <c r="FB57" s="111"/>
      <c r="FC57" s="111"/>
      <c r="FD57" s="112" t="str">
        <f t="shared" si="15"/>
        <v>x</v>
      </c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2" t="str">
        <f t="shared" si="16"/>
        <v>x</v>
      </c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2" t="str">
        <f t="shared" si="17"/>
        <v>x</v>
      </c>
      <c r="HZ57" s="112" t="str">
        <f t="shared" si="18"/>
        <v>x</v>
      </c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2" t="str">
        <f>HYPERLINK("http://www.bamf.de/SharedDocs/Anlagen/DE/Publikationen/Flyer/flyer-erstorientierung-asylsuchende_somali.pdf?__blob=publicationFile","x")</f>
        <v>x</v>
      </c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1"/>
      <c r="IZ57" s="111"/>
      <c r="JA57" s="112" t="str">
        <f>HYPERLINK("http://fluechtlingsrat-bw.de/informationen-fuer-fluechtlinge.html","x")</f>
        <v>x</v>
      </c>
      <c r="JB57" s="111"/>
      <c r="JC57" s="111"/>
      <c r="JD57" s="111"/>
      <c r="JE57" s="111"/>
      <c r="JF57" s="111"/>
      <c r="JG57" s="111"/>
      <c r="JH57" s="111"/>
      <c r="JI57" s="111"/>
      <c r="JJ57" s="111"/>
      <c r="JK57" s="111"/>
      <c r="JL57" s="111"/>
      <c r="JM57" s="111"/>
      <c r="JN57" s="111"/>
      <c r="JO57" s="111"/>
      <c r="JP57" s="111"/>
      <c r="JQ57" s="111"/>
      <c r="JR57" s="111"/>
      <c r="JS57" s="111"/>
      <c r="JT57" s="112" t="str">
        <f>HYPERLINK("http://www.b-umf.de/images/willkommen/wkb-soomali.pdf","x")</f>
        <v>x</v>
      </c>
      <c r="JU57" s="111"/>
      <c r="JV57" s="111"/>
      <c r="JW57" s="111"/>
      <c r="JX57" s="111"/>
      <c r="JY57" s="111"/>
      <c r="JZ57" s="111"/>
      <c r="KA57" s="111"/>
      <c r="KB57" s="111"/>
      <c r="KC57" s="111"/>
      <c r="KD57" s="111"/>
      <c r="KE57" s="111"/>
      <c r="KF57" s="112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  <c r="MI57" s="111"/>
    </row>
    <row r="58" spans="1:347" x14ac:dyDescent="0.25">
      <c r="A58" s="102" t="s">
        <v>402</v>
      </c>
      <c r="B58" s="127" t="s">
        <v>5</v>
      </c>
      <c r="C58" s="102"/>
      <c r="D58" s="102"/>
      <c r="E58" s="102"/>
      <c r="F58" s="102"/>
      <c r="G58" s="102"/>
      <c r="H58" s="102"/>
      <c r="I58" s="102"/>
      <c r="J58" s="102"/>
      <c r="K58" s="103"/>
      <c r="L58" s="111"/>
      <c r="M58" s="111"/>
      <c r="N58" s="111"/>
      <c r="O58" s="111"/>
      <c r="P58" s="112" t="str">
        <f>HYPERLINK("http://www.awb-ahrweiler.de/admin/data/ddownload/Abfall%20Sonderhinweise-Franzoesisch%202015.pdf","x")</f>
        <v>x</v>
      </c>
      <c r="Q58" s="111"/>
      <c r="R58" s="111"/>
      <c r="S58" s="111"/>
      <c r="T58" s="111"/>
      <c r="U58" s="112" t="str">
        <f>HYPERLINK("http://www.ag-fluechtlingshilfe-wetterau.de/uploads/infos/191.pdf","x")</f>
        <v>x</v>
      </c>
      <c r="V58" s="112"/>
      <c r="W58" s="112"/>
      <c r="X58" s="111"/>
      <c r="Y58" s="112"/>
      <c r="Z58" s="112"/>
      <c r="AA58" s="112"/>
      <c r="AB58" s="112"/>
      <c r="AC58" s="112"/>
      <c r="AD58" s="112" t="str">
        <f>HYPERLINK("http://www.rundfunkbeitrag.de/e175/e1632/Informationsflyer_Buergerinnen_und_Buerger_franzoesisch.pdf","x")</f>
        <v>x</v>
      </c>
      <c r="AE58" s="112"/>
      <c r="AF58" s="112" t="str">
        <f>HYPERLINK("http://www.kub-berlin.org/formularprojekt/franzoesisch-antraege-und-anlagen-uebersetzungshilfen/","x")</f>
        <v>x</v>
      </c>
      <c r="AG58" s="112" t="str">
        <f>HYPERLINK("http://asyl-in-moenchengladbach.de/wp-content/uploads/2015/11/100711-Flyer_FR.pdf","x")</f>
        <v>x</v>
      </c>
      <c r="AH58" s="112" t="str">
        <f>HYPERLINK("http://sghanstedt.elbnetz.com/ueber-uns/","x")</f>
        <v>x</v>
      </c>
      <c r="AI58" s="111"/>
      <c r="AJ58" s="111"/>
      <c r="AK58" s="112" t="str">
        <f>HYPERLINK("https://www.vrsinfo.de/fileadmin/Dateien/downloadcenter/Folder_MobilPassTicket_Refugees01012016.pdf","x")</f>
        <v>x</v>
      </c>
      <c r="AL58" s="112" t="str">
        <f>HYPERLINK("https://www.vrsinfo.de/fileadmin/Dateien/downloadcenter/Willkommen_im_VRS2016_Druck.pdf","x")</f>
        <v>x</v>
      </c>
      <c r="AM58" s="112"/>
      <c r="AN58" s="112" t="str">
        <f>HYPERLINK("https://www.deutschebahn.com/file/de/2191748/eYdgZpqGpp5sMJ2KMKtg2r8aE4Q/10123812/data/infos_fuer_fluechtlinge.pdf","x")</f>
        <v>x</v>
      </c>
      <c r="AO58" s="112"/>
      <c r="AP58" s="112"/>
      <c r="AQ58" s="112"/>
      <c r="AR58" s="112"/>
      <c r="AS58" s="112"/>
      <c r="AT58" s="112"/>
      <c r="AU58" s="112"/>
      <c r="AV58" s="114" t="str">
        <f>HYPERLINK("http://www.studentenwerke.de/de/content/illustriertes-wohnheimw%C3%B6rterbuch-1","x")</f>
        <v>x</v>
      </c>
      <c r="AW58" s="114" t="str">
        <f t="shared" si="0"/>
        <v>x</v>
      </c>
      <c r="AX58" s="114" t="str">
        <f t="shared" si="1"/>
        <v>x</v>
      </c>
      <c r="AY58" s="111"/>
      <c r="AZ58" s="111"/>
      <c r="BA58" s="112" t="str">
        <f t="shared" si="2"/>
        <v>x</v>
      </c>
      <c r="BB58" s="112" t="str">
        <f t="shared" si="3"/>
        <v>x</v>
      </c>
      <c r="BC58" s="111"/>
      <c r="BD58" s="111"/>
      <c r="BE58" s="111"/>
      <c r="BF58" s="112" t="str">
        <f>HYPERLINK("http://fi-lohmar-siegburg.de/data/documents/communicationboard-arabic-french.pdf","x")</f>
        <v>x</v>
      </c>
      <c r="BG58" s="111"/>
      <c r="BH58" s="112" t="str">
        <f>HYPERLINK("http://www.refugeephrasebook.de/pdf/germany150920.pdf","x")</f>
        <v>x</v>
      </c>
      <c r="BI58" s="112" t="str">
        <f>HYPERLINK("https://www.advanced-online.eu/downloads/RefugeePhrasebookCards_German-French.pdf","x")</f>
        <v>x</v>
      </c>
      <c r="BJ58" s="112" t="str">
        <f>HYPERLINK("http://www.klett-sprachen.de/download/8638/W100255_Refugees_Welcome_Wortschatz.pdf","x")</f>
        <v>x</v>
      </c>
      <c r="BK58" s="111"/>
      <c r="BL58" s="112" t="str">
        <f>HYPERLINK("http://www.bundessprachenamt.de/deutsch/wir_ueber_uns/nachrichten/2015/20151103/Verständigungshilfe_Französisch_26_11_2015.pdf","x")</f>
        <v>x</v>
      </c>
      <c r="BM58" s="111"/>
      <c r="BN58" s="111"/>
      <c r="BO58" s="111"/>
      <c r="BP58" s="111"/>
      <c r="BQ58" s="111"/>
      <c r="BR58" s="111"/>
      <c r="BS58" s="112" t="str">
        <f t="shared" si="4"/>
        <v>x</v>
      </c>
      <c r="BT58" s="112"/>
      <c r="BU58" s="111"/>
      <c r="BV58" s="112" t="str">
        <f t="shared" si="5"/>
        <v>x</v>
      </c>
      <c r="BW58" s="112" t="str">
        <f>HYPERLINK("http://www.welcomegrooves.de/wp-content/uploads/2015/11/welcomegrooves-de-franzoesisch.pdf","x")</f>
        <v>x</v>
      </c>
      <c r="BX58" s="112"/>
      <c r="BY58" s="112"/>
      <c r="BZ58" s="112" t="str">
        <f>HYPERLINK("http://fluechtlingshilfe-nettetal.de/ausbildung/video-sprachkurse-deutsch-fuer-fluechtlinge/video-sprachkurs-franzoesisch-deutsch/","x")</f>
        <v>x</v>
      </c>
      <c r="CA58" s="112" t="str">
        <f t="shared" si="6"/>
        <v>x</v>
      </c>
      <c r="CB58" s="112" t="str">
        <f t="shared" si="7"/>
        <v>x</v>
      </c>
      <c r="CC58" s="112" t="str">
        <f t="shared" si="8"/>
        <v>x</v>
      </c>
      <c r="CD58" s="112"/>
      <c r="CE58" s="112"/>
      <c r="CF58" s="111"/>
      <c r="CG58" s="111"/>
      <c r="CH58" s="112" t="str">
        <f>HYPERLINK("http://mifkjf.rlp.de/fileadmin/mifkjf/Frauen/Gewalt_gegen_Frauen/Downloads/Broschueren_Flyer/Flyer_Gewalt_franzoesisch.pdf","x")</f>
        <v>x</v>
      </c>
      <c r="CI58" s="112" t="str">
        <f>HYPERLINK("https://www.hilfetelefon.de/fileadmin/hilfetelefon_de/Materialien/Flyer/Infoflyer_Hilfetelefon_Gewalt_gegen_Frauen141105_b2.pdf","x")</f>
        <v>x</v>
      </c>
      <c r="CJ58" s="112" t="str">
        <f>HYPERLINK("https://www.hilfetelefon.de/fileadmin/hilfetelefon_de/Materialien/weitere_werbemittel/Klappflyer_Vorder-_und_Rueckseite_opt2.pdf","x")</f>
        <v>x</v>
      </c>
      <c r="CK58" s="112" t="str">
        <f t="shared" si="9"/>
        <v>x</v>
      </c>
      <c r="CL58" s="112"/>
      <c r="CM58" s="112"/>
      <c r="CN58" s="112"/>
      <c r="CO58" s="112"/>
      <c r="CP58" s="112" t="str">
        <f>HYPERLINK("http://www.schwanger-und-viele-fragen.de/fr/","x")</f>
        <v>x</v>
      </c>
      <c r="CQ58" s="112"/>
      <c r="CR5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8" s="112" t="str">
        <f>HYPERLINK("http://en.beststart.org/for_parents/are-you-looking-resources-languages-other-english-and-french","x")</f>
        <v>x</v>
      </c>
      <c r="CT58" s="112"/>
      <c r="CU58" s="112" t="str">
        <f>HYPERLINK("http://www.profamilia.de/fileadmin/publikationen/Erwachsene/mehrsprachig/Bro_Verhuetung_frz_141002.pdf","x")</f>
        <v>x</v>
      </c>
      <c r="CV58" s="112"/>
      <c r="CW58" s="112"/>
      <c r="CX58" s="112"/>
      <c r="CY58" s="112" t="str">
        <f>HYPERLINK("http://www.caritas-schwarzwald-alb-donau.de/68854.html","x")</f>
        <v>x</v>
      </c>
      <c r="CZ58" s="112"/>
      <c r="DA58" s="112"/>
      <c r="DB58" s="112"/>
      <c r="DC58" s="115" t="str">
        <f>HYPERLINK("http://www.kindersicherheit.de/pdf/2013_BAG_Tomi_and_Mila_Deutsch_Francais.pdf","x")</f>
        <v>x</v>
      </c>
      <c r="DD58" s="112"/>
      <c r="DE58" s="112"/>
      <c r="DF58" s="112" t="str">
        <f t="shared" si="10"/>
        <v>x</v>
      </c>
      <c r="DG58" s="115" t="str">
        <f t="shared" si="11"/>
        <v>x</v>
      </c>
      <c r="DH58" s="112" t="str">
        <f t="shared" si="12"/>
        <v>x</v>
      </c>
      <c r="DI58" s="112" t="str">
        <f t="shared" si="13"/>
        <v>x</v>
      </c>
      <c r="DJ58" s="112"/>
      <c r="DK58" s="112"/>
      <c r="DL58" s="112"/>
      <c r="DM58" s="112"/>
      <c r="DN58" s="112"/>
      <c r="DO58" s="112"/>
      <c r="DP58" s="111"/>
      <c r="DQ58" s="111"/>
      <c r="DR58" s="112" t="str">
        <f>HYPERLINK("https://broschueren.nordrheinwestfalendirekt.de/broschuerenservice/msw/fr-das-schulsystem-in-nordrhein-westfalen-einfach-und-schnell-erklaert/1903","x")</f>
        <v>x</v>
      </c>
      <c r="DS58" s="112" t="str">
        <f>HYPERLINK("http://bildung.koeln.de/materialbibliothek/download.php?idx=6f75d59e17e7868506c0a48e6f7a44f2","x")</f>
        <v>x</v>
      </c>
      <c r="DT58" s="112" t="str">
        <f>HYPERLINK("http://bildung.koeln.de/materialbibliothek/download.php?idx=bde72be3f1bc4c51a4b0bcfe4a4187c4","x")</f>
        <v>x</v>
      </c>
      <c r="DU58" s="112"/>
      <c r="DV58" s="112" t="str">
        <f>HYPERLINK("https://www.bmbf.de/pub/KAUSA_Elternratgeber_deutsch_franzoesisch.pdf","x")</f>
        <v>x</v>
      </c>
      <c r="DW58" s="111"/>
      <c r="DX58" s="112" t="str">
        <f>HYPERLINK("http://www.wissenschaft.nrw.de/studium/informieren/informationen-fuer-fluechtlinge-die-in-nrw-studieren-moechten/","x")</f>
        <v>x</v>
      </c>
      <c r="DY58" s="111"/>
      <c r="DZ58" s="112" t="str">
        <f>HYPERLINK("http://www.bamf.de/SharedDocs/Anlagen/DE/Publikationen/Flyer/AnerkennungBerufsabschluss/anerkennung-berufsabschluss_fr.pdf?__blob=publicationFile","x")</f>
        <v>x</v>
      </c>
      <c r="EA58" s="112" t="str">
        <f>HYPERLINK("http://www.bamf.de/SharedDocs/Anlagen/DE/Publikationen/Flyer/AnerkennungBerufsabschluss/anerkennung-berufsabschluss_ausland_fr.pdf?__blob=publicationFile","x")</f>
        <v>x</v>
      </c>
      <c r="EB58" s="112" t="str">
        <f>HYPERLINK("http://www.bamf.de/SharedDocs/Anlagen/DE/Publikationen/Broschueren/willkommen-in-deutschland-info-blaue-karte-eu_fr.pdf?__blob=publicationFile","x")</f>
        <v>x</v>
      </c>
      <c r="EC58" s="112" t="str">
        <f>HYPERLINK("http://www.bamf.de/SharedDocs/Anlagen/DE/Publikationen/Flyer/Berufsbezsprachf-ESF-BAMF/berufsbezsprachf-esf-bamf_fr.pdf?__blob=publicationFile","x")</f>
        <v>x</v>
      </c>
      <c r="ED58" s="111"/>
      <c r="EE58" s="111"/>
      <c r="EF58" s="111"/>
      <c r="EG58" s="111"/>
      <c r="EH58" s="111"/>
      <c r="EI58" s="111"/>
      <c r="EJ58" s="112"/>
      <c r="EK58" s="112" t="str">
        <f>HYPERLINK("http://fluechtlingsrat-bw.de/files/Dateien/Dokumente/Materialbestellung/2014-12-flyer%20arbeitserlaubnis%20FRZ%20WEB.pdf","x")</f>
        <v>x</v>
      </c>
      <c r="EL58" s="111"/>
      <c r="EM58" s="112" t="str">
        <f>HYPERLINK("http://www.kvs-sachsen.de/fileadmin/img/Mitglieder/Asylbewerber/Allg-Informationen/Anlage_1_Franzoesisch_LEK.pdf","x")</f>
        <v>x</v>
      </c>
      <c r="EN58" s="112" t="str">
        <f>HYPERLINK("http://www.medizin-hilft-fluechtlingen.de/images/Dokumente/gSch/gSch_fra.pdf","x")</f>
        <v>x</v>
      </c>
      <c r="EO58" s="112"/>
      <c r="EP58" s="117" t="str">
        <f>HYPERLINK("http://www.medi-bild.de/pdf/anamnese/Welche_Sprache.pdf","x")</f>
        <v>x</v>
      </c>
      <c r="EQ58" s="117" t="str">
        <f>HYPERLINK("http://www.armut-gesundheit.de/fileadmin/redakteur/dokumente/Anamnesebogen%20-%20franz%C3%B6sischnew.pdf","x")</f>
        <v>x</v>
      </c>
      <c r="ER58" s="112" t="str">
        <f>HYPERLINK("http://www.kvs-sachsen.de/fileadmin/img/Mitglieder/Asylbewerber/Allg-Informationen/Anlagen_2-1_2-2_Franzoesisch_LEK.pdf","x")</f>
        <v>x</v>
      </c>
      <c r="ES58" s="111"/>
      <c r="ET58" s="111"/>
      <c r="EU58" s="112" t="str">
        <f>HYPERLINK("http://medizin-hilft-fluechtlingen.de/images/Dokumente/ein/ein_per.pdf","x")</f>
        <v>x</v>
      </c>
      <c r="EV58" s="112" t="str">
        <f>HYPERLINK("http://www.adler-apotheke-hh.de/fileadmin/user_upload/PDF-Dateien/Dosierzettel_mehrsprachig_AUF_0_.pdf","x")</f>
        <v>x</v>
      </c>
      <c r="EW58" s="112" t="str">
        <f t="shared" si="14"/>
        <v>x</v>
      </c>
      <c r="EX58" s="112" t="str">
        <f>HYPERLINK("http://www.rki.de/DE/Content/Infekt/IfSG/Belehrungsbogen/belehrungsbogen_eltern_franzoesisch.pdf?__blob=publicationFile","x")</f>
        <v>x</v>
      </c>
      <c r="EY58" s="111"/>
      <c r="EZ58" s="112" t="str">
        <f>HYPERLINK("https://www.mh-hannover.de/fileadmin/mhh/bilder/aktuelles_presse/pressestelle/bilder/Pilzvergif_franzoesisch.pdf","x")</f>
        <v>x</v>
      </c>
      <c r="FA58" s="112"/>
      <c r="FB58" s="112" t="str">
        <f>HYPERLINK("http://static.apotheken-umschau.de/media/gp/article_506373/bildwoerterbuch.pdf","x")</f>
        <v>x</v>
      </c>
      <c r="FC58" s="111"/>
      <c r="FD58" s="112" t="str">
        <f t="shared" si="15"/>
        <v>x</v>
      </c>
      <c r="FE58" s="112" t="str">
        <f>HYPERLINK("http://sghanstedt.elbnetz.com/ueber-uns/","x")</f>
        <v>x</v>
      </c>
      <c r="FF58" s="111"/>
      <c r="FG58" s="112" t="str">
        <f>HYPERLINK("http://www.tipdoc.de/grafik/asyl/Gesundheitsheft_Asyl.pdf","x")</f>
        <v>x</v>
      </c>
      <c r="FH58" s="111"/>
      <c r="FI58" s="111"/>
      <c r="FJ58" s="112"/>
      <c r="FK58" s="112" t="str">
        <f>HYPERLINK("http://www.rki.de/DE/Content/Infekt/Impfen/Materialien/Downloads-Impfkalender/Impfkalender_Franzoesisch.pdf?__blob=publicationFile","x")</f>
        <v>x</v>
      </c>
      <c r="FL58" s="112" t="str">
        <f>HYPERLINK("http://www.ethno-medizinisches-zentrum.de/images/PDF-Files/impfwegweiser_franzosisch_2013_online.pdf","x")</f>
        <v>x</v>
      </c>
      <c r="FM58" s="112"/>
      <c r="FN58" s="112" t="str">
        <f>HYPERLINK("http://www.rki.de/DE/Content/Infekt/Impfen/Materialien/Glossar-Downloads/glossar-de-franzoesisch.pdf?__blob=publicationFile","x")</f>
        <v>x</v>
      </c>
      <c r="FO58" s="112" t="str">
        <f>HYPERLINK("http://www.euro.who.int/__data/assets/pdf_file/0012/162300/VPD-Signs,-symptoms-and-complications-FRE.pdf","x")</f>
        <v>x</v>
      </c>
      <c r="FP58" s="112" t="str">
        <f>HYPERLINK("http://www.rki.de/DE/Content/Infekt/Impfen/Materialien/Downloads-MMR/MMR-Impfinfo-franzoesisch.pdf?__blob=publicationFile","x")</f>
        <v>x</v>
      </c>
      <c r="FQ58" s="112" t="str">
        <f>HYPERLINK("http://www.rki.de/DE/Content/InfAZ/P/Polio/Ausbruch_Syrien/Informationsblatt_Polio_Franzoesisch.pdf?__blob=publicationFile","x")</f>
        <v>x</v>
      </c>
      <c r="FR58" s="112" t="str">
        <f>HYPERLINK("http://www.rki.de/DE/Content/Infekt/Impfen/Materialien/Downloads_HepA/Aufklaerung_HAV-Impfung_Franzoesisch.pdf?__blob=publicationFile","x")</f>
        <v>x</v>
      </c>
      <c r="FS58" s="112" t="str">
        <f>HYPERLINK("http://www.rki.de/DE/Content/Infekt/Impfen/Materialien/Downloads_Pneumokokken/Aufklaerung_Pneumo-Impfung_Franzoesisch.pdf?__blob=publicationFile","x")</f>
        <v>x</v>
      </c>
      <c r="FT58" s="112" t="str">
        <f>HYPERLINK("http://www.rki.de/DE/Content/Infekt/Impfen/Materialien/Downloads-DTaPIPVHibHepB/DTaPIPVHibHepB-franzoesisch.pdf?__blob=publicationFile","x")</f>
        <v>x</v>
      </c>
      <c r="FU5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8" s="112" t="str">
        <f>HYPERLINK("http://www.rki.de/DE/Content/Infekt/Impfen/Materialien/Downloads-Tdap-IPV/Tdap-IPV-franzoesisch.pdf?__blob=publicationFile","x")</f>
        <v>x</v>
      </c>
      <c r="FW58" s="112" t="str">
        <f>HYPERLINK("http://www.rki.de/DE/Content/Infekt/Impfen/Materialien/Downloads-Influenza_nasal/Influenza_nasal-franzoesisch.pdf?__blob=publicationFile","x")</f>
        <v>x</v>
      </c>
      <c r="FX58" s="111"/>
      <c r="FY58" s="112"/>
      <c r="FZ58" s="112"/>
      <c r="GA58" s="111"/>
      <c r="GB58" s="111"/>
      <c r="GC58" s="111"/>
      <c r="GD58" s="112" t="str">
        <f>HYPERLINK("http://www.ethno-medizinisches-zentrum.de/images/PDF-Files/lf_diabete_franzosisch.pdf","x")</f>
        <v>x</v>
      </c>
      <c r="GE58" s="111"/>
      <c r="GF58" s="111"/>
      <c r="GG58" s="111"/>
      <c r="GH58" s="112"/>
      <c r="GI58" s="111"/>
      <c r="GJ58" s="111"/>
      <c r="GK58" s="112" t="str">
        <f>HYPERLINK("http://www.tipdoc.de/bus/pdf/hiv/HIV%20SRF_Webseite.pdf","x")</f>
        <v>x</v>
      </c>
      <c r="GL58" s="111"/>
      <c r="GM58" s="112" t="str">
        <f>HYPERLINK("http://www.rki.de/DE/Content/Infekt/Impfen/Materialien/Downloads-Influenza/Influenza-franzoesisch.pdf?__blob=publicationFile","x")</f>
        <v>x</v>
      </c>
      <c r="GN58" s="111"/>
      <c r="GO58" s="111"/>
      <c r="GP58" s="112" t="str">
        <f>HYPERLINK("http://www.tipdoc.de/grafik/pdf/kopflaeuse/Kopflaeuse_FRANZ.pdf","x")</f>
        <v>x</v>
      </c>
      <c r="GQ58" s="112"/>
      <c r="GR58" s="112" t="str">
        <f>HYPERLINK("http://www.tipdoc.com/bus/pdf/kraetze/tipdoc_Scabies_FRANZ.pdf","x")</f>
        <v>x</v>
      </c>
      <c r="GS58" s="112" t="str">
        <f>HYPERLINK("http://www.tipdoc.com/bus/pdf/MagenDarmHaende/MagenDarmHaende_FRANZ.pdf","x")</f>
        <v>x</v>
      </c>
      <c r="GT58" s="111"/>
      <c r="GU58" s="111"/>
      <c r="GV58" s="111"/>
      <c r="GW58" s="111"/>
      <c r="GX58" s="111"/>
      <c r="GY58" s="111"/>
      <c r="GZ58" s="111"/>
      <c r="HA58" s="111"/>
      <c r="HB58" s="111"/>
      <c r="HC58" s="112" t="str">
        <f t="shared" si="16"/>
        <v>x</v>
      </c>
      <c r="HD58" s="112" t="str">
        <f>HYPERLINK("https://www.zahnaerzte-wl.de/images/_PDF-suche/KZV_ZÄK/ENDSTAND_Ankreuzbogen_Ich_verstehe.pdf","x")</f>
        <v>x</v>
      </c>
      <c r="HE58" s="112" t="str">
        <f>HYPERLINK("https://www.zahnaerzte-wl.de/images/_PDF-suche/KZV_ZÄK/Anschreiben_Patienten_franzoesisch.pdf","x")</f>
        <v>x</v>
      </c>
      <c r="HF58" s="112" t="str">
        <f>HYPERLINK("https://www.zahnaerzte-wl.de/images/_PDF-suche/KZV_ZÄK/Fragebogen_franzoesisch.pdf","x")</f>
        <v>x</v>
      </c>
      <c r="HG58" s="112" t="str">
        <f>HYPERLINK("https://www.zahnaerzte-wl.de/images/_PDF-suche/KZV_ZÄK/Patientenerhebungsbogen_franzoesisch.pdf","x")</f>
        <v>x</v>
      </c>
      <c r="HH58" s="112"/>
      <c r="HI58" s="112" t="str">
        <f>HYPERLINK("http://www.bvkm.de/fileadmin/web_data/Behinderung_und_Migration_franzoesisch_2014.pdf","x")</f>
        <v>x</v>
      </c>
      <c r="HJ58" s="112"/>
      <c r="HK58" s="112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2" t="str">
        <f t="shared" si="17"/>
        <v>x</v>
      </c>
      <c r="HZ58" s="112" t="str">
        <f t="shared" si="18"/>
        <v>x</v>
      </c>
      <c r="IA58" s="112" t="str">
        <f>HYPERLINK("http://peacefulheart.se/wp-content/uploads/2015/01/Tapping_French_Module-20150102-2.pdf","x")</f>
        <v>x</v>
      </c>
      <c r="IB58" s="111"/>
      <c r="IC58" s="111"/>
      <c r="ID58" s="111"/>
      <c r="IE58" s="111"/>
      <c r="IF58" s="111"/>
      <c r="IG58" s="111"/>
      <c r="IH58" s="111"/>
      <c r="II58" s="112" t="str">
        <f>HYPERLINK("http://www.caritas.de/hilfeundberatung/onlineberatung/suchtberatung/haeufiggestelltefragensucht/haeufiggestelltefragen-sucht","x")</f>
        <v>x</v>
      </c>
      <c r="IJ58" s="111"/>
      <c r="IK58" s="112" t="str">
        <f>HYPERLINK("http://www.bamf.de/SharedDocs/Anlagen/DE/Publikationen/Flyer/Lassen-Sie-Sich-Beraten/lassen-sie-sich-beraten_fr.pdf?__blob=publicationFile","x")</f>
        <v>x</v>
      </c>
      <c r="IL58" s="112" t="str">
        <f>HYPERLINK("http://www.bamf.de/SharedDocs/Anlagen/DE/Publikationen/Flyer/flyer-erstorientierung-asylsuchende_franzoesisch.pdf?__blob=publicationFile","x")</f>
        <v>x</v>
      </c>
      <c r="IM58" s="112" t="str">
        <f>HYPERLINK("http://www.frnrw.de/index.php/inhaltliche-themen/arbeitshilfen/item/3710-erstinfos-fuer-asylsuchende","x")</f>
        <v>x</v>
      </c>
      <c r="IN58" s="112" t="str">
        <f>HYPERLINK("https://www.bamf.de/SharedDocs/Anlagen/DE/Publikationen/Broschueren/willkommen-in-deutschland_fr.pdf?__blob=publicationFile","x")</f>
        <v>x</v>
      </c>
      <c r="IO58" s="112"/>
      <c r="IP58" s="112"/>
      <c r="IQ58" s="112" t="str">
        <f>HYPERLINK("http://www.bamf.de/SharedDocs/Anlagen/DE/Publikationen/Flyer/Lernen-Sie-Deutsch/lernen-sie-deutsch_fr.pdf?__blob=publicationFile","x")</f>
        <v>x</v>
      </c>
      <c r="IR58" s="112"/>
      <c r="IS58" s="111"/>
      <c r="IT58" s="111"/>
      <c r="IU58" s="111"/>
      <c r="IV58" s="112" t="str">
        <f>HYPERLINK("http://www.asyl.net/fileadmin/user_upload/infoblatt_anhoerung/Frz_final.pdf","x")</f>
        <v>x</v>
      </c>
      <c r="IW58" s="112"/>
      <c r="IX58" s="112" t="str">
        <f>HYPERLINK("http://www.berlin.de/labo/willkommen-in-berlin/service/downloads/artikel.273193.php","x")</f>
        <v>x</v>
      </c>
      <c r="IY58" s="112" t="str">
        <f>HYPERLINK("http://www.bamf.de/SharedDocs/Anlagen/DE/Publikationen/Broschueren/broschuere-eat-a4-fr-franzoesisch.pdf?__blob=publicationFile","x")</f>
        <v>x</v>
      </c>
      <c r="IZ58" s="111"/>
      <c r="JA58" s="112" t="str">
        <f>HYPERLINK("http://fluechtlingsrat-bw.de/informationen-fuer-fluechtlinge.html","x")</f>
        <v>x</v>
      </c>
      <c r="JB58" s="111"/>
      <c r="JC58" s="112" t="str">
        <f>HYPERLINK("http://www.bamf.de/SharedDocs/Anlagen/DE/Publikationen/Flyer/20150223_ura2_fra.pdf?__blob=publicationFile","x")</f>
        <v>x</v>
      </c>
      <c r="JD58" s="111"/>
      <c r="JE58" s="112"/>
      <c r="JF58" s="112"/>
      <c r="JG58" s="112"/>
      <c r="JH58" s="112"/>
      <c r="JI58" s="111"/>
      <c r="JJ58" s="112" t="str">
        <f>HYPERLINK("http://www.kub-berlin.org/formularprojekt/franzoesisch-antraege-und-anlagen-uebersetzungshilfen/","x")</f>
        <v>x</v>
      </c>
      <c r="JK58" s="112" t="str">
        <f>HYPERLINK("https://www.arbeitsagentur.de/web/wcm/idc/groups/public/documents/webdatei/mdaw/mjg1/~edisp/l6019022dstbai788667.pdf?_ba.sid=L6019022DSTBAI784626","x")</f>
        <v>x</v>
      </c>
      <c r="JL58" s="112" t="str">
        <f>HYPERLINK("http://www.kub-berlin.org/formularprojekt/franzoesisch-antraege-und-anlagen-uebersetzungshilfen/","x")</f>
        <v>x</v>
      </c>
      <c r="JM58" s="112" t="str">
        <f>HYPERLINK("https://www.arbeitsagentur.de/web/content/DE/Formulare/Detail/index.htm?dfContentId=L6019022DSTBAI485740","x")</f>
        <v>x</v>
      </c>
      <c r="JN58" s="112"/>
      <c r="JO58" s="112"/>
      <c r="JP58" s="112"/>
      <c r="JQ58" s="112"/>
      <c r="JR58" s="112" t="str">
        <f>HYPERLINK("http://www.ibla-germany.de/merkblaetter.php","x")</f>
        <v>x</v>
      </c>
      <c r="JS58" s="112"/>
      <c r="JT58" s="112" t="str">
        <f>HYPERLINK("http://www.b-umf.de/images/willkommen/willkommensbroschurefranzoesisch-web.pdf","x")</f>
        <v>x</v>
      </c>
      <c r="JU58" s="111"/>
      <c r="JV58" s="111"/>
      <c r="JW58" s="112"/>
      <c r="JX58" s="112"/>
      <c r="JY58" s="112"/>
      <c r="JZ58" s="112"/>
      <c r="KA58" s="112"/>
      <c r="KB58" s="112" t="str">
        <f>HYPERLINK("http://www.refugeeguide.de/dl/RefugeeGuide_fr_925.pdf","x")</f>
        <v>x</v>
      </c>
      <c r="KC58" s="111"/>
      <c r="KD58" s="112" t="str">
        <f>HYPERLINK("http://www.wedel.de/fileadmin/user_upload/media/pdf/Rathaus_und_Politik/20160118_PM_Broschuere.pdf","x")</f>
        <v>x</v>
      </c>
      <c r="KE58" s="112" t="str">
        <f>HYPERLINK("http://www.frauenrechte.de/online/images/downloads/allgemein/TDF_Flyer_Women_Men.pdf","x")</f>
        <v>x</v>
      </c>
      <c r="KF58" s="112" t="str">
        <f>HYPERLINK("http://sab.landtag.sachsen.de/dokumente/landtagskurier/Grundwerte-A5-international_web_08012016.pdf","x")</f>
        <v>x</v>
      </c>
      <c r="KG58" s="112"/>
      <c r="KH58" s="112"/>
      <c r="KI58" s="112"/>
      <c r="KJ58" s="112"/>
      <c r="KK58" s="112"/>
      <c r="KL58" s="112"/>
      <c r="KM58" s="112"/>
      <c r="KN58" s="112"/>
      <c r="KO58" s="112"/>
      <c r="KP58" s="112"/>
      <c r="KQ58" s="112"/>
      <c r="KR58" s="112"/>
      <c r="KS58" s="112"/>
      <c r="KT58" s="112"/>
      <c r="KU58" s="112"/>
      <c r="KV58" s="112"/>
      <c r="KW58" s="112"/>
      <c r="KX58" s="112"/>
      <c r="KY58" s="112"/>
      <c r="KZ58" s="112"/>
      <c r="LA58" s="112"/>
      <c r="LB58" s="112"/>
      <c r="LC58" s="111"/>
      <c r="LD58" s="112"/>
      <c r="LE58" s="112"/>
      <c r="LF58" s="112"/>
      <c r="LG58" s="112"/>
      <c r="LH58" s="112"/>
      <c r="LI58" s="112"/>
      <c r="LJ58" s="112"/>
      <c r="LK58" s="112"/>
      <c r="LL58" s="112"/>
      <c r="LM58" s="111"/>
      <c r="LN58" s="111"/>
      <c r="LO58" s="111"/>
      <c r="LP58" s="111"/>
      <c r="LQ58" s="112"/>
      <c r="LR58" s="111"/>
      <c r="LS58" s="112"/>
      <c r="LT58" s="112"/>
      <c r="LU58" s="111"/>
      <c r="LV58" s="111"/>
      <c r="LW58" s="111"/>
      <c r="LX58" s="111"/>
      <c r="LY58" s="111"/>
      <c r="LZ58" s="111"/>
      <c r="MA58" s="111"/>
      <c r="MB58" s="112"/>
      <c r="MC58" s="111"/>
      <c r="MD58" s="112" t="str">
        <f>HYPERLINK("http://www.rki.de/DE/Content/Infekt/IfSG/Belehrungsbogen/belehrungsbogen_lebensmittel_franzoesisch.pdf?__blob=publicationFile","x")</f>
        <v>x</v>
      </c>
      <c r="ME58" s="111"/>
      <c r="MF58" s="112" t="str">
        <f>HYPERLINK("http://www.gdv.de/wp-content/uploads/2016/01/Information_Brandschutz_Fluechtlingsheim_-Sicherheit_mehrsprachig.pdf","x")</f>
        <v>x</v>
      </c>
      <c r="MG58" s="112" t="str">
        <f>HYPERLINK("http://www.gdv.de/wp-content/uploads/2016/01/Information_Verhalten-im-Brandfall_mehrsprachig.pdf","x")</f>
        <v>x</v>
      </c>
      <c r="MH58" s="112" t="str">
        <f>HYPERLINK("http://www.aha-region.de/fileadmin/Download/pdf/aha_Plakat_Muelltrennung_fr.pdf","x")</f>
        <v>x</v>
      </c>
      <c r="MI58" s="112" t="str">
        <f>HYPERLINK("http://www.kindersicherheit.de/pdf/2012_poster_achtunggiftig_8sprachig.pdf","x")</f>
        <v>x</v>
      </c>
    </row>
    <row r="59" spans="1:347" x14ac:dyDescent="0.25">
      <c r="A59" s="102" t="s">
        <v>52</v>
      </c>
      <c r="B59" s="127" t="s">
        <v>38</v>
      </c>
      <c r="C59" s="102"/>
      <c r="D59" s="102"/>
      <c r="E59" s="102"/>
      <c r="F59" s="102"/>
      <c r="G59" s="102"/>
      <c r="H59" s="102"/>
      <c r="I59" s="102"/>
      <c r="J59" s="102"/>
      <c r="K59" s="103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2"/>
      <c r="AP59" s="112"/>
      <c r="AQ59" s="112"/>
      <c r="AR59" s="112"/>
      <c r="AS59" s="112"/>
      <c r="AT59" s="112"/>
      <c r="AU59" s="112"/>
      <c r="AV59" s="113"/>
      <c r="AW59" s="114" t="str">
        <f t="shared" si="0"/>
        <v>x</v>
      </c>
      <c r="AX59" s="114" t="str">
        <f t="shared" si="1"/>
        <v>x</v>
      </c>
      <c r="AY59" s="111"/>
      <c r="AZ59" s="111"/>
      <c r="BA59" s="112" t="str">
        <f t="shared" si="2"/>
        <v>x</v>
      </c>
      <c r="BB59" s="112" t="str">
        <f t="shared" si="3"/>
        <v>x</v>
      </c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2" t="str">
        <f t="shared" si="4"/>
        <v>x</v>
      </c>
      <c r="BT59" s="112"/>
      <c r="BU59" s="111"/>
      <c r="BV59" s="112" t="str">
        <f t="shared" si="5"/>
        <v>x</v>
      </c>
      <c r="BW59" s="112"/>
      <c r="BX59" s="112"/>
      <c r="BY59" s="112"/>
      <c r="BZ59" s="112"/>
      <c r="CA59" s="112" t="str">
        <f t="shared" si="6"/>
        <v>x</v>
      </c>
      <c r="CB59" s="112" t="str">
        <f t="shared" si="7"/>
        <v>x</v>
      </c>
      <c r="CC59" s="112" t="str">
        <f t="shared" si="8"/>
        <v>x</v>
      </c>
      <c r="CD59" s="112"/>
      <c r="CE59" s="112"/>
      <c r="CF59" s="111"/>
      <c r="CG59" s="111"/>
      <c r="CH59" s="111"/>
      <c r="CI59" s="111"/>
      <c r="CJ59" s="111"/>
      <c r="CK59" s="112" t="str">
        <f t="shared" si="9"/>
        <v>x</v>
      </c>
      <c r="CL59" s="112"/>
      <c r="CM59" s="112"/>
      <c r="CN59" s="112"/>
      <c r="CO59" s="112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2"/>
      <c r="DA59" s="112" t="str">
        <f>HYPERLINK("http://sichere-orte-schaffen.de/wp-content/uploads/Minibrosch_Fluechtlinge_multilang.pdf","x")</f>
        <v>x</v>
      </c>
      <c r="DB59" s="112"/>
      <c r="DC59" s="115"/>
      <c r="DD59" s="112"/>
      <c r="DE59" s="112"/>
      <c r="DF59" s="112" t="str">
        <f t="shared" si="10"/>
        <v>x</v>
      </c>
      <c r="DG59" s="115" t="str">
        <f t="shared" si="11"/>
        <v>x</v>
      </c>
      <c r="DH59" s="112" t="str">
        <f t="shared" si="12"/>
        <v>x</v>
      </c>
      <c r="DI59" s="112" t="str">
        <f t="shared" si="13"/>
        <v>x</v>
      </c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2"/>
      <c r="DV59" s="111"/>
      <c r="DW59" s="111"/>
      <c r="DX59" s="111"/>
      <c r="DY59" s="111"/>
      <c r="DZ59" s="111"/>
      <c r="EA59" s="111"/>
      <c r="EB59" s="112"/>
      <c r="EC59" s="111"/>
      <c r="ED59" s="111"/>
      <c r="EE59" s="111"/>
      <c r="EF59" s="111"/>
      <c r="EG59" s="111"/>
      <c r="EH59" s="111"/>
      <c r="EI59" s="111"/>
      <c r="EJ59" s="112"/>
      <c r="EK59" s="112"/>
      <c r="EL59" s="111"/>
      <c r="EM59" s="111"/>
      <c r="EN59" s="111"/>
      <c r="EO59" s="111"/>
      <c r="EP59" s="117" t="str">
        <f>HYPERLINK("http://www.medi-bild.de/pdf/anamnese/Welche_Sprache.pdf","x")</f>
        <v>x</v>
      </c>
      <c r="EQ59" s="117" t="str">
        <f>HYPERLINK("http://www.medi-bild.de/pdf/anamnese/tipdoc_Anamnese_amh.pdf","x")</f>
        <v>x</v>
      </c>
      <c r="ER59" s="111"/>
      <c r="ES59" s="111"/>
      <c r="ET59" s="111"/>
      <c r="EU59" s="111"/>
      <c r="EV59" s="111"/>
      <c r="EW59" s="112" t="str">
        <f t="shared" si="14"/>
        <v>x</v>
      </c>
      <c r="EX59" s="111"/>
      <c r="EY59" s="111"/>
      <c r="EZ59" s="111"/>
      <c r="FA59" s="111"/>
      <c r="FB59" s="111"/>
      <c r="FC59" s="111"/>
      <c r="FD59" s="112" t="str">
        <f t="shared" si="15"/>
        <v>x</v>
      </c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2" t="str">
        <f t="shared" si="16"/>
        <v>x</v>
      </c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2" t="str">
        <f t="shared" si="17"/>
        <v>x</v>
      </c>
      <c r="HZ59" s="112" t="str">
        <f t="shared" si="18"/>
        <v>x</v>
      </c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2"/>
      <c r="IL59" s="112" t="str">
        <f>HYPERLINK("http://www.bamf.de/SharedDocs/Anlagen/DE/Publikationen/Flyer/flyer-erstorientierung-asylsuchende_amharisch.pdf?__blob=publicationFile","x")</f>
        <v>x</v>
      </c>
      <c r="IM59" s="111"/>
      <c r="IN59" s="111"/>
      <c r="IO59" s="111"/>
      <c r="IP59" s="111"/>
      <c r="IQ59" s="112"/>
      <c r="IR59" s="112"/>
      <c r="IS59" s="111"/>
      <c r="IT59" s="111"/>
      <c r="IU59" s="111"/>
      <c r="IV59" s="112" t="str">
        <f>HYPERLINK("http://www.asyl.net/fileadmin/user_upload/infoblatt_anhoerung/Infoblatt_2015_amh_fin.pdf","x")</f>
        <v>x</v>
      </c>
      <c r="IW59" s="112"/>
      <c r="IX59" s="112"/>
      <c r="IY59" s="112" t="str">
        <f>HYPERLINK("http://www.bamf.de/SharedDocs/Anlagen/DE/Publikationen/Broschueren/broschuere-eat-a4-am-amharisch.pdf?__blob=publicationFile","x")</f>
        <v>x</v>
      </c>
      <c r="IZ59" s="111"/>
      <c r="JA59" s="111"/>
      <c r="JB59" s="111"/>
      <c r="JC59" s="112"/>
      <c r="JD59" s="111"/>
      <c r="JE59" s="112"/>
      <c r="JF59" s="112"/>
      <c r="JG59" s="111"/>
      <c r="JH59" s="111"/>
      <c r="JI59" s="111"/>
      <c r="JJ59" s="112"/>
      <c r="JK59" s="112"/>
      <c r="JL59" s="112"/>
      <c r="JM59" s="112"/>
      <c r="JN59" s="112"/>
      <c r="JO59" s="112"/>
      <c r="JP59" s="112"/>
      <c r="JQ59" s="112"/>
      <c r="JR59" s="112"/>
      <c r="JS59" s="112"/>
      <c r="JT59" s="111"/>
      <c r="JU59" s="111"/>
      <c r="JV59" s="111"/>
      <c r="JW59" s="112"/>
      <c r="JX59" s="112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  <c r="MI59" s="111"/>
    </row>
    <row r="60" spans="1:347" x14ac:dyDescent="0.25">
      <c r="A60" s="102" t="s">
        <v>52</v>
      </c>
      <c r="B60" s="127" t="s">
        <v>1</v>
      </c>
      <c r="C60" s="102"/>
      <c r="D60" s="102"/>
      <c r="E60" s="102"/>
      <c r="F60" s="102"/>
      <c r="G60" s="102"/>
      <c r="H60" s="102"/>
      <c r="I60" s="102"/>
      <c r="J60" s="102"/>
      <c r="K60" s="103"/>
      <c r="L60" s="112" t="str">
        <f>HYPERLINK("http://sghanstedt.elbnetz.com/ueber-uns/","x")</f>
        <v>x</v>
      </c>
      <c r="M60" s="111"/>
      <c r="N60" s="112" t="str">
        <f>HYPERLINK("http://www.ag-fluechtlingshilfe-wetterau.de/uploads/infos/170.pdf","x")</f>
        <v>x</v>
      </c>
      <c r="O60" s="112" t="str">
        <f>HYPERLINK("http://www.ag-fluechtlingshilfe-wetterau.de/uploads/infos/220.pdf","x")</f>
        <v>x</v>
      </c>
      <c r="P60" s="112" t="str">
        <f>HYPERLINK("http://www.awb-ahrweiler.de/admin/data/ddownload/Abfall%20Sonderhinweise-Arabisch%202015.pdf","x")</f>
        <v>x</v>
      </c>
      <c r="Q60" s="112" t="str">
        <f>HYPERLINK("http://www.ag-fluechtlingshilfe-wetterau.de/uploads/infos/221.pdf","x")</f>
        <v>x</v>
      </c>
      <c r="R60" s="112" t="str">
        <f>HYPERLINK("http://www.konto.org/download/merkblatt-basiskonto-asylbewerber-arabisch.pdf","x")</f>
        <v>x</v>
      </c>
      <c r="S60" s="112"/>
      <c r="T60" s="112" t="str">
        <f>HYPERLINK("https://antworten.sparkasse.de/wp-content/uploads/2015/10/Arabisch.pdf","x")</f>
        <v>x</v>
      </c>
      <c r="U60" s="112" t="str">
        <f>HYPERLINK("http://www.ag-fluechtlingshilfe-wetterau.de/uploads/infos/191.pdf","x")</f>
        <v>x</v>
      </c>
      <c r="V60" s="112"/>
      <c r="W60" s="112"/>
      <c r="X60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60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60" s="112"/>
      <c r="AA60" s="112"/>
      <c r="AB60" s="112"/>
      <c r="AC60" s="112"/>
      <c r="AD60" s="112" t="str">
        <f>HYPERLINK("http://www.rundfunkbeitrag.de/e175/e1629/Informationsflyer_Buergerinnen_und_Buerger_arabisch.pdf","x")</f>
        <v>x</v>
      </c>
      <c r="AE60" s="112"/>
      <c r="AF60" s="112" t="str">
        <f>HYPERLINK("http://www.kub-berlin.org/formularprojekt/de/arabisch-antraege-und-anlagen/","x")</f>
        <v>x</v>
      </c>
      <c r="AG60" s="112" t="str">
        <f>HYPERLINK("http://asyl-in-moenchengladbach.de/wp-content/uploads/2015/11/100711-Flyer_arab.pdf","x")</f>
        <v>x</v>
      </c>
      <c r="AH60" s="111"/>
      <c r="AI60" s="112" t="str">
        <f>HYPERLINK("https://www.adac.de/sp/stiftung/_mmm/pdf/SGE_FOL_Verkehrssicherheit_Fl%C3%BCchtlinge_A3_01_16_Internet_250277.pdf","x")</f>
        <v>x</v>
      </c>
      <c r="AJ60" s="112" t="str">
        <f>HYPERLINK("http://www.stadt-koeln.de/mediaasset/content/العربية_kvb_kinderleicht_und_spielend_einfach__arabisch_.pdf","x")</f>
        <v>x</v>
      </c>
      <c r="AK60" s="112" t="str">
        <f>HYPERLINK("https://www.vrsinfo.de/fileadmin/Dateien/downloadcenter/Folder_MobilPassTicket_Refugees01012016.pdf","x")</f>
        <v>x</v>
      </c>
      <c r="AL60" s="112" t="str">
        <f>HYPERLINK("https://www.vrsinfo.de/fileadmin/Dateien/downloadcenter/Willkommen_im_VRS2016_Druck.pdf","x")</f>
        <v>x</v>
      </c>
      <c r="AM60" s="112"/>
      <c r="AN60" s="112" t="str">
        <f>HYPERLINK("https://www.deutschebahn.com/file/de/2191748/eYdgZpqGpp5sMJ2KMKtg2r8aE4Q/10123812/data/infos_fuer_fluechtlinge.pdf","x")</f>
        <v>x</v>
      </c>
      <c r="AO60" s="112"/>
      <c r="AP60" s="112"/>
      <c r="AQ60" s="112"/>
      <c r="AR60" s="112"/>
      <c r="AS60" s="112"/>
      <c r="AT60" s="112" t="str">
        <f>HYPERLINK("http://www.koelnerkarneval.de/fileadmin/content/images/news/Festkomitee_Flyer_DE_AR.pdf","x")</f>
        <v>x</v>
      </c>
      <c r="AU60" s="112"/>
      <c r="AV60" s="114" t="str">
        <f>HYPERLINK("http://www.studentenwerke.de/de/content/illustriertes-wohnheimw%C3%B6rterbuch-1","x")</f>
        <v>x</v>
      </c>
      <c r="AW60" s="114" t="str">
        <f t="shared" si="0"/>
        <v>x</v>
      </c>
      <c r="AX60" s="114" t="str">
        <f t="shared" si="1"/>
        <v>x</v>
      </c>
      <c r="AY60" s="112" t="str">
        <f>HYPERLINK("http://fi-lohmar-siegburg.de/data/documents/Findefix_arabisch-Bildwoerterbuch.pdf","x")</f>
        <v>x</v>
      </c>
      <c r="AZ60" s="111"/>
      <c r="BA60" s="112" t="str">
        <f t="shared" si="2"/>
        <v>x</v>
      </c>
      <c r="BB60" s="112" t="str">
        <f t="shared" si="3"/>
        <v>x</v>
      </c>
      <c r="BC60" s="112"/>
      <c r="BD60" s="112" t="str">
        <f>HYPERLINK("http://www.rehavista.de/?at=Mat_Boardmaker&amp;d=1&amp;dtype=mat&amp;id=1014","x")</f>
        <v>x</v>
      </c>
      <c r="BE60" s="112" t="str">
        <f>HYPERLINK("http://fi-lohmar-siegburg.de/data/documents/communicationboard-arabic-english.pdf","x")</f>
        <v>x</v>
      </c>
      <c r="BF60" s="112" t="str">
        <f>HYPERLINK("http://fi-lohmar-siegburg.de/data/documents/communicationboard-arabic-french.pdf","x")</f>
        <v>x</v>
      </c>
      <c r="BG60" s="111"/>
      <c r="BH60" s="112" t="str">
        <f>HYPERLINK("http://www.refugeephrasebook.de/pdf/germany150920.pdf","x")</f>
        <v>x</v>
      </c>
      <c r="BI60" s="112" t="str">
        <f>HYPERLINK("https://www.advanced-online.eu/downloads/RefugeePhrasebookCards_German-Arabic.pdf","x")</f>
        <v>x</v>
      </c>
      <c r="BJ60" s="112" t="str">
        <f>HYPERLINK("http://www.klett-sprachen.de/download/8638/W100255_Refugees_Welcome_Wortschatz.pdf","x")</f>
        <v>x</v>
      </c>
      <c r="BK60" s="112" t="str">
        <f>HYPERLINK("http://www.agf-trier.de/sites/default/files/bersetzungshilfe%20allgemein%20Arab..pdf","x")</f>
        <v>x</v>
      </c>
      <c r="BL60" s="112" t="str">
        <f>HYPERLINK("http://www.bundessprachenamt.de/deutsch/wir_ueber_uns/nachrichten/2015/20151103/Verständigungshilfe_Syrisch-Arabisch_07_12_2015.pdf","x")</f>
        <v>x</v>
      </c>
      <c r="BM60" s="112" t="str">
        <f>HYPERLINK("http://www.frnrw.de/images/Aus_den_Initiativen/Ehrenamtler/2015/Dictionary_x10_print-2.pdf","x")</f>
        <v>x</v>
      </c>
      <c r="BN60" s="112" t="str">
        <f>HYPERLINK("http://www.medbox.org/toolboxes/kleines-worterbuch-little-dictionary-deutsch-englisch-arabisch/preview","x")</f>
        <v>x</v>
      </c>
      <c r="BO60" s="111"/>
      <c r="BP60" s="111"/>
      <c r="BQ60" s="112" t="str">
        <f>HYPERLINK("https://www.friedensdorf.de/documents/Woerterbuch_Arabisch.pdf","x")</f>
        <v>x</v>
      </c>
      <c r="BR60" s="111"/>
      <c r="BS60" s="112" t="str">
        <f t="shared" si="4"/>
        <v>x</v>
      </c>
      <c r="BT60" s="112" t="str">
        <f>HYPERLINK("http://de.langenscheidt.com/doc/arabisch-deutsch-sprachfuehrer.pdf","x")</f>
        <v>x</v>
      </c>
      <c r="BU60" s="111"/>
      <c r="BV60" s="112" t="str">
        <f t="shared" si="5"/>
        <v>x</v>
      </c>
      <c r="BW60" s="112" t="str">
        <f>HYPERLINK("http://www.welcomegrooves.de/wp-content/uploads/2015/10/welcomegrooves_DE-ARABISCH.pdf","x")</f>
        <v>x</v>
      </c>
      <c r="BX60" s="112"/>
      <c r="BY60" s="112"/>
      <c r="BZ60" s="112" t="str">
        <f>HYPERLINK("http://fluechtlingshilfe-nettetal.de/ausbildung/video-sprachkurse-deutsch-fuer-fluechtlinge/video-sprachkurs-syrisch-deutsch/","x")</f>
        <v>x</v>
      </c>
      <c r="CA60" s="112" t="str">
        <f t="shared" si="6"/>
        <v>x</v>
      </c>
      <c r="CB60" s="112" t="str">
        <f t="shared" si="7"/>
        <v>x</v>
      </c>
      <c r="CC60" s="112" t="str">
        <f t="shared" si="8"/>
        <v>x</v>
      </c>
      <c r="CD60" s="112"/>
      <c r="CE60" s="112"/>
      <c r="CF60" s="112" t="str">
        <f>HYPERLINK("http://www.agf-trier.de/sites/default/files/bersetzungshilfe%20%20f%C3%BCr%20Frauen%20Arab..pdf","x")</f>
        <v>x</v>
      </c>
      <c r="CG60" s="112" t="str">
        <f>HYPERLINK("http://www.braunschweig.de/leben/frauen/hilfe/Ohne-Gewalt-leben.pdf","x")</f>
        <v>x</v>
      </c>
      <c r="CH60" s="112" t="str">
        <f>HYPERLINK("http://mifkjf.rlp.de/fileadmin/mifkjf/Frauen/Gewalt_gegen_Frauen/Downloads/Broschueren_Flyer/Flyer_Gewalt_arabisch_fuer_ANSICHT.pdf","x")</f>
        <v>x</v>
      </c>
      <c r="CI60" s="112"/>
      <c r="CJ60" s="112" t="str">
        <f>HYPERLINK("https://www.hilfetelefon.de/fileadmin/hilfetelefon_de/Materialien/weitere_werbemittel/Klappflyer_Vorder-_und_Rueckseite_opt2.pdf","x")</f>
        <v>x</v>
      </c>
      <c r="CK60" s="112" t="str">
        <f t="shared" si="9"/>
        <v>x</v>
      </c>
      <c r="CL60" s="112" t="str">
        <f>HYPERLINK("http://www.frauenberatungsstelle.de/pdf/Migrantinnen-beraten-Migrantinnen.pdf","x")</f>
        <v>x</v>
      </c>
      <c r="CM60" s="112"/>
      <c r="CN60" s="112"/>
      <c r="CO60" s="112"/>
      <c r="CP60" s="112" t="str">
        <f>HYPERLINK("http://www.schwanger-und-viele-fragen.de/ar/","x")</f>
        <v>x</v>
      </c>
      <c r="CQ60" s="112"/>
      <c r="CR60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60" s="112"/>
      <c r="CT60" s="112"/>
      <c r="CU60" s="112" t="str">
        <f>HYPERLINK("http://www.profamilia.de/fileadmin/publikationen/Erwachsene/mehrsprachig/verhuetung_arabisch.pdf","x")</f>
        <v>x</v>
      </c>
      <c r="CV60" s="112"/>
      <c r="CW60" s="112"/>
      <c r="CX60" s="112"/>
      <c r="CY60" s="112" t="str">
        <f>HYPERLINK("http://www.caritas-schwarzwald-alb-donau.de/68854.html","x")</f>
        <v>x</v>
      </c>
      <c r="CZ60" s="112"/>
      <c r="DA60" s="112" t="str">
        <f>HYPERLINK("http://sichere-orte-schaffen.de/wp-content/uploads/Minibrosch_Fluechtlinge_multilang.pdf","x")</f>
        <v>x</v>
      </c>
      <c r="DB60" s="112"/>
      <c r="DC60" s="115" t="str">
        <f>HYPERLINK("http://www.kindersicherheit.de/pdf/2012_Bilderbuch-Gift-Arabisch.pdf","x")</f>
        <v>x</v>
      </c>
      <c r="DD60" s="112"/>
      <c r="DE60" s="112"/>
      <c r="DF60" s="112" t="str">
        <f t="shared" si="10"/>
        <v>x</v>
      </c>
      <c r="DG60" s="115" t="str">
        <f t="shared" si="11"/>
        <v>x</v>
      </c>
      <c r="DH60" s="112" t="str">
        <f t="shared" si="12"/>
        <v>x</v>
      </c>
      <c r="DI60" s="112" t="str">
        <f t="shared" si="13"/>
        <v>x</v>
      </c>
      <c r="DJ60" s="112" t="str">
        <f>HYPERLINK("http://www.bibliomedia.ch/de/angebote/dokumente/Glossar_arabisch.pdf","x")</f>
        <v>x</v>
      </c>
      <c r="DK60" s="112"/>
      <c r="DL60" s="112" t="str">
        <f>HYPERLINK("http://www.carlsen.de/sites/default/files/Walter-ebook_arabisch_klein.pdf","x")</f>
        <v>x</v>
      </c>
      <c r="DM60" s="112"/>
      <c r="DN60" s="112"/>
      <c r="DO60" s="112" t="str">
        <f>HYPERLINK("http://www.wdrmaus.de/sachgeschichten/maus-international/","x")</f>
        <v>x</v>
      </c>
      <c r="DP60" s="111"/>
      <c r="DQ60" s="112" t="str">
        <f>HYPERLINK("http://tipdoc.de/bus/grafik/kinder-tip/SCHULTIP_give_didacta.pdf","x")</f>
        <v>x</v>
      </c>
      <c r="DR60" s="112" t="str">
        <f>HYPERLINK("https://broschueren.nordrheinwestfalendirekt.de/broschuerenservice/msw/ar-das-schulsystem-in-nordrhein-westfalen-einfach-und-schnell-erklaert/1901","x")</f>
        <v>x</v>
      </c>
      <c r="DS60" s="112" t="str">
        <f>HYPERLINK("http://bildung.koeln.de/materialbibliothek/download.php?idx=7479da9798519efb4e1944d46a76011b","x")</f>
        <v>x</v>
      </c>
      <c r="DT60" s="112" t="str">
        <f>HYPERLINK("http://bildung.koeln.de/materialbibliothek/download.php?idx=dd3a964c240308ea1c8e0d161e49e314","x")</f>
        <v>x</v>
      </c>
      <c r="DU60" s="112"/>
      <c r="DV60" s="112" t="str">
        <f>HYPERLINK("https://www.bmbf.de/pub/Kausa_Elternbroschuere_arabisch.pdf","x")</f>
        <v>x</v>
      </c>
      <c r="DW60" s="112"/>
      <c r="DX60" s="112" t="str">
        <f>HYPERLINK("http://www.wissenschaft.nrw.de/studium/informieren/informationen-fuer-fluechtlinge-die-in-nrw-studieren-moechten/","x")</f>
        <v>x</v>
      </c>
      <c r="DY60" s="112" t="str">
        <f>HYPERLINK("http://www.bamf.de/SharedDocs/Anlagen/DE/Publikationen/Flyer/AnerkennungBerufsabschluss/berufliche_anerkennung_akademische-heilberufe_ar.pdf?__blob=publicationFile","x")</f>
        <v>x</v>
      </c>
      <c r="DZ60" s="112" t="str">
        <f>HYPERLINK("http://www.bamf.de/SharedDocs/Anlagen/DE/Publikationen/Flyer/AnerkennungBerufsabschluss/anerkennung-berufsabschluss_ar.pdf?__blob=publicationFile","x")</f>
        <v>x</v>
      </c>
      <c r="EA60" s="112" t="str">
        <f>HYPERLINK("http://www.bamf.de/SharedDocs/Anlagen/DE/Publikationen/Flyer/AnerkennungBerufsabschluss/anerkennung-berufsabschluss_ausland_ar.pdf?__blob=publicationFile","x")</f>
        <v>x</v>
      </c>
      <c r="EB60" s="112" t="str">
        <f>HYPERLINK("http://www.bamf.de/SharedDocs/Anlagen/DE/Publikationen/Broschueren/willkommen-in-deutschland-info-blaue-karte-eu_ar.pdf?__blob=publicationFile","x")</f>
        <v>x</v>
      </c>
      <c r="EC60" s="112" t="str">
        <f>HYPERLINK("http://www.bamf.de/SharedDocs/Anlagen/DE/Publikationen/Flyer/Berufsbezsprachf-ESF-BAMF/berufsbezsprachf-esf-bamf_ar.pdf?__blob=publicationFile","x")</f>
        <v>x</v>
      </c>
      <c r="ED60" s="111"/>
      <c r="EE60" s="111"/>
      <c r="EF60" s="111"/>
      <c r="EG60" s="111"/>
      <c r="EH60" s="111"/>
      <c r="EI60" s="111"/>
      <c r="EJ60" s="112"/>
      <c r="EK60" s="112" t="str">
        <f>HYPERLINK("http://fluechtlingsrat-bw.de/files/Dateien/Dokumente/Materialbestellung/2014-12-flyer%20arbeitserlaubnis%20AR%20WEB_final.pdf","x")</f>
        <v>x</v>
      </c>
      <c r="EL60" s="112" t="str">
        <f>HYPERLINK("http://www.aponet.de/arabisch/20151019-fuer-den-notfall-wichtige-rufnummern-im-ueberblick.html","x")</f>
        <v>x</v>
      </c>
      <c r="EM60" s="112" t="str">
        <f>HYPERLINK("http://www.kvs-sachsen.de/fileadmin/img/Mitglieder/Asylbewerber/Allg-Informationen/Anlage_1_Arabisch_LEK.pdf","x")</f>
        <v>x</v>
      </c>
      <c r="EN60" s="112" t="str">
        <f>HYPERLINK("http://www.medizin-hilft-fluechtlingen.de/images/Dokumente/gSch/gSch_arab.pdf","x")</f>
        <v>x</v>
      </c>
      <c r="EO60" s="112" t="str">
        <f>HYPERLINK("http://www.aponet.de/arabisch/20151016-medizinische-leistungen-fuer-asylbewerber.html","x")</f>
        <v>x</v>
      </c>
      <c r="EP60" s="117" t="str">
        <f>HYPERLINK("http://www.medi-bild.de/pdf/anamnese/Welche_Sprache.pdf","x")</f>
        <v>x</v>
      </c>
      <c r="EQ60" s="117" t="str">
        <f>HYPERLINK("http://www.armut-gesundheit.de/fileadmin/redakteur/dokumente/Anamnesebogen%20-%20Arabischnew.pdf","x")</f>
        <v>x</v>
      </c>
      <c r="ER60" s="112" t="str">
        <f>HYPERLINK("http://www.kvs-sachsen.de/fileadmin/img/Mitglieder/Asylbewerber/Allg-Informationen/Anlagen_2-1_2-2_Arabisch_LEK.pdf","x")</f>
        <v>x</v>
      </c>
      <c r="ES60" s="112"/>
      <c r="ET60" s="112" t="str">
        <f>HYPERLINK("http://www.pharmazeutische-zeitung.de/fileadmin/pdf/Fragebogen_PZ_43_2015.pdf","x")</f>
        <v>x</v>
      </c>
      <c r="EU60" s="112" t="str">
        <f>HYPERLINK("http://www.medizin-hilft-fluechtlingen.de/images/Dokumente/ein/ein_arab.pdf","x")</f>
        <v>x</v>
      </c>
      <c r="EV60" s="112" t="str">
        <f>HYPERLINK("http://www.adler-apotheke-hh.de/fileadmin/user_upload/PDF-Dateien/Dosierzettel_mehrsprachig_AUF_0_.pdf","x")</f>
        <v>x</v>
      </c>
      <c r="EW60" s="112" t="str">
        <f t="shared" si="14"/>
        <v>x</v>
      </c>
      <c r="EX60" s="112" t="str">
        <f>HYPERLINK("http://www.rki.de/DE/Content/Infekt/IfSG/Belehrungsbogen/belehrungsbogen_eltern_arabisch.pdf?__blob=publicationFile","x")</f>
        <v>x</v>
      </c>
      <c r="EY60" s="112" t="str">
        <f>HYPERLINK("http://www.bzga.de/infomaterialien/?sid=236","x")</f>
        <v>x</v>
      </c>
      <c r="EZ60" s="112" t="str">
        <f>HYPERLINK("https://www.mh-hannover.de/fileadmin/mhh/bilder/aktuelles_presse/presseinformationen_news/150921_Pilz_Vergif_Arab_3.pdf","x")</f>
        <v>x</v>
      </c>
      <c r="FA60" s="112"/>
      <c r="FB60" s="112" t="str">
        <f>HYPERLINK("http://static.apotheken-umschau.de/media/gp/article_506373/bildwoerterbuch.pdf","x")</f>
        <v>x</v>
      </c>
      <c r="FC60" s="111"/>
      <c r="FD60" s="112" t="str">
        <f t="shared" si="15"/>
        <v>x</v>
      </c>
      <c r="FE60" s="112" t="str">
        <f>HYPERLINK("http://sghanstedt.elbnetz.com/ueber-uns/","x")</f>
        <v>x</v>
      </c>
      <c r="FF60" s="112" t="str">
        <f>HYPERLINK("http://www.fuhlenhagen.com/pdf_dateien/uebertzungshilfe_aerzte_mehrsprachig.pdf","x")</f>
        <v>x</v>
      </c>
      <c r="FG60" s="112" t="str">
        <f>HYPERLINK("http://www.tipdoc.de/grafik/asyl/Gesundheitsheft_Asyl.pdf","x")</f>
        <v>x</v>
      </c>
      <c r="FH60" s="111"/>
      <c r="FI60" s="111"/>
      <c r="FJ60" s="112" t="str">
        <f>HYPERLINK("http://www.bundesgesundheitsministerium.de/fileadmin/dateien/Publikationen/Gesundheit/Broschueren/Ratgeber_Asylsuchende/Ratgeber_Asylsuchende_arab.PDF","x")</f>
        <v>x</v>
      </c>
      <c r="FK60" s="112" t="str">
        <f>HYPERLINK("http://www.rki.de/DE/Content/Infekt/Impfen/Materialien/Downloads-Impfkalender/Impfkalender_Arabisch.pdf?__blob=publicationFile","x")</f>
        <v>x</v>
      </c>
      <c r="FL60" s="112" t="str">
        <f>HYPERLINK("http://www.ethno-medizinisches-zentrum.de/images/PDF-Files/impfwegweiser_arabbisch_2013_online.pdf","x")</f>
        <v>x</v>
      </c>
      <c r="FM60" s="112"/>
      <c r="FN60" s="112" t="str">
        <f>HYPERLINK("http://www.rki.de/DE/Content/Infekt/Impfen/Materialien/Glossar-Downloads/glossar-de-arabisch.pdf?__blob=publicationFile","x")</f>
        <v>x</v>
      </c>
      <c r="FO60" s="112"/>
      <c r="FP60" s="112" t="str">
        <f>HYPERLINK("http://www.rki.de/DE/Content/Infekt/Impfen/Materialien/Downloads-MMR/MMR-Impfinfo-arabisch.pdf?__blob=publicationFile","x")</f>
        <v>x</v>
      </c>
      <c r="FQ60" s="112" t="str">
        <f>HYPERLINK("http://www.rki.de/DE/Content/InfAZ/P/Polio/Ausbruch_Syrien/Informationsblatt_Polio_Arabisch.pdf?__blob=publicationFile","x")</f>
        <v>x</v>
      </c>
      <c r="FR60" s="112" t="str">
        <f>HYPERLINK("http://www.rki.de/DE/Content/Infekt/Impfen/Materialien/Downloads_HepA/Aufklaerung_HAV-Impfung_arabisch.pdf?__blob=publicationFile","x")</f>
        <v>x</v>
      </c>
      <c r="FS60" s="112" t="str">
        <f>HYPERLINK("http://www.rki.de/DE/Content/Infekt/Impfen/Materialien/Downloads_Pneumokokken/Aufklaerung_Pneumo-Impfung_Arabisch.pdf?__blob=publicationFile","x")</f>
        <v>x</v>
      </c>
      <c r="FT60" s="112" t="str">
        <f>HYPERLINK("http://www.rki.de/DE/Content/Infekt/Impfen/Materialien/Downloads-DTaPIPVHibHepB/DTaPIPVHibHepB_arabisch.pdf?__blob=publicationFile","x")</f>
        <v>x</v>
      </c>
      <c r="FU60" s="112" t="str">
        <f>HYPERLINK("http://www.rki.de/DE/Content/Infekt/Impfen/Materialien/Downloads-Varizellen/Varizellen-Impfinfo-arabisch.pdf;jsessionid=65B697F4EE7EDA8A1ED9E2C4CD6C74EC.2_cid363?__blob=publicationFile","x")</f>
        <v>x</v>
      </c>
      <c r="FV60" s="112" t="str">
        <f>HYPERLINK("http://www.rki.de/DE/Content/Infekt/Impfen/Materialien/Downloads-Tdap-IPV/Tdap-IPV-arabisch.pdf?__blob=publicationFile","x")</f>
        <v>x</v>
      </c>
      <c r="FW60" s="112" t="str">
        <f>HYPERLINK("http://www.rki.de/DE/Content/Infekt/Impfen/Materialien/Downloads-Influenza_nasal/Influenza_nasal-arabisch.pdf?__blob=publicationFile","x")</f>
        <v>x</v>
      </c>
      <c r="FX60" s="112" t="str">
        <f>HYPERLINK("http://www.medical-tribune.de/fileadmin/PDF/Arthrose_arabisch.pdf","x")</f>
        <v>x</v>
      </c>
      <c r="FY60" s="112" t="str">
        <f>HYPERLINK("http://www.medical-tribune.de/fileadmin/PDF/Asthma_arabisch.pdf","x")</f>
        <v>x</v>
      </c>
      <c r="FZ60" s="112" t="str">
        <f>HYPERLINK("http://www.medical-tribune.de/fileadmin/PDF/Bluthochdruck_arabisch.pdf","x")</f>
        <v>x</v>
      </c>
      <c r="GA60" s="112"/>
      <c r="GB60" s="112" t="str">
        <f>HYPERLINK("http://www.medical-tribune.de/fileadmin/PDF/COPD_arabisch.pdf","x")</f>
        <v>x</v>
      </c>
      <c r="GC60" s="112"/>
      <c r="GD60" s="112" t="str">
        <f>HYPERLINK("http://www.ethno-medizinisches-zentrum.de/images/PDF-Files/lf_diabete_arab.pdf","x")</f>
        <v>x</v>
      </c>
      <c r="GE60" s="112"/>
      <c r="GF60" s="112"/>
      <c r="GG60" s="112"/>
      <c r="GH60" s="112"/>
      <c r="GI60" s="112" t="str">
        <f>HYPERLINK("http://www.tipdoc.de/bus/pdf/hepatitis/Hep_B_Webseite.pdf","x")</f>
        <v>x</v>
      </c>
      <c r="GJ60" s="112" t="str">
        <f>HYPERLINK("http://www.tipdoc.de/bus/pdf/hepatitis/Hep_C_Webseite.pdf","x")</f>
        <v>x</v>
      </c>
      <c r="GK60" s="111"/>
      <c r="GL60" s="111"/>
      <c r="GM60" s="112" t="str">
        <f>HYPERLINK("http://www.rki.de/DE/Content/Infekt/Impfen/Materialien/Downloads-Influenza/Influenza-arabisch.pdf?__blob=publicationFile","x")</f>
        <v>x</v>
      </c>
      <c r="GN60" s="112"/>
      <c r="GO60" s="112" t="str">
        <f>HYPERLINK("http://www.aponet.de/arabisch/20151111-so-unterscheiden-sich-grippe-und-erkaeltung.html","x")</f>
        <v>x</v>
      </c>
      <c r="GP60" s="112" t="str">
        <f>HYPERLINK("http://www.tipdoc.de/grafik/pdf/kopflaeuse/Kopflaeuse_ARAB.pdf","x")</f>
        <v>x</v>
      </c>
      <c r="GQ60" s="112"/>
      <c r="GR60" s="112" t="str">
        <f>HYPERLINK("http://www.tipdoc.com/bus/pdf/kraetze/tipdoc_Scabies_ARAB.pdf","x")</f>
        <v>x</v>
      </c>
      <c r="GS60" s="112" t="str">
        <f>HYPERLINK("http://www.tipdoc.com/bus/pdf/MagenDarmHaende/MagenDarmHaende_Arab.pdf","x")</f>
        <v>x</v>
      </c>
      <c r="GT60" s="112"/>
      <c r="GU60" s="112" t="str">
        <f>HYPERLINK("http://www.medical-tribune.de/fileadmin/PDF/Rueckenschmerzen_arabisch.pdf","x")</f>
        <v>x</v>
      </c>
      <c r="GV60" s="112"/>
      <c r="GW60" s="112"/>
      <c r="GX60" s="112" t="str">
        <f>HYPERLINK("http://www.medical-tribune.de/fileadmin/PDF/Schwindel_arabisch.pdf","x")</f>
        <v>x</v>
      </c>
      <c r="GY60" s="112"/>
      <c r="GZ60" s="112"/>
      <c r="HA60" s="112"/>
      <c r="HB60" s="112"/>
      <c r="HC60" s="112" t="str">
        <f t="shared" si="16"/>
        <v>x</v>
      </c>
      <c r="HD60" s="112" t="str">
        <f>HYPERLINK("https://www.zahnaerzte-wl.de/images/_PDF-suche/KZV_ZÄK/ENDSTAND_Ankreuzbogen_Ich_verstehe.pdf","x")</f>
        <v>x</v>
      </c>
      <c r="HE60" s="112" t="str">
        <f>HYPERLINK("https://www.zahnaerzte-wl.de/images/_PDF-suche/KZV_ZÄK/Anschreiben_Patienten_arabisch.pdf","x")</f>
        <v>x</v>
      </c>
      <c r="HF60" s="112" t="str">
        <f>HYPERLINK("https://www.zahnaerzte-wl.de/images/_PDF-suche/KZV_ZÄK/Fragebogen_arabisch.pdf","x")</f>
        <v>x</v>
      </c>
      <c r="HG60" s="112" t="str">
        <f>HYPERLINK("https://www.zahnaerzte-wl.de/images/_PDF-suche/KZV_ZÄK/Patientenerhebungsbogen_arabisch.pdf","x")</f>
        <v>x</v>
      </c>
      <c r="HH60" s="112"/>
      <c r="HI60" s="112"/>
      <c r="HJ60" s="112" t="str">
        <f>HYPERLINK("http://www.ibbc-berlin.de/media/Bro_de-arab.pdf","x")</f>
        <v>x</v>
      </c>
      <c r="HK60" s="112"/>
      <c r="HL60" s="112" t="str">
        <f>HYPERLINK("http://www.ethno-medizinisches-zentrum.de/images/PDF-Files/lf_depression__arab.pdf","x")</f>
        <v>x</v>
      </c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 t="str">
        <f>HYPERLINK("http://www.bkk-psychisch-gesund.de/fileadmin/user_upload/Dokumente/Versicherte/Broschueren/Wegweiser_Psychotherapie_arabisch.pdf","x")</f>
        <v>x</v>
      </c>
      <c r="HY60" s="112" t="str">
        <f t="shared" si="17"/>
        <v>x</v>
      </c>
      <c r="HZ60" s="112" t="str">
        <f t="shared" si="18"/>
        <v>x</v>
      </c>
      <c r="IA60" s="112"/>
      <c r="IB60" s="112"/>
      <c r="IC60" s="112"/>
      <c r="ID60" s="112" t="str">
        <f>HYPERLINK("http://www.susannestein.de/VIA-online/trauma-bilderbuch-arabisch.pdf","x")</f>
        <v>x</v>
      </c>
      <c r="IE60" s="112"/>
      <c r="IF60" s="112"/>
      <c r="IG60" s="112"/>
      <c r="IH60" s="111"/>
      <c r="II60" s="112"/>
      <c r="IJ60" s="112"/>
      <c r="IK60" s="112" t="str">
        <f>HYPERLINK("http://www.bamf.de/SharedDocs/Anlagen/DE/Publikationen/Flyer/Lassen-Sie-Sich-Beraten/lassen-sie-sich-beraten_ar.pdf?__blob=publicationFile","x")</f>
        <v>x</v>
      </c>
      <c r="IL60" s="112" t="str">
        <f>HYPERLINK("http://www.bamf.de/SharedDocs/Anlagen/DE/Publikationen/Flyer/flyer-erstorientierung-asylsuchende_arabisch.pdf?__blob=publicationFile","x")</f>
        <v>x</v>
      </c>
      <c r="IM60" s="111"/>
      <c r="IN60" s="112" t="str">
        <f>HYPERLINK("https://www.bamf.de/SharedDocs/Anlagen/DE/Publikationen/Broschueren/willkommen-in-deutschland_ar.pdf?__blob=publicationFile","x")</f>
        <v>x</v>
      </c>
      <c r="IO60" s="112"/>
      <c r="IP60" s="111"/>
      <c r="IQ60" s="112" t="str">
        <f>HYPERLINK("http://www.bamf.de/SharedDocs/Anlagen/DE/Publikationen/Flyer/Lernen-Sie-Deutsch/lernen-sie-deutsch_ar.pdf?__blob=publicationFile","x")</f>
        <v>x</v>
      </c>
      <c r="IR60" s="112" t="str">
        <f>HYPERLINK("http://www.asyl.net/fileadmin/user_upload/redaktion/Dokumente/Arbeitshilfen/150910_Wie_l%C3%A4uft_ein_Asylverfahren_ab_%C3%9Cberblickstext_Arabisch.pdf","x")</f>
        <v>x</v>
      </c>
      <c r="IS60" s="111"/>
      <c r="IT60" s="111"/>
      <c r="IU60" s="111"/>
      <c r="IV60" s="112" t="str">
        <f>HYPERLINK("http://www.asyl.net/fileadmin/user_upload/infoblatt_anhoerung/Infoblatt_2015_ar_fin.pdf","x")</f>
        <v>x</v>
      </c>
      <c r="IW60" s="112" t="str">
        <f>HYPERLINK("http://efi-landsberg.de/asyl/wp-content/uploads/2014/04/Merkblatt-Asylbewerber-Fluechtlinge.pdf","x")</f>
        <v>x</v>
      </c>
      <c r="IX60" s="112"/>
      <c r="IY60" s="112" t="str">
        <f>HYPERLINK("http://www.bamf.de/SharedDocs/Anlagen/DE/Publikationen/Broschueren/broschuere-eat-a4-ar-arabisch.pdf?__blob=publicationFile","x")</f>
        <v>x</v>
      </c>
      <c r="IZ60" s="111"/>
      <c r="JA60" s="112" t="str">
        <f>HYPERLINK("http://fluechtlingsrat-bw.de/informationen-fuer-fluechtlinge.html","x")</f>
        <v>x</v>
      </c>
      <c r="JB60" s="111"/>
      <c r="JC60" s="112"/>
      <c r="JD60" s="111"/>
      <c r="JE60" s="112"/>
      <c r="JF60" s="112"/>
      <c r="JG60" s="112" t="str">
        <f>HYPERLINK("http://www.bamf.de/SharedDocs/Anlagen/DE/Publikationen/Flyer/Ehegattennachzug/ehegattennachzug-ar.pdf?__blob=publicationFile","x")</f>
        <v>x</v>
      </c>
      <c r="JH60" s="112" t="str">
        <f>HYPERLINK("https://familyreunion-syria.diplo.de/webportal/index.html#start","x")</f>
        <v>x</v>
      </c>
      <c r="JI60" s="111"/>
      <c r="JJ60" s="112"/>
      <c r="JK60" s="112" t="str">
        <f>HYPERLINK("https://www.arbeitsagentur.de/web/wcm/idc/groups/public/documents/webdatei/mdaw/mjgz/~edisp/l6019022dstbai784629.pdf?_ba.sid=L6019022DSTBAI788745","x")</f>
        <v>x</v>
      </c>
      <c r="JL60" s="112" t="str">
        <f>HYPERLINK("http://www.kub-berlin.org/formularprojekt/de/arabisch-antraege-und-anlagen/","x")</f>
        <v>x</v>
      </c>
      <c r="JM60" s="112" t="str">
        <f>HYPERLINK("https://www.arbeitsagentur.de/web/content/DE/Formulare/Detail/index.htm?dfContentId=L6019022DSTBAI485740","x")</f>
        <v>x</v>
      </c>
      <c r="JN60" s="112"/>
      <c r="JO60" s="112"/>
      <c r="JP60" s="112"/>
      <c r="JQ60" s="112"/>
      <c r="JR60" s="112" t="str">
        <f>HYPERLINK("http://www.ibla-germany.de/merkblaetter.php","x")</f>
        <v>x</v>
      </c>
      <c r="JS60" s="112"/>
      <c r="JT60" s="112" t="str">
        <f>HYPERLINK("http://www.b-umf.de/images/willkommen/willkommensbroschurearabisch-web.pdf","x")</f>
        <v>x</v>
      </c>
      <c r="JU60" s="111"/>
      <c r="JV60" s="111"/>
      <c r="JW60" s="112"/>
      <c r="JX60" s="112"/>
      <c r="JY60" s="112"/>
      <c r="JZ60" s="112"/>
      <c r="KA60" s="112" t="str">
        <f>HYPERLINK("http://www.kas.de/wf/de/33.43117/","x")</f>
        <v>x</v>
      </c>
      <c r="KB60" s="112" t="str">
        <f>HYPERLINK("http://www.refugeeguide.de/dl/RefugeeGuide_ar_930.pdf","x")</f>
        <v>x</v>
      </c>
      <c r="KC60" s="112" t="str">
        <f>HYPERLINK("http://www.bpb.de/shop/buecher/grundgesetz/215136/grundgesetz-auf-arabisch","x")</f>
        <v>x</v>
      </c>
      <c r="KD60" s="112" t="str">
        <f>HYPERLINK("http://www.wedel.de/fileadmin/user_upload/media/pdf/Rathaus_und_Politik/20160118_PM_Broschuere.pdf","x")</f>
        <v>x</v>
      </c>
      <c r="KE60" s="112" t="str">
        <f>HYPERLINK("http://www.frauenrechte.de/online/images/downloads/allgemein/TDF_Flyer_Women_Men.pdf","x")</f>
        <v>x</v>
      </c>
      <c r="KF60" s="112" t="str">
        <f>HYPERLINK("http://sab.landtag.sachsen.de/dokumente/landtagskurier/Grundwerte-A5-international_web_08012016.pdf","x")</f>
        <v>x</v>
      </c>
      <c r="KG60" s="112"/>
      <c r="KH60" s="112"/>
      <c r="KI60" s="112"/>
      <c r="KJ60" s="112"/>
      <c r="KK60" s="112"/>
      <c r="KL60" s="112"/>
      <c r="KM60" s="112"/>
      <c r="KN60" s="112"/>
      <c r="KO60" s="112"/>
      <c r="KP60" s="112"/>
      <c r="KQ60" s="112"/>
      <c r="KR60" s="112"/>
      <c r="KS60" s="112"/>
      <c r="KT60" s="112"/>
      <c r="KU60" s="112"/>
      <c r="KV60" s="112"/>
      <c r="KW60" s="112"/>
      <c r="KX60" s="112"/>
      <c r="KY60" s="112"/>
      <c r="KZ60" s="112"/>
      <c r="LA60" s="112"/>
      <c r="LB60" s="112"/>
      <c r="LC60" s="111"/>
      <c r="LD60" s="111"/>
      <c r="LE60" s="111"/>
      <c r="LF60" s="111"/>
      <c r="LG60" s="112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2"/>
      <c r="LU60" s="111"/>
      <c r="LV60" s="111"/>
      <c r="LW60" s="111"/>
      <c r="LX60" s="111"/>
      <c r="LY60" s="111"/>
      <c r="LZ60" s="112" t="str">
        <f>HYPERLINK("http://www.bjf.info/projekte/cinemanya","x")</f>
        <v>x</v>
      </c>
      <c r="MA60" s="111"/>
      <c r="MB60" s="111"/>
      <c r="MC60" s="111"/>
      <c r="MD60" s="112" t="str">
        <f>HYPERLINK("http://www.rki.de/DE/Content/Infekt/IfSG/Belehrungsbogen/belehrungsbogen_lebensmittel_arabisch.pdf?__blob=publicationFile","x")</f>
        <v>x</v>
      </c>
      <c r="ME60" s="111"/>
      <c r="MF60" s="112" t="str">
        <f>HYPERLINK("http://www.gdv.de/wp-content/uploads/2016/01/Information_Brandschutz_Fluechtlingsheim_-Sicherheit_mehrsprachig.pdf","x")</f>
        <v>x</v>
      </c>
      <c r="MG60" s="112" t="str">
        <f>HYPERLINK("http://www.gdv.de/wp-content/uploads/2016/01/Information_Verhalten-im-Brandfall_mehrsprachig.pdf","x")</f>
        <v>x</v>
      </c>
      <c r="MH60" s="112" t="str">
        <f>HYPERLINK("http://www.aha-region.de/fileadmin/Download/pdf/aha_Plakat_Muelltrennung_ar.pdf","x")</f>
        <v>x</v>
      </c>
      <c r="MI60" s="112" t="str">
        <f>HYPERLINK("http://www.kindersicherheit.de/pdf/2012_poster_achtunggiftig_8sprachig.pdf","x")</f>
        <v>x</v>
      </c>
    </row>
    <row r="61" spans="1:347" x14ac:dyDescent="0.25">
      <c r="A61" s="102" t="s">
        <v>52</v>
      </c>
      <c r="B61" s="127" t="s">
        <v>10</v>
      </c>
      <c r="C61" s="102"/>
      <c r="D61" s="102"/>
      <c r="E61" s="102"/>
      <c r="F61" s="102"/>
      <c r="G61" s="102"/>
      <c r="H61" s="102"/>
      <c r="I61" s="102"/>
      <c r="J61" s="102"/>
      <c r="K61" s="103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2" t="str">
        <f>HYPERLINK("http://sghanstedt.elbnetz.com/ueber-uns/","x")</f>
        <v>x</v>
      </c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3"/>
      <c r="AW61" s="114" t="str">
        <f t="shared" si="0"/>
        <v>x</v>
      </c>
      <c r="AX61" s="114" t="str">
        <f t="shared" si="1"/>
        <v>x</v>
      </c>
      <c r="AY61" s="111"/>
      <c r="AZ61" s="111"/>
      <c r="BA61" s="112" t="str">
        <f t="shared" si="2"/>
        <v>x</v>
      </c>
      <c r="BB61" s="112" t="str">
        <f t="shared" si="3"/>
        <v>x</v>
      </c>
      <c r="BC61" s="111"/>
      <c r="BD61" s="111"/>
      <c r="BE61" s="111"/>
      <c r="BF61" s="111"/>
      <c r="BG61" s="111"/>
      <c r="BH61" s="111"/>
      <c r="BI61" s="112" t="str">
        <f>HYPERLINK("https://www.advanced-online.eu/downloads/RefugeePhrasebookCards_German-Tigrinya.pdf","x")</f>
        <v>x</v>
      </c>
      <c r="BJ61" s="111"/>
      <c r="BK61" s="111"/>
      <c r="BL61" s="111"/>
      <c r="BM61" s="111"/>
      <c r="BN61" s="111"/>
      <c r="BO61" s="111"/>
      <c r="BP61" s="111"/>
      <c r="BQ61" s="111"/>
      <c r="BR61" s="111"/>
      <c r="BS61" s="112" t="str">
        <f t="shared" si="4"/>
        <v>x</v>
      </c>
      <c r="BT61" s="112"/>
      <c r="BU61" s="112" t="str">
        <f>HYPERLINK("http://www.memhr.org/dic/ebook/tigr-germ.pdf","x")</f>
        <v>x</v>
      </c>
      <c r="BV61" s="112" t="str">
        <f t="shared" si="5"/>
        <v>x</v>
      </c>
      <c r="BW61" s="112" t="str">
        <f>HYPERLINK("http://www.welcomegrooves.de/wp-content/uploads/2015/10/welcomegrooves_DE-TIGRINYA.pdf","x")</f>
        <v>x</v>
      </c>
      <c r="BX61" s="112"/>
      <c r="BY61" s="112" t="str">
        <f>HYPERLINK("http://www.tigrigna-german.ch/","x")</f>
        <v>x</v>
      </c>
      <c r="BZ61" s="112"/>
      <c r="CA61" s="112" t="str">
        <f t="shared" si="6"/>
        <v>x</v>
      </c>
      <c r="CB61" s="112" t="str">
        <f t="shared" si="7"/>
        <v>x</v>
      </c>
      <c r="CC61" s="112" t="str">
        <f t="shared" si="8"/>
        <v>x</v>
      </c>
      <c r="CD61" s="112"/>
      <c r="CE61" s="112"/>
      <c r="CF61" s="111"/>
      <c r="CG61" s="111"/>
      <c r="CH61" s="111"/>
      <c r="CI61" s="111"/>
      <c r="CJ61" s="111"/>
      <c r="CK61" s="112" t="str">
        <f t="shared" si="9"/>
        <v>x</v>
      </c>
      <c r="CL61" s="112"/>
      <c r="CM61" s="112"/>
      <c r="CN61" s="112"/>
      <c r="CO61" s="112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2"/>
      <c r="DA61" s="112"/>
      <c r="DB61" s="112"/>
      <c r="DC61" s="115"/>
      <c r="DD61" s="112"/>
      <c r="DE61" s="112"/>
      <c r="DF61" s="112" t="str">
        <f t="shared" si="10"/>
        <v>x</v>
      </c>
      <c r="DG61" s="115" t="str">
        <f t="shared" si="11"/>
        <v>x</v>
      </c>
      <c r="DH61" s="112" t="str">
        <f t="shared" si="12"/>
        <v>x</v>
      </c>
      <c r="DI61" s="112" t="str">
        <f t="shared" si="13"/>
        <v>x</v>
      </c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2" t="str">
        <f>HYPERLINK("http://www.kvs-sachsen.de/fileadmin/img/Mitglieder/Asylbewerber/Allg-Informationen/Anlage_1_Anlage_2-1_2-2_Tigrinia_LEK.PDF","x")</f>
        <v>x</v>
      </c>
      <c r="EN61" s="111"/>
      <c r="EO61" s="111"/>
      <c r="EP61" s="117" t="str">
        <f>HYPERLINK("http://www.medi-bild.de/pdf/anamnese/Welche_Sprache.pdf","x")</f>
        <v>x</v>
      </c>
      <c r="EQ61" s="118"/>
      <c r="ER61" s="112" t="str">
        <f>HYPERLINK("http://www.kvs-sachsen.de/fileadmin/img/Mitglieder/Asylbewerber/Allg-Informationen/Anlage_1_Anlage_2-1_2-2_Tigrinia_LEK.PDF","x")</f>
        <v>x</v>
      </c>
      <c r="ES61" s="111"/>
      <c r="ET61" s="111"/>
      <c r="EU61" s="111"/>
      <c r="EV61" s="111"/>
      <c r="EW61" s="112" t="str">
        <f t="shared" si="14"/>
        <v>x</v>
      </c>
      <c r="EX61" s="111"/>
      <c r="EY61" s="111"/>
      <c r="EZ61" s="111"/>
      <c r="FA61" s="111"/>
      <c r="FB61" s="111"/>
      <c r="FC61" s="111"/>
      <c r="FD61" s="112" t="str">
        <f t="shared" si="15"/>
        <v>x</v>
      </c>
      <c r="FE61" s="111"/>
      <c r="FF61" s="111"/>
      <c r="FG61" s="112" t="str">
        <f>HYPERLINK("http://www.tipdoc.de/grafik/asyl/Gesundheitsheft_Asyl.pdf","x")</f>
        <v>x</v>
      </c>
      <c r="FH61" s="111"/>
      <c r="FI61" s="111"/>
      <c r="FJ61" s="112"/>
      <c r="FK61" s="112" t="str">
        <f>HYPERLINK("http://www.rki.de/DE/Content/Infekt/Impfen/Materialien/Downloads-Impfkalender/Impfkalender_Tigrinya.pdf?__blob=publicationFile","x")</f>
        <v>x</v>
      </c>
      <c r="FL61" s="111"/>
      <c r="FM61" s="111"/>
      <c r="FN61" s="111"/>
      <c r="FO61" s="111"/>
      <c r="FP61" s="112" t="str">
        <f>HYPERLINK("http://www.rki.de/DE/Content/Infekt/Impfen/Materialien/Downloads-MMR/MMR-Impfinfo-tigrinya.pdf?__blob=publicationFile","x")</f>
        <v>x</v>
      </c>
      <c r="FQ61" s="111"/>
      <c r="FR61" s="112" t="str">
        <f>HYPERLINK("http://www.rki.de/DE/Content/Infekt/Impfen/Materialien/Downloads_HepA/Aufklaerung_HAV-Impfung_Tigrinya.pdf?__blob=publicationFile","x")</f>
        <v>x</v>
      </c>
      <c r="FS61" s="112" t="str">
        <f>HYPERLINK("http://www.rki.de/DE/Content/Infekt/Impfen/Materialien/Downloads_Pneumokokken/Aufklaerung_Pneumo-Impfung_Tigrinya.pdf?__blob=publicationFile","x")</f>
        <v>x</v>
      </c>
      <c r="FT61" s="112" t="str">
        <f>HYPERLINK("http://www.rki.de/DE/Content/Infekt/Impfen/Materialien/Downloads-DTaPIPVHibHepB/DTaPIPVHibHepB_tigrinya.pdf?__blob=publicationFile","x")</f>
        <v>x</v>
      </c>
      <c r="FU61" s="112" t="str">
        <f>HYPERLINK("http://www.rki.de/DE/Content/Infekt/Impfen/Materialien/Downloads-Varizellen/Varizellen-Impfinfo-tigrinya.pdf;jsessionid=65B697F4EE7EDA8A1ED9E2C4CD6C74EC.2_cid363?__blob=publicationFile","x")</f>
        <v>x</v>
      </c>
      <c r="FV61" s="112" t="str">
        <f>HYPERLINK("http://www.rki.de/DE/Content/Infekt/Impfen/Materialien/Downloads-Tdap-IPV/Tdap-IPV-tigrinya.pdf?__blob=publicationFile","x")</f>
        <v>x</v>
      </c>
      <c r="FW61" s="112" t="str">
        <f>HYPERLINK("http://www.rki.de/DE/Content/Infekt/Impfen/Materialien/Downloads-Influenza_nasal/Influenza_nasal-tigrinya.pdf?__blob=publicationFile","x")</f>
        <v>x</v>
      </c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2" t="str">
        <f>HYPERLINK("http://www.rki.de/DE/Content/Infekt/Impfen/Materialien/Downloads-Influenza/Influenza-tigrinya.pdf?__blob=publicationFile","x")</f>
        <v>x</v>
      </c>
      <c r="GN61" s="111"/>
      <c r="GO61" s="111"/>
      <c r="GP61" s="112" t="str">
        <f>HYPERLINK("http://www.tipdoc.de/bus/pdf/kopflaeuse2/Kopflaeuse_TIGR.pdf","x")</f>
        <v>x</v>
      </c>
      <c r="GQ61" s="112"/>
      <c r="GR61" s="112" t="str">
        <f>HYPERLINK("http://www.tipdoc.com/bus/pdf/kraetze/tipdoc_Scabies_TIGR.pdf","x")</f>
        <v>x</v>
      </c>
      <c r="GS61" s="112" t="str">
        <f>HYPERLINK("http://www.tipdoc.com/bus/pdf/MagenDarmHaende/MagenDarmHaende_TIGRINYA.pdf","x")</f>
        <v>x</v>
      </c>
      <c r="GT61" s="111"/>
      <c r="GU61" s="111"/>
      <c r="GV61" s="111"/>
      <c r="GW61" s="111"/>
      <c r="GX61" s="111"/>
      <c r="GY61" s="111"/>
      <c r="GZ61" s="111"/>
      <c r="HA61" s="111"/>
      <c r="HB61" s="111"/>
      <c r="HC61" s="112" t="str">
        <f t="shared" si="16"/>
        <v>x</v>
      </c>
      <c r="HD61" s="111"/>
      <c r="HE61" s="111"/>
      <c r="HF61" s="111"/>
      <c r="HG61" s="111"/>
      <c r="HH61" s="111"/>
      <c r="HI61" s="111"/>
      <c r="HJ61" s="111"/>
      <c r="HK61" s="112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2" t="str">
        <f t="shared" si="17"/>
        <v>x</v>
      </c>
      <c r="HZ61" s="112" t="str">
        <f t="shared" si="18"/>
        <v>x</v>
      </c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2" t="str">
        <f>HYPERLINK("http://www.bamf.de/SharedDocs/Anlagen/DE/Publikationen/Flyer/flyer-erstorientierung-asylsuchende_tigrinya.pdf?__blob=publicationFile","x")</f>
        <v>x</v>
      </c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2" t="str">
        <f>HYPERLINK("http://www.bamf.de/SharedDocs/Anlagen/DE/Publikationen/Broschueren/broschuere-eat-a4-ti-tigrinya.pdf?__blob=publicationFile","x")</f>
        <v>x</v>
      </c>
      <c r="IZ61" s="111"/>
      <c r="JA61" s="111"/>
      <c r="JB61" s="111"/>
      <c r="JC61" s="111"/>
      <c r="JD61" s="111"/>
      <c r="JE61" s="111"/>
      <c r="JF61" s="111"/>
      <c r="JG61" s="111"/>
      <c r="JH61" s="111"/>
      <c r="JI61" s="111"/>
      <c r="JJ61" s="111"/>
      <c r="JK61" s="111"/>
      <c r="JL61" s="111"/>
      <c r="JM61" s="111"/>
      <c r="JN61" s="111"/>
      <c r="JO61" s="111"/>
      <c r="JP61" s="111"/>
      <c r="JQ61" s="111"/>
      <c r="JR61" s="111"/>
      <c r="JS61" s="111"/>
      <c r="JT61" s="111"/>
      <c r="JU61" s="111"/>
      <c r="JV61" s="111"/>
      <c r="JW61" s="111"/>
      <c r="JX61" s="111"/>
      <c r="JY61" s="112"/>
      <c r="JZ61" s="112"/>
      <c r="KA61" s="112"/>
      <c r="KB61" s="112" t="str">
        <f>HYPERLINK("http://www.refugeeguide.de/dl/RefugeeGuide_tr_1115.pdf","x")</f>
        <v>x</v>
      </c>
      <c r="KC61" s="111"/>
      <c r="KD61" s="111"/>
      <c r="KE61" s="111"/>
      <c r="KF61" s="111"/>
      <c r="KG61" s="112"/>
      <c r="KH61" s="112"/>
      <c r="KI61" s="112"/>
      <c r="KJ61" s="112"/>
      <c r="KK61" s="112"/>
      <c r="KL61" s="112"/>
      <c r="KM61" s="112"/>
      <c r="KN61" s="112"/>
      <c r="KO61" s="112"/>
      <c r="KP61" s="112"/>
      <c r="KQ61" s="112"/>
      <c r="KR61" s="112"/>
      <c r="KS61" s="112"/>
      <c r="KT61" s="112"/>
      <c r="KU61" s="112"/>
      <c r="KV61" s="112"/>
      <c r="KW61" s="112"/>
      <c r="KX61" s="112"/>
      <c r="KY61" s="112"/>
      <c r="KZ61" s="112"/>
      <c r="LA61" s="112"/>
      <c r="LB61" s="112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  <c r="MI61" s="111"/>
    </row>
    <row r="62" spans="1:347" x14ac:dyDescent="0.25">
      <c r="A62" s="102" t="s">
        <v>134</v>
      </c>
      <c r="B62" s="127" t="s">
        <v>7</v>
      </c>
      <c r="C62" s="102"/>
      <c r="D62" s="102"/>
      <c r="E62" s="102"/>
      <c r="F62" s="102"/>
      <c r="G62" s="102"/>
      <c r="H62" s="102"/>
      <c r="I62" s="102"/>
      <c r="J62" s="102"/>
      <c r="K62" s="103"/>
      <c r="L62" s="111"/>
      <c r="M62" s="111"/>
      <c r="N62" s="112" t="str">
        <f>HYPERLINK("http://www.ag-fluechtlingshilfe-wetterau.de/uploads/infos/170.pdf","x")</f>
        <v>x</v>
      </c>
      <c r="O62" s="112"/>
      <c r="P62" s="112" t="str">
        <f>HYPERLINK("https://willkommensteamelmshorn.files.wordpress.com/2015/11/sortieranleitung_pinneberg_2015_russisch.pdf","x")</f>
        <v>x</v>
      </c>
      <c r="Q62" s="112"/>
      <c r="R62" s="112"/>
      <c r="S62" s="112"/>
      <c r="T62" s="112"/>
      <c r="U62" s="112"/>
      <c r="V62" s="112"/>
      <c r="W62" s="111"/>
      <c r="X62" s="112"/>
      <c r="Y62" s="111"/>
      <c r="Z62" s="111"/>
      <c r="AA62" s="111"/>
      <c r="AB62" s="111"/>
      <c r="AC62" s="111"/>
      <c r="AD62" s="112" t="str">
        <f>HYPERLINK("http://www.rundfunkbeitrag.de/e175/e1634/Informationsflyer_Buerginnen_und_Buerger_russisch.pdf","x")</f>
        <v>x</v>
      </c>
      <c r="AE62" s="111"/>
      <c r="AF62" s="112" t="str">
        <f>HYPERLINK("http://www.kub-berlin.org/formularprojekt/de/russisch-antraege-und-anlagen/","x")</f>
        <v>x</v>
      </c>
      <c r="AG62" s="111"/>
      <c r="AH62" s="112" t="str">
        <f>HYPERLINK("http://sghanstedt.elbnetz.com/ueber-uns/","x")</f>
        <v>x</v>
      </c>
      <c r="AI62" s="111"/>
      <c r="AJ62" s="111"/>
      <c r="AK62" s="111"/>
      <c r="AL62" s="111"/>
      <c r="AM62" s="111"/>
      <c r="AN62" s="111"/>
      <c r="AO62" s="112"/>
      <c r="AP62" s="112"/>
      <c r="AQ62" s="112"/>
      <c r="AR62" s="112"/>
      <c r="AS62" s="112"/>
      <c r="AT62" s="112"/>
      <c r="AU62" s="112"/>
      <c r="AV62" s="113"/>
      <c r="AW62" s="114" t="str">
        <f t="shared" si="0"/>
        <v>x</v>
      </c>
      <c r="AX62" s="114" t="str">
        <f t="shared" si="1"/>
        <v>x</v>
      </c>
      <c r="AY62" s="111"/>
      <c r="AZ62" s="111"/>
      <c r="BA62" s="112" t="str">
        <f t="shared" si="2"/>
        <v>x</v>
      </c>
      <c r="BB62" s="112" t="str">
        <f t="shared" si="3"/>
        <v>x</v>
      </c>
      <c r="BC62" s="111"/>
      <c r="BD62" s="111"/>
      <c r="BE62" s="111"/>
      <c r="BF62" s="111"/>
      <c r="BG62" s="111"/>
      <c r="BH62" s="111"/>
      <c r="BI62" s="111"/>
      <c r="BJ62" s="111"/>
      <c r="BK62" s="112" t="str">
        <f>HYPERLINK("http://www.agf-trier.de/sites/default/files/bersetzungshilfe%20russisch%20allgemein.pdf","x")</f>
        <v>x</v>
      </c>
      <c r="BL62" s="111"/>
      <c r="BM62" s="112" t="str">
        <f>HYPERLINK("http://www.frnrw.de/images/Aus_den_Initiativen/Ehrenamtler/2015/Dictionary_x10_print-2.pdf","x")</f>
        <v>x</v>
      </c>
      <c r="BN62" s="111"/>
      <c r="BO62" s="111"/>
      <c r="BP62" s="111"/>
      <c r="BQ62" s="111"/>
      <c r="BR62" s="111"/>
      <c r="BS62" s="112" t="str">
        <f t="shared" si="4"/>
        <v>x</v>
      </c>
      <c r="BT62" s="112"/>
      <c r="BU62" s="111"/>
      <c r="BV62" s="112" t="str">
        <f t="shared" si="5"/>
        <v>x</v>
      </c>
      <c r="BW62" s="112" t="str">
        <f>HYPERLINK("http://www.welcomegrooves.de/wp-content/uploads/2015/10/welcomegrooves_DE-RUSSISCH.pdf","x")</f>
        <v>x</v>
      </c>
      <c r="BX62" s="112"/>
      <c r="BY62" s="112"/>
      <c r="BZ62" s="112"/>
      <c r="CA62" s="112" t="str">
        <f t="shared" si="6"/>
        <v>x</v>
      </c>
      <c r="CB62" s="112" t="str">
        <f t="shared" si="7"/>
        <v>x</v>
      </c>
      <c r="CC62" s="112" t="str">
        <f t="shared" si="8"/>
        <v>x</v>
      </c>
      <c r="CD62" s="112"/>
      <c r="CE62" s="112"/>
      <c r="CF62" s="112" t="str">
        <f>HYPERLINK("http://www.agf-trier.de/sites/default/files/bersetzungshilfe%20russisch%20f%C3%BCr%20Frauen.pdf","x")</f>
        <v>x</v>
      </c>
      <c r="CG62" s="112" t="str">
        <f>HYPERLINK("http://www.braunschweig.de/leben/frauen/hilfe/Ohne-Gewalt-leben.pdf","x")</f>
        <v>x</v>
      </c>
      <c r="CH62" s="112" t="str">
        <f>HYPERLINK("http://mifkjf.rlp.de/fileadmin/mifkjf/Frauen/Gewalt_gegen_Frauen/Downloads/Broschueren_Flyer/Flyer_Gewalt_russisch.pdf","x")</f>
        <v>x</v>
      </c>
      <c r="CI62" s="112" t="str">
        <f>HYPERLINK("https://www.hilfetelefon.de/fileadmin/hilfetelefon_de/Materialien/Flyer/Infoflyer_Hilfetelefon_Gewalt_gegen_Frauen141105_b2.pdf","x")</f>
        <v>x</v>
      </c>
      <c r="CJ62" s="112" t="str">
        <f>HYPERLINK("https://www.hilfetelefon.de/fileadmin/hilfetelefon_de/Materialien/weitere_werbemittel/Klappflyer_Vorder-_und_Rueckseite_opt2.pdf","x")</f>
        <v>x</v>
      </c>
      <c r="CK62" s="112" t="str">
        <f t="shared" si="9"/>
        <v>x</v>
      </c>
      <c r="CL62" s="112" t="str">
        <f>HYPERLINK("http://www.frauenberatungsstelle.de/pdf/Migrantinnen-beraten-Migrantinnen.pdf","x")</f>
        <v>x</v>
      </c>
      <c r="CM62" s="112"/>
      <c r="CN62" s="112"/>
      <c r="CO62" s="112"/>
      <c r="CP62" s="112" t="str">
        <f>HYPERLINK("http://www.schwanger-und-viele-fragen.de/ru/","x")</f>
        <v>x</v>
      </c>
      <c r="CQ62" s="112"/>
      <c r="CR62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62" s="112"/>
      <c r="CT62" s="112"/>
      <c r="CU62" s="112" t="str">
        <f>HYPERLINK("http://www.profamilia.de/fileadmin/publikationen/Erwachsene/mehrsprachig/verhuetung_russisch_2011.pdf","x")</f>
        <v>x</v>
      </c>
      <c r="CV62" s="112" t="str">
        <f>HYPERLINK("http://www.profamilia.de/fileadmin/publikationen/Erwachsene/mehrsprachig/Pille_danach_russisch_2012.pdf","x")</f>
        <v>x</v>
      </c>
      <c r="CW62" s="112" t="str">
        <f>HYPERLINK("http://www.profamilia.de/fileadmin/publikationen/Reihe_Verhuetungsmethoden/Einleger_Russisch.pdf","x")</f>
        <v>x</v>
      </c>
      <c r="CX62" s="112" t="str">
        <f>HYPERLINK("http://www.profamilia.de/fileadmin/publikationen/Erwachsene/mehrsprachig/schwangerschaftsabbruch_russisch.pdf","x")</f>
        <v>x</v>
      </c>
      <c r="CY62" s="112" t="str">
        <f>HYPERLINK("http://www.caritas-schwarzwald-alb-donau.de/68854.html","x")</f>
        <v>x</v>
      </c>
      <c r="CZ62" s="112" t="str">
        <f>HYPERLINK("http://www.dgfpi.de/tl_files/download/medien/unwissen-macht-ru.pdf","x")</f>
        <v>x</v>
      </c>
      <c r="DA62" s="112"/>
      <c r="DB62" s="112"/>
      <c r="DC62" s="115" t="str">
        <f>HYPERLINK("http://www.kindersicherheit.de/pdf/2012_Bilderbuch-Gift-Russisch.pdf","x")</f>
        <v>x</v>
      </c>
      <c r="DD62" s="112"/>
      <c r="DE62" s="112"/>
      <c r="DF62" s="112" t="str">
        <f t="shared" si="10"/>
        <v>x</v>
      </c>
      <c r="DG62" s="115" t="str">
        <f t="shared" si="11"/>
        <v>x</v>
      </c>
      <c r="DH62" s="112" t="str">
        <f t="shared" si="12"/>
        <v>x</v>
      </c>
      <c r="DI62" s="112" t="str">
        <f t="shared" si="13"/>
        <v>x</v>
      </c>
      <c r="DJ62" s="112" t="str">
        <f>HYPERLINK("http://www.bibliomedia.ch/de/angebote/dokumente/Glossar_russisch.pdf","x")</f>
        <v>x</v>
      </c>
      <c r="DK62" s="112"/>
      <c r="DL62" s="112"/>
      <c r="DM62" s="112"/>
      <c r="DN62" s="112"/>
      <c r="DO62" s="112"/>
      <c r="DP62" s="111"/>
      <c r="DQ62" s="112" t="str">
        <f>HYPERLINK("http://tipdoc.de/bus/grafik/kinder-tip/SCHULTIP_give_didacta.pdf","x")</f>
        <v>x</v>
      </c>
      <c r="DR62" s="112" t="str">
        <f>HYPERLINK("https://broschueren.nordrheinwestfalendirekt.de/broschuerenservice/msw/rus-das-schulsystem-in-nordrhein-westfalen-einfach-und-schnell-erklaert/1905","x")</f>
        <v>x</v>
      </c>
      <c r="DS62" s="112" t="str">
        <f>HYPERLINK("http://bildung.koeln.de/materialbibliothek/download.php?idx=89409237e8c48c84d1f410e2c231c942","x")</f>
        <v>x</v>
      </c>
      <c r="DT62" s="112" t="str">
        <f>HYPERLINK("http://bildung.koeln.de/materialbibliothek/download.php?idx=3e35937e1b8f8986880efaf07701a323","x")</f>
        <v>x</v>
      </c>
      <c r="DU62" s="112"/>
      <c r="DV62" s="112" t="str">
        <f>HYPERLINK("https://www.bmbf.de/pub/Kausa_Elternbroschuere_russisch.pdf","x")</f>
        <v>x</v>
      </c>
      <c r="DW62" s="112"/>
      <c r="DX62" s="112"/>
      <c r="DY62" s="112" t="str">
        <f>HYPERLINK("http://www.bamf.de/SharedDocs/Anlagen/DE/Publikationen/Flyer/AnerkennungBerufsabschluss/berufliche_anerkennung_akademische-heilberufe_ru.pdf?__blob=publicationFile","x")</f>
        <v>x</v>
      </c>
      <c r="DZ62" s="112" t="str">
        <f>HYPERLINK("http://www.bamf.de/SharedDocs/Anlagen/RU/Publikationen/Flyer/AnerkennungBerufsabschluss/anerkennung-berufsabschluss.pdf?__blob=publicationFile","x")</f>
        <v>x</v>
      </c>
      <c r="EA62" s="112" t="str">
        <f>HYPERLINK("http://www.bamf.de/SharedDocs/Anlagen/RU/Publikationen/Flyer/AnerkennungBerufsabschluss/anerkennung-berufsabschluss_ausland.pdf?__blob=publicationFile","x")</f>
        <v>x</v>
      </c>
      <c r="EB62" s="112" t="str">
        <f>HYPERLINK("http://www.bamf.de/SharedDocs/Anlagen/DE/Publikationen/Broschueren/willkommen-in-deutschland-info-blaue-karte-eu_ru.pdf?__blob=publicationFile","x")</f>
        <v>x</v>
      </c>
      <c r="EC62" s="112" t="str">
        <f>HYPERLINK("http://www.bamf.de/SharedDocs/Anlagen/RU/Publikationen/Flyer/Berufsbezsprachf-ESF-BAMF/berufsbezsprachf-esf-bamf.pdf?__blob=publicationFile","x")</f>
        <v>x</v>
      </c>
      <c r="ED62" s="111"/>
      <c r="EE62" s="111"/>
      <c r="EF62" s="111"/>
      <c r="EG62" s="111"/>
      <c r="EH62" s="111"/>
      <c r="EI62" s="111"/>
      <c r="EJ62" s="112"/>
      <c r="EK62" s="112"/>
      <c r="EL62" s="112"/>
      <c r="EM62" s="112" t="str">
        <f>HYPERLINK("http://www.kvs-sachsen.de/fileadmin/img/Mitglieder/Asylbewerber/Allg-Informationen/Anlage_1_Russisch_LEK.pdf","x")</f>
        <v>x</v>
      </c>
      <c r="EN62" s="112" t="str">
        <f>HYPERLINK("http://www.medizin-hilft-fluechtlingen.de/images/Dokumente/gSch/gSch_ru.pdf","x")</f>
        <v>x</v>
      </c>
      <c r="EO62" s="111"/>
      <c r="EP62" s="117" t="str">
        <f>HYPERLINK("http://www.medi-bild.de/pdf/anamnese/Welche_Sprache.pdf","x")</f>
        <v>x</v>
      </c>
      <c r="EQ62" s="117" t="str">
        <f>HYPERLINK("http://www.armut-gesundheit.de/fileadmin/redakteur/dokumente/Anamnesebogen%20-%20russischnew.pdf","x")</f>
        <v>x</v>
      </c>
      <c r="ER62" s="112" t="str">
        <f>HYPERLINK("http://www.kvs-sachsen.de/fileadmin/img/Mitglieder/Asylbewerber/Allg-Informationen/Anlagen_2-1_2-2_Russisch_LEK.pdf","x")</f>
        <v>x</v>
      </c>
      <c r="ES62" s="111"/>
      <c r="ET62" s="111"/>
      <c r="EU62" s="111"/>
      <c r="EV62" s="111"/>
      <c r="EW62" s="112" t="str">
        <f t="shared" si="14"/>
        <v>x</v>
      </c>
      <c r="EX62" s="112" t="str">
        <f>HYPERLINK("http://www.rki.de/DE/Content/Infekt/IfSG/Belehrungsbogen/belehrungsbogen_eltern_russisch.pdf?__blob=publicationFile","x")</f>
        <v>x</v>
      </c>
      <c r="EY62" s="112" t="str">
        <f>HYPERLINK("http://www.bzga.de/infomaterialien/?sid=236","x")</f>
        <v>x</v>
      </c>
      <c r="EZ62" s="112" t="str">
        <f>HYPERLINK("https://www.mh-hannover.de/fileadmin/mhh/bilder/aktuelles_presse/presseinformationen_news/-Pilzvergif_RUSSISCH_2.pdf","x")</f>
        <v>x</v>
      </c>
      <c r="FA62" s="112"/>
      <c r="FB62" s="111"/>
      <c r="FC62" s="111"/>
      <c r="FD62" s="112" t="str">
        <f t="shared" si="15"/>
        <v>x</v>
      </c>
      <c r="FE62" s="112" t="str">
        <f t="shared" ref="FE62:FE67" si="21">HYPERLINK("http://sghanstedt.elbnetz.com/ueber-uns/","x")</f>
        <v>x</v>
      </c>
      <c r="FF62" s="111"/>
      <c r="FG62" s="112" t="str">
        <f>HYPERLINK("http://www.tipdoc.de/grafik/asyl/Gesundheitsheft_Asyl.pdf","x")</f>
        <v>x</v>
      </c>
      <c r="FH62" s="111"/>
      <c r="FI62" s="111"/>
      <c r="FJ62" s="112"/>
      <c r="FK62" s="112" t="str">
        <f>HYPERLINK("http://www.rki.de/DE/Content/Infekt/Impfen/Materialien/Downloads-Impfkalender/Impfkalender_Russisch.pdf?__blob=publicationFile","x")</f>
        <v>x</v>
      </c>
      <c r="FL62" s="112" t="str">
        <f>HYPERLINK("http://www.ethno-medizinisches-zentrum.de/images/PDF-Files/impfwegweiser_russisch_2013_online.pdf","x")</f>
        <v>x</v>
      </c>
      <c r="FM62" s="112"/>
      <c r="FN62" s="112" t="str">
        <f>HYPERLINK("http://www.rki.de/DE/Content/Infekt/Impfen/Materialien/Glossar-Downloads/glossar-de-russisch.pdf?__blob=publicationFile","x")</f>
        <v>x</v>
      </c>
      <c r="FO62" s="112" t="str">
        <f>HYPERLINK("http://tvoyashkola10.ru/img/VPD-Signs,-symptoms-and-complications-RUS.pdf","x")</f>
        <v>x</v>
      </c>
      <c r="FP62" s="112" t="str">
        <f>HYPERLINK("http://www.rki.de/DE/Content/Infekt/Impfen/Materialien/Downloads-MMR/MMR-Impfinfo-russisch.pdf?__blob=publicationFile","x")</f>
        <v>x</v>
      </c>
      <c r="FQ62" s="112"/>
      <c r="FR62" s="112" t="str">
        <f>HYPERLINK("http://www.rki.de/DE/Content/Infekt/Impfen/Materialien/Downloads_HepA/Aufklaerung_HAV-Impfung_Russisch.pdf?__blob=publicationFile","x")</f>
        <v>x</v>
      </c>
      <c r="FS62" s="112" t="str">
        <f>HYPERLINK("http://www.rki.de/DE/Content/Infekt/Impfen/Materialien/Downloads_Pneumokokken/Aufklaerung_Pneumo-Impfung_Russisch.pdf?__blob=publicationFile","x")</f>
        <v>x</v>
      </c>
      <c r="FT62" s="112" t="str">
        <f>HYPERLINK("http://www.rki.de/DE/Content/Infekt/Impfen/Materialien/Downloads-DTaPIPVHibHepB/DTaPIPVHibHepB-russisch.pdf?__blob=publicationFile","x")</f>
        <v>x</v>
      </c>
      <c r="FU62" s="112" t="str">
        <f>HYPERLINK("http://www.rki.de/DE/Content/Infekt/Impfen/Materialien/Downloads-Varizellen/Varizellen-Impfinfo-russisch.pdf;jsessionid=65B697F4EE7EDA8A1ED9E2C4CD6C74EC.2_cid363?__blob=publicationFile","x")</f>
        <v>x</v>
      </c>
      <c r="FV62" s="112" t="str">
        <f>HYPERLINK("http://www.rki.de/DE/Content/Infekt/Impfen/Materialien/Downloads-Tdap-IPV/Tdap-IPV-russisch.pdf?__blob=publicationFile","x")</f>
        <v>x</v>
      </c>
      <c r="FW62" s="112" t="str">
        <f>HYPERLINK("http://www.rki.de/DE/Content/Infekt/Impfen/Materialien/Downloads-Influenza_nasal/Influenza_nasal-russisch.pdf?__blob=publicationFile","x")</f>
        <v>x</v>
      </c>
      <c r="FX62" s="112" t="str">
        <f>HYPERLINK("http://www.medical-tribune.de/fileadmin/PDF/PI_Arthrose_russ.pdf","x")</f>
        <v>x</v>
      </c>
      <c r="FY62" s="112" t="str">
        <f>HYPERLINK("http://www.medical-tribune.de/fileadmin/PDF/Astma_russisch.pdf","x")</f>
        <v>x</v>
      </c>
      <c r="FZ62" s="112" t="str">
        <f>HYPERLINK("http://www.medical-tribune.de/fileadmin/PDF/Bluthochdruck_russisch.pdf","x")</f>
        <v>x</v>
      </c>
      <c r="GA62" s="112" t="str">
        <f>HYPERLINK("http://www.medical-tribune.de/fileadmin/PDF/Cholesterin_russisch.pdf","x")</f>
        <v>x</v>
      </c>
      <c r="GB62" s="112" t="str">
        <f>HYPERLINK("http://www.medical-tribune.de/fileadmin/PDF/COPD-Bronchitis-russ.pdf","x")</f>
        <v>x</v>
      </c>
      <c r="GC62" s="112" t="str">
        <f>HYPERLINK("http://www.medical-tribune.de/fileadmin/PDF/PI_Demenz_russ.pdf","x")</f>
        <v>x</v>
      </c>
      <c r="GD62" s="112" t="str">
        <f>HYPERLINK("http://www.ethno-medizinisches-zentrum.de/images/PDF-Files/lf_diabete_russisch.pdf","x")</f>
        <v>x</v>
      </c>
      <c r="GE62" s="112" t="str">
        <f>HYPERLINK("http://www.medical-tribune.de/fileadmin/PDF/PI_Divertikel_russ.pdf","x")</f>
        <v>x</v>
      </c>
      <c r="GF62" s="112" t="str">
        <f>HYPERLINK("http://www.medical-tribune.de/fileadmin/PDF/PAVK_russ.pdf","x")</f>
        <v>x</v>
      </c>
      <c r="GG62" s="112" t="str">
        <f>HYPERLINK("http://www.medical-tribune.de/fileadmin/PDF/PI_Gallensteine_russ.pdf","x")</f>
        <v>x</v>
      </c>
      <c r="GH62" s="112" t="str">
        <f>HYPERLINK("http://www.medical-tribune.de/fileadmin/PDF/Gicht_russisch.pdf","x")</f>
        <v>x</v>
      </c>
      <c r="GI62" s="112" t="str">
        <f>HYPERLINK("http://www.tipdoc.de/bus/pdf/hepatitis/Hep_B_Webseite.pdf","x")</f>
        <v>x</v>
      </c>
      <c r="GJ62" s="112" t="str">
        <f>HYPERLINK("http://www.tipdoc.de/bus/pdf/hepatitis/Hep_C_Webseite.pdf","x")</f>
        <v>x</v>
      </c>
      <c r="GK62" s="112" t="str">
        <f>HYPERLINK("http://www.tipdoc.de/bus/pdf/hiv/HIV%20SRF_Webseite.pdf","x")</f>
        <v>x</v>
      </c>
      <c r="GL62" s="111"/>
      <c r="GM62" s="112" t="str">
        <f>HYPERLINK("http://www.rki.de/DE/Content/Infekt/Impfen/Materialien/Downloads-Influenza/Influenza-russisch.pdf?__blob=publicationFile","x")</f>
        <v>x</v>
      </c>
      <c r="GN62" s="112" t="str">
        <f>HYPERLINK("http://www.medical-tribune.de/fileadmin/PDF/PI_Erkaeltung_russ.pdf","x")</f>
        <v>x</v>
      </c>
      <c r="GO62" s="112"/>
      <c r="GP62" s="112" t="str">
        <f>HYPERLINK("http://www.tipdoc.de/grafik/pdf/kopflaeuse/Kopflaeuse_RUSS.pdf","x")</f>
        <v>x</v>
      </c>
      <c r="GQ62" s="112" t="str">
        <f>HYPERLINK("http://www.bing.com/search?q=Medical+tribune+KHK+russ&amp;qs=n&amp;form=QBRE&amp;pq=medical+tribune+khk+russ&amp;sc=0-16&amp;sp=-1&amp;sk=&amp;cvid=9C7440E0A0144B029D31F2004BF1F219","x")</f>
        <v>x</v>
      </c>
      <c r="GR62" s="112" t="str">
        <f>HYPERLINK("http://www.tipdoc.com/bus/pdf/kraetze/tipdoc_Scabies_RUSS.pdf","x")</f>
        <v>x</v>
      </c>
      <c r="GS62" s="112" t="str">
        <f>HYPERLINK("http://www.tipdoc.com/bus/pdf/MagenDarmHaende/MagenDarmHaende_RUSS.pdf","x")</f>
        <v>x</v>
      </c>
      <c r="GT62" s="112" t="str">
        <f>HYPERLINK("http://www.medical-tribune.de/fileadmin/PDF/Migraene_russ.pdf","x")</f>
        <v>x</v>
      </c>
      <c r="GU62" s="112" t="str">
        <f>HYPERLINK("http://www.medical-tribune.de/fileadmin/PDF/Rueckenschmerzen_russisch.pdf","x")</f>
        <v>x</v>
      </c>
      <c r="GV62" s="112" t="str">
        <f>HYPERLINK("http://www.medical-tribune.de/fileadmin/PDF/Schlafapnoe_russisch.pdf","x")</f>
        <v>x</v>
      </c>
      <c r="GW62" s="112" t="str">
        <f>HYPERLINK("http://www.medical-tribune.de/fileadmin/PDF/Schlafstoerungen_russisch.pdf","x")</f>
        <v>x</v>
      </c>
      <c r="GX62" s="112" t="str">
        <f>HYPERLINK("http://www.medical-tribune.de/fileadmin/PDF/Schwindel_russisch.pdf","x")</f>
        <v>x</v>
      </c>
      <c r="GY62" s="112" t="str">
        <f>HYPERLINK("http://www.medical-tribune.de/fileadmin/PDF/Sodbrennen_russisch.pdf","x")</f>
        <v>x</v>
      </c>
      <c r="GZ62" s="112" t="str">
        <f>HYPERLINK("http://www.medical-tribune.de/fileadmin/PDF/Sportverletzungen_russisch.pdf","x")</f>
        <v>x</v>
      </c>
      <c r="HA62" s="112" t="str">
        <f>HYPERLINK("http://www.medical-tribune.de/fileadmin/PDF/Thrombose_russisch.pdf","x")</f>
        <v>x</v>
      </c>
      <c r="HB62" s="112" t="str">
        <f>HYPERLINK("http://www.medical-tribune.de/fileadmin/PDF/Verstopfung_russisch.pdf","x")</f>
        <v>x</v>
      </c>
      <c r="HC62" s="112" t="str">
        <f t="shared" si="16"/>
        <v>x</v>
      </c>
      <c r="HD62" s="111"/>
      <c r="HE62" s="111"/>
      <c r="HF62" s="111"/>
      <c r="HG62" s="111"/>
      <c r="HH62" s="111"/>
      <c r="HI62" s="112" t="str">
        <f>HYPERLINK("http://www.bvkm.de/fileadmin/web_data/Behinderung_und_Migation_russisch_2014.pdf","x")</f>
        <v>x</v>
      </c>
      <c r="HJ62" s="111"/>
      <c r="HK62" s="112"/>
      <c r="HL62" s="112" t="str">
        <f>HYPERLINK("http://www.ethno-medizinisches-zentrum.de/images/PDF-Files/lf_depression_rus.pdf","x")</f>
        <v>x</v>
      </c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 t="str">
        <f>HYPERLINK("http://www.medical-tribune.de/fileadmin/PDF/RestlessLegs_russ.pdf","x")</f>
        <v>x</v>
      </c>
      <c r="HX62" s="112" t="str">
        <f>HYPERLINK("http://www.bkk-psychisch-gesund.de/fileadmin/user_upload/bkk-psychisch-gesund.de/PDFs/Migrantenwegweiser_Psychotherpie_russisch.pdf","x")</f>
        <v>x</v>
      </c>
      <c r="HY62" s="112" t="str">
        <f t="shared" si="17"/>
        <v>x</v>
      </c>
      <c r="HZ62" s="112" t="str">
        <f t="shared" si="18"/>
        <v>x</v>
      </c>
      <c r="IA62" s="112"/>
      <c r="IB62" s="112"/>
      <c r="IC62" s="112"/>
      <c r="ID62" s="112"/>
      <c r="IE62" s="112"/>
      <c r="IF62" s="112"/>
      <c r="IG62" s="112"/>
      <c r="IH62" s="112" t="str">
        <f>HYPERLINK("http://www.ethno-medizinisches-zentrum.de/images/PDF-Files/lf_mediensucht_ru_geschutzt.pdf","x")</f>
        <v>x</v>
      </c>
      <c r="II62" s="112" t="str">
        <f>HYPERLINK("http://www.caritas.de/hilfeundberatung/onlineberatung/suchtberatung/haeufiggestelltefragensucht/haeufiggestelltefragen-sucht","x")</f>
        <v>x</v>
      </c>
      <c r="IJ62" s="112" t="str">
        <f>HYPERLINK("http://www.bzga.de/infomaterialien/suchtvorbeugung/","x")</f>
        <v>x</v>
      </c>
      <c r="IK62" s="112" t="str">
        <f>HYPERLINK("http://www.bamf.de/SharedDocs/Anlagen/RU/Publikationen/Flyer/Lassen-Sie-Sich-Beraten/lassen-sie-sich-beraten.pdf?__blob=publicationFile","x")</f>
        <v>x</v>
      </c>
      <c r="IL62" s="112" t="str">
        <f>HYPERLINK("http://www.bamf.de/SharedDocs/Anlagen/DE/Publikationen/Flyer/flyer-erstorientierung-asylsuchende_russisch.pdf?__blob=publicationFile","x")</f>
        <v>x</v>
      </c>
      <c r="IM62" s="111"/>
      <c r="IN62" s="112" t="str">
        <f>HYPERLINK("https://www.bamf.de/SharedDocs/Anlagen/RU/Publikationen/Broschueren/willkommen-in-deutschland-ru.pdf?__blob=publicationFile","x")</f>
        <v>x</v>
      </c>
      <c r="IO62" s="112"/>
      <c r="IP62" s="111"/>
      <c r="IQ62" s="112" t="str">
        <f>HYPERLINK("http://www.bamf.de/SharedDocs/Anlagen/RU/Publikationen/Flyer/Lernen-Sie-Deutsch/lernen-sie-deutsch.pdf?__blob=publicationFile","x")</f>
        <v>x</v>
      </c>
      <c r="IR62" s="112"/>
      <c r="IS62" s="111"/>
      <c r="IT62" s="111"/>
      <c r="IU62" s="111"/>
      <c r="IV62" s="112" t="str">
        <f>HYPERLINK("http://www.asyl.net/fileadmin/user_upload/infoblatt_anhoerung/Infoblatt_2015_russ_fin.pdf","x")</f>
        <v>x</v>
      </c>
      <c r="IW62" s="112"/>
      <c r="IX62" s="112" t="str">
        <f>HYPERLINK("http://www.berlin.de/labo/willkommen-in-berlin/service/downloads/artikel.273193.php","x")</f>
        <v>x</v>
      </c>
      <c r="IY62" s="112" t="str">
        <f>HYPERLINK("http://www.bamf.de/SharedDocs/Anlagen/RU/Publikationen/Broschueren/broschuere-eat-a4.pdf?__blob=publicationFile","x")</f>
        <v>x</v>
      </c>
      <c r="IZ62" s="111"/>
      <c r="JA62" s="112" t="str">
        <f>HYPERLINK("http://fluechtlingsrat-bw.de/informationen-fuer-fluechtlinge.html","x")</f>
        <v>x</v>
      </c>
      <c r="JB62" s="111"/>
      <c r="JC62" s="112"/>
      <c r="JD62" s="111"/>
      <c r="JE62" s="112"/>
      <c r="JF62" s="112"/>
      <c r="JG62" s="112" t="str">
        <f>HYPERLINK("http://www.bamf.de/SharedDocs/Anlagen/RU/Publikationen/Flyer/Ehegattennachzug/ehegattennachzug.pdf?__blob=publicationFile","x")</f>
        <v>x</v>
      </c>
      <c r="JH62" s="112"/>
      <c r="JI62" s="111"/>
      <c r="JJ62" s="112"/>
      <c r="JK62" s="112"/>
      <c r="JL62" s="112" t="str">
        <f>HYPERLINK("http://www.kub-berlin.org/formularprojekt/de/russisch-antraege-und-anlagen/","x")</f>
        <v>x</v>
      </c>
      <c r="JM62" s="112" t="str">
        <f>HYPERLINK("https://www.arbeitsagentur.de/web/content/DE/Formulare/Detail/index.htm?dfContentId=L6019022DSTBAI485740","x")</f>
        <v>x</v>
      </c>
      <c r="JN62" s="112"/>
      <c r="JO62" s="112"/>
      <c r="JP62" s="112"/>
      <c r="JQ62" s="112"/>
      <c r="JR62" s="112" t="str">
        <f>HYPERLINK("http://www.ibla-germany.de/merkblaetter.php","x")</f>
        <v>x</v>
      </c>
      <c r="JS62" s="112"/>
      <c r="JT62" s="112" t="str">
        <f>HYPERLINK("http://www.b-umf.de/images/willkommensbroschurerussisch-web.pdf","x")</f>
        <v>x</v>
      </c>
      <c r="JU62" s="111"/>
      <c r="JV62" s="111"/>
      <c r="JW62" s="112"/>
      <c r="JX62" s="112"/>
      <c r="JY62" s="112"/>
      <c r="JZ62" s="112"/>
      <c r="KA62" s="112"/>
      <c r="KB62" s="112" t="str">
        <f>HYPERLINK("http://www.refugeeguide.de/dl/RefugeeGuide_ru_1207.pdf","x")</f>
        <v>x</v>
      </c>
      <c r="KC62" s="111"/>
      <c r="KD62" s="112" t="str">
        <f>HYPERLINK("http://www.wedel.de/fileadmin/user_upload/media/pdf/Rathaus_und_Politik/20160118_PM_Broschuere.pdf","x")</f>
        <v>x</v>
      </c>
      <c r="KE62" s="112"/>
      <c r="KF62" s="112" t="str">
        <f>HYPERLINK("http://sab.landtag.sachsen.de/dokumente/landtagskurier/Grundwerte-A5-international_web_08012016.pdf","x")</f>
        <v>x</v>
      </c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1"/>
      <c r="LD62" s="111"/>
      <c r="LE62" s="111"/>
      <c r="LF62" s="111"/>
      <c r="LG62" s="111"/>
      <c r="LH62" s="111"/>
      <c r="LI62" s="111"/>
      <c r="LJ62" s="111"/>
      <c r="LK62" s="111"/>
      <c r="LL62" s="111"/>
      <c r="LM62" s="111"/>
      <c r="LN62" s="111"/>
      <c r="LO62" s="111"/>
      <c r="LP62" s="111"/>
      <c r="LQ62" s="111"/>
      <c r="LR62" s="111"/>
      <c r="LS62" s="111"/>
      <c r="LT62" s="111"/>
      <c r="LU62" s="111"/>
      <c r="LV62" s="111"/>
      <c r="LW62" s="111"/>
      <c r="LX62" s="111"/>
      <c r="LY62" s="111"/>
      <c r="LZ62" s="111"/>
      <c r="MA62" s="111"/>
      <c r="MB62" s="111"/>
      <c r="MC62" s="111"/>
      <c r="MD62" s="112" t="str">
        <f>HYPERLINK("http://www.rki.de/DE/Content/Infekt/IfSG/Belehrungsbogen/belehrungsbogen_lebensmittel_russisch.pdf?__blob=publicationFile","x")</f>
        <v>x</v>
      </c>
      <c r="ME62" s="111"/>
      <c r="MF62" s="111"/>
      <c r="MG62" s="111"/>
      <c r="MH62" s="111"/>
      <c r="MI62" s="112" t="str">
        <f>HYPERLINK("http://www.kindersicherheit.de/pdf/2012_poster_achtunggiftig_8sprachig.pdf","x")</f>
        <v>x</v>
      </c>
    </row>
    <row r="63" spans="1:347" x14ac:dyDescent="0.25">
      <c r="A63" s="102" t="s">
        <v>134</v>
      </c>
      <c r="B63" s="127" t="s">
        <v>132</v>
      </c>
      <c r="C63" s="102"/>
      <c r="D63" s="102"/>
      <c r="E63" s="102"/>
      <c r="F63" s="102"/>
      <c r="G63" s="102"/>
      <c r="H63" s="102"/>
      <c r="I63" s="102"/>
      <c r="J63" s="102"/>
      <c r="K63" s="103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3"/>
      <c r="AW63" s="114" t="str">
        <f t="shared" si="0"/>
        <v>x</v>
      </c>
      <c r="AX63" s="114" t="str">
        <f t="shared" si="1"/>
        <v>x</v>
      </c>
      <c r="AY63" s="111"/>
      <c r="AZ63" s="111"/>
      <c r="BA63" s="112" t="str">
        <f t="shared" si="2"/>
        <v>x</v>
      </c>
      <c r="BB63" s="112" t="str">
        <f t="shared" si="3"/>
        <v>x</v>
      </c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2" t="str">
        <f>HYPERLINK("http://www.frnrw.de/images/Aus_den_Initiativen/Ehrenamtler/2015/Dictionary_x10_print-2.pdf","x")</f>
        <v>x</v>
      </c>
      <c r="BN63" s="111"/>
      <c r="BO63" s="111"/>
      <c r="BP63" s="111"/>
      <c r="BQ63" s="111"/>
      <c r="BR63" s="111"/>
      <c r="BS63" s="112" t="str">
        <f t="shared" si="4"/>
        <v>x</v>
      </c>
      <c r="BT63" s="112"/>
      <c r="BU63" s="111"/>
      <c r="BV63" s="112" t="str">
        <f t="shared" si="5"/>
        <v>x</v>
      </c>
      <c r="BW63" s="112"/>
      <c r="BX63" s="112"/>
      <c r="BY63" s="112"/>
      <c r="BZ63" s="112"/>
      <c r="CA63" s="112" t="str">
        <f t="shared" si="6"/>
        <v>x</v>
      </c>
      <c r="CB63" s="112" t="str">
        <f t="shared" si="7"/>
        <v>x</v>
      </c>
      <c r="CC63" s="112" t="str">
        <f t="shared" si="8"/>
        <v>x</v>
      </c>
      <c r="CD63" s="112"/>
      <c r="CE63" s="112"/>
      <c r="CF63" s="111"/>
      <c r="CG63" s="111"/>
      <c r="CH63" s="111"/>
      <c r="CI63" s="111"/>
      <c r="CJ63" s="111"/>
      <c r="CK63" s="112" t="str">
        <f t="shared" si="9"/>
        <v>x</v>
      </c>
      <c r="CL63" s="112"/>
      <c r="CM63" s="112"/>
      <c r="CN63" s="112"/>
      <c r="CO63" s="112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2"/>
      <c r="DA63" s="112"/>
      <c r="DB63" s="112"/>
      <c r="DC63" s="115"/>
      <c r="DD63" s="112"/>
      <c r="DE63" s="112"/>
      <c r="DF63" s="112" t="str">
        <f t="shared" si="10"/>
        <v>x</v>
      </c>
      <c r="DG63" s="115" t="str">
        <f t="shared" si="11"/>
        <v>x</v>
      </c>
      <c r="DH63" s="112" t="str">
        <f t="shared" si="12"/>
        <v>x</v>
      </c>
      <c r="DI63" s="112" t="str">
        <f t="shared" si="13"/>
        <v>x</v>
      </c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8"/>
      <c r="EQ63" s="118"/>
      <c r="ER63" s="111"/>
      <c r="ES63" s="111"/>
      <c r="ET63" s="111"/>
      <c r="EU63" s="111"/>
      <c r="EV63" s="111"/>
      <c r="EW63" s="112" t="str">
        <f t="shared" si="14"/>
        <v>x</v>
      </c>
      <c r="EX63" s="111"/>
      <c r="EY63" s="111"/>
      <c r="EZ63" s="111"/>
      <c r="FA63" s="111"/>
      <c r="FB63" s="111"/>
      <c r="FC63" s="111"/>
      <c r="FD63" s="112" t="str">
        <f t="shared" si="15"/>
        <v>x</v>
      </c>
      <c r="FE63" s="112" t="str">
        <f t="shared" si="21"/>
        <v>x</v>
      </c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2" t="str">
        <f t="shared" si="16"/>
        <v>x</v>
      </c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2" t="str">
        <f t="shared" si="17"/>
        <v>x</v>
      </c>
      <c r="HZ63" s="112" t="str">
        <f t="shared" si="18"/>
        <v>x</v>
      </c>
      <c r="IA63" s="112" t="str">
        <f>HYPERLINK("http://peacefulheart.se/wp-content/uploads/2012/07/manual_svenska.pdf","x")</f>
        <v>x</v>
      </c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1"/>
      <c r="IZ63" s="111"/>
      <c r="JA63" s="111"/>
      <c r="JB63" s="111"/>
      <c r="JC63" s="111"/>
      <c r="JD63" s="111"/>
      <c r="JE63" s="111"/>
      <c r="JF63" s="111"/>
      <c r="JG63" s="111"/>
      <c r="JH63" s="111"/>
      <c r="JI63" s="111"/>
      <c r="JJ63" s="111"/>
      <c r="JK63" s="111"/>
      <c r="JL63" s="111"/>
      <c r="JM63" s="111"/>
      <c r="JN63" s="111"/>
      <c r="JO63" s="111"/>
      <c r="JP63" s="111"/>
      <c r="JQ63" s="111"/>
      <c r="JR63" s="111"/>
      <c r="JS63" s="111"/>
      <c r="JT63" s="111"/>
      <c r="JU63" s="111"/>
      <c r="JV63" s="111"/>
      <c r="JW63" s="111"/>
      <c r="JX63" s="111"/>
      <c r="JY63" s="111"/>
      <c r="JZ63" s="111"/>
      <c r="KA63" s="111"/>
      <c r="KB63" s="111"/>
      <c r="KC63" s="111"/>
      <c r="KD63" s="111"/>
      <c r="KE63" s="111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  <c r="MI63" s="111"/>
    </row>
    <row r="64" spans="1:347" x14ac:dyDescent="0.25">
      <c r="A64" s="102" t="s">
        <v>398</v>
      </c>
      <c r="B64" s="127" t="s">
        <v>5</v>
      </c>
      <c r="C64" s="102"/>
      <c r="D64" s="102"/>
      <c r="E64" s="102"/>
      <c r="F64" s="102"/>
      <c r="G64" s="102"/>
      <c r="H64" s="102"/>
      <c r="I64" s="102"/>
      <c r="J64" s="102"/>
      <c r="K64" s="103"/>
      <c r="L64" s="111"/>
      <c r="M64" s="111"/>
      <c r="N64" s="111"/>
      <c r="O64" s="111"/>
      <c r="P64" s="112" t="str">
        <f>HYPERLINK("http://www.awb-ahrweiler.de/admin/data/ddownload/Abfall%20Sonderhinweise-Franzoesisch%202015.pdf","x")</f>
        <v>x</v>
      </c>
      <c r="Q64" s="111"/>
      <c r="R64" s="111"/>
      <c r="S64" s="111"/>
      <c r="T64" s="111"/>
      <c r="U64" s="112" t="str">
        <f>HYPERLINK("http://www.ag-fluechtlingshilfe-wetterau.de/uploads/infos/191.pdf","x")</f>
        <v>x</v>
      </c>
      <c r="V64" s="112"/>
      <c r="W64" s="112"/>
      <c r="X64" s="111"/>
      <c r="Y64" s="112"/>
      <c r="Z64" s="112"/>
      <c r="AA64" s="112"/>
      <c r="AB64" s="112"/>
      <c r="AC64" s="112"/>
      <c r="AD64" s="112" t="str">
        <f>HYPERLINK("http://www.rundfunkbeitrag.de/e175/e1632/Informationsflyer_Buergerinnen_und_Buerger_franzoesisch.pdf","x")</f>
        <v>x</v>
      </c>
      <c r="AE64" s="112"/>
      <c r="AF64" s="112" t="str">
        <f>HYPERLINK("http://www.kub-berlin.org/formularprojekt/franzoesisch-antraege-und-anlagen-uebersetzungshilfen/","x")</f>
        <v>x</v>
      </c>
      <c r="AG64" s="112" t="str">
        <f>HYPERLINK("http://asyl-in-moenchengladbach.de/wp-content/uploads/2015/11/100711-Flyer_FR.pdf","x")</f>
        <v>x</v>
      </c>
      <c r="AH64" s="112" t="str">
        <f>HYPERLINK("http://sghanstedt.elbnetz.com/ueber-uns/","x")</f>
        <v>x</v>
      </c>
      <c r="AI64" s="111"/>
      <c r="AJ64" s="111"/>
      <c r="AK64" s="112" t="str">
        <f>HYPERLINK("https://www.vrsinfo.de/fileadmin/Dateien/downloadcenter/Folder_MobilPassTicket_Refugees01012016.pdf","x")</f>
        <v>x</v>
      </c>
      <c r="AL64" s="112" t="str">
        <f>HYPERLINK("https://www.vrsinfo.de/fileadmin/Dateien/downloadcenter/Willkommen_im_VRS2016_Druck.pdf","x")</f>
        <v>x</v>
      </c>
      <c r="AM64" s="112"/>
      <c r="AN64" s="112" t="str">
        <f>HYPERLINK("https://www.deutschebahn.com/file/de/2191748/eYdgZpqGpp5sMJ2KMKtg2r8aE4Q/10123812/data/infos_fuer_fluechtlinge.pdf","x")</f>
        <v>x</v>
      </c>
      <c r="AO64" s="112"/>
      <c r="AP64" s="112"/>
      <c r="AQ64" s="112"/>
      <c r="AR64" s="112"/>
      <c r="AS64" s="112"/>
      <c r="AT64" s="112"/>
      <c r="AU64" s="112"/>
      <c r="AV64" s="114" t="str">
        <f>HYPERLINK("http://www.studentenwerke.de/de/content/illustriertes-wohnheimw%C3%B6rterbuch-1","x")</f>
        <v>x</v>
      </c>
      <c r="AW64" s="114" t="str">
        <f t="shared" si="0"/>
        <v>x</v>
      </c>
      <c r="AX64" s="114" t="str">
        <f t="shared" si="1"/>
        <v>x</v>
      </c>
      <c r="AY64" s="111"/>
      <c r="AZ64" s="111"/>
      <c r="BA64" s="112" t="str">
        <f t="shared" si="2"/>
        <v>x</v>
      </c>
      <c r="BB64" s="112" t="str">
        <f t="shared" si="3"/>
        <v>x</v>
      </c>
      <c r="BC64" s="111"/>
      <c r="BD64" s="111"/>
      <c r="BE64" s="111"/>
      <c r="BF64" s="112" t="str">
        <f>HYPERLINK("http://fi-lohmar-siegburg.de/data/documents/communicationboard-arabic-french.pdf","x")</f>
        <v>x</v>
      </c>
      <c r="BG64" s="111"/>
      <c r="BH64" s="112" t="str">
        <f>HYPERLINK("http://www.refugeephrasebook.de/pdf/germany150920.pdf","x")</f>
        <v>x</v>
      </c>
      <c r="BI64" s="112" t="str">
        <f>HYPERLINK("https://www.advanced-online.eu/downloads/RefugeePhrasebookCards_German-French.pdf","x")</f>
        <v>x</v>
      </c>
      <c r="BJ64" s="112" t="str">
        <f>HYPERLINK("http://www.klett-sprachen.de/download/8638/W100255_Refugees_Welcome_Wortschatz.pdf","x")</f>
        <v>x</v>
      </c>
      <c r="BK64" s="111"/>
      <c r="BL64" s="112" t="str">
        <f>HYPERLINK("http://www.bundessprachenamt.de/deutsch/wir_ueber_uns/nachrichten/2015/20151103/Verständigungshilfe_Französisch_26_11_2015.pdf","x")</f>
        <v>x</v>
      </c>
      <c r="BM64" s="111"/>
      <c r="BN64" s="111"/>
      <c r="BO64" s="111"/>
      <c r="BP64" s="111"/>
      <c r="BQ64" s="111"/>
      <c r="BR64" s="111"/>
      <c r="BS64" s="112" t="str">
        <f t="shared" si="4"/>
        <v>x</v>
      </c>
      <c r="BT64" s="112"/>
      <c r="BU64" s="111"/>
      <c r="BV64" s="112" t="str">
        <f t="shared" si="5"/>
        <v>x</v>
      </c>
      <c r="BW64" s="112" t="str">
        <f>HYPERLINK("http://www.welcomegrooves.de/wp-content/uploads/2015/11/welcomegrooves-de-franzoesisch.pdf","x")</f>
        <v>x</v>
      </c>
      <c r="BX64" s="112"/>
      <c r="BY64" s="112"/>
      <c r="BZ64" s="112" t="str">
        <f>HYPERLINK("http://fluechtlingshilfe-nettetal.de/ausbildung/video-sprachkurse-deutsch-fuer-fluechtlinge/video-sprachkurs-franzoesisch-deutsch/","x")</f>
        <v>x</v>
      </c>
      <c r="CA64" s="112" t="str">
        <f t="shared" si="6"/>
        <v>x</v>
      </c>
      <c r="CB64" s="112" t="str">
        <f t="shared" si="7"/>
        <v>x</v>
      </c>
      <c r="CC64" s="112" t="str">
        <f t="shared" si="8"/>
        <v>x</v>
      </c>
      <c r="CD64" s="112"/>
      <c r="CE64" s="112"/>
      <c r="CF64" s="111"/>
      <c r="CG64" s="111"/>
      <c r="CH64" s="112" t="str">
        <f>HYPERLINK("http://mifkjf.rlp.de/fileadmin/mifkjf/Frauen/Gewalt_gegen_Frauen/Downloads/Broschueren_Flyer/Flyer_Gewalt_franzoesisch.pdf","x")</f>
        <v>x</v>
      </c>
      <c r="CI64" s="112" t="str">
        <f>HYPERLINK("https://www.hilfetelefon.de/fileadmin/hilfetelefon_de/Materialien/Flyer/Infoflyer_Hilfetelefon_Gewalt_gegen_Frauen141105_b2.pdf","x")</f>
        <v>x</v>
      </c>
      <c r="CJ64" s="112" t="str">
        <f>HYPERLINK("https://www.hilfetelefon.de/fileadmin/hilfetelefon_de/Materialien/weitere_werbemittel/Klappflyer_Vorder-_und_Rueckseite_opt2.pdf","x")</f>
        <v>x</v>
      </c>
      <c r="CK64" s="112" t="str">
        <f t="shared" si="9"/>
        <v>x</v>
      </c>
      <c r="CL64" s="112"/>
      <c r="CM64" s="112"/>
      <c r="CN64" s="112"/>
      <c r="CO64" s="112"/>
      <c r="CP64" s="112" t="str">
        <f>HYPERLINK("http://www.schwanger-und-viele-fragen.de/fr/","x")</f>
        <v>x</v>
      </c>
      <c r="CQ64" s="112"/>
      <c r="CR64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64" s="112" t="str">
        <f>HYPERLINK("http://en.beststart.org/for_parents/are-you-looking-resources-languages-other-english-and-french","x")</f>
        <v>x</v>
      </c>
      <c r="CT64" s="112"/>
      <c r="CU64" s="112" t="str">
        <f>HYPERLINK("http://www.profamilia.de/fileadmin/publikationen/Erwachsene/mehrsprachig/Bro_Verhuetung_frz_141002.pdf","x")</f>
        <v>x</v>
      </c>
      <c r="CV64" s="112"/>
      <c r="CW64" s="112"/>
      <c r="CX64" s="112"/>
      <c r="CY64" s="112" t="str">
        <f>HYPERLINK("http://www.caritas-schwarzwald-alb-donau.de/68854.html","x")</f>
        <v>x</v>
      </c>
      <c r="CZ64" s="112"/>
      <c r="DA64" s="112"/>
      <c r="DB64" s="112"/>
      <c r="DC64" s="115" t="str">
        <f>HYPERLINK("http://www.kindersicherheit.de/pdf/2013_BAG_Tomi_and_Mila_Deutsch_Francais.pdf","x")</f>
        <v>x</v>
      </c>
      <c r="DD64" s="112"/>
      <c r="DE64" s="112"/>
      <c r="DF64" s="112" t="str">
        <f t="shared" si="10"/>
        <v>x</v>
      </c>
      <c r="DG64" s="115" t="str">
        <f t="shared" si="11"/>
        <v>x</v>
      </c>
      <c r="DH64" s="112" t="str">
        <f t="shared" si="12"/>
        <v>x</v>
      </c>
      <c r="DI64" s="112" t="str">
        <f t="shared" si="13"/>
        <v>x</v>
      </c>
      <c r="DJ64" s="112"/>
      <c r="DK64" s="112"/>
      <c r="DL64" s="112"/>
      <c r="DM64" s="112"/>
      <c r="DN64" s="112"/>
      <c r="DO64" s="112"/>
      <c r="DP64" s="111"/>
      <c r="DQ64" s="111"/>
      <c r="DR64" s="112" t="str">
        <f>HYPERLINK("https://broschueren.nordrheinwestfalendirekt.de/broschuerenservice/msw/fr-das-schulsystem-in-nordrhein-westfalen-einfach-und-schnell-erklaert/1903","x")</f>
        <v>x</v>
      </c>
      <c r="DS64" s="112" t="str">
        <f>HYPERLINK("http://bildung.koeln.de/materialbibliothek/download.php?idx=6f75d59e17e7868506c0a48e6f7a44f2","x")</f>
        <v>x</v>
      </c>
      <c r="DT64" s="112" t="str">
        <f>HYPERLINK("http://bildung.koeln.de/materialbibliothek/download.php?idx=bde72be3f1bc4c51a4b0bcfe4a4187c4","x")</f>
        <v>x</v>
      </c>
      <c r="DU64" s="112"/>
      <c r="DV64" s="112" t="str">
        <f>HYPERLINK("https://www.bmbf.de/pub/KAUSA_Elternratgeber_deutsch_franzoesisch.pdf","x")</f>
        <v>x</v>
      </c>
      <c r="DW64" s="111"/>
      <c r="DX64" s="112" t="str">
        <f>HYPERLINK("http://www.wissenschaft.nrw.de/studium/informieren/informationen-fuer-fluechtlinge-die-in-nrw-studieren-moechten/","x")</f>
        <v>x</v>
      </c>
      <c r="DY64" s="111"/>
      <c r="DZ64" s="112" t="str">
        <f>HYPERLINK("http://www.bamf.de/SharedDocs/Anlagen/DE/Publikationen/Flyer/AnerkennungBerufsabschluss/anerkennung-berufsabschluss_fr.pdf?__blob=publicationFile","x")</f>
        <v>x</v>
      </c>
      <c r="EA64" s="112" t="str">
        <f>HYPERLINK("http://www.bamf.de/SharedDocs/Anlagen/DE/Publikationen/Flyer/AnerkennungBerufsabschluss/anerkennung-berufsabschluss_ausland_fr.pdf?__blob=publicationFile","x")</f>
        <v>x</v>
      </c>
      <c r="EB64" s="112" t="str">
        <f>HYPERLINK("http://www.bamf.de/SharedDocs/Anlagen/DE/Publikationen/Broschueren/willkommen-in-deutschland-info-blaue-karte-eu_fr.pdf?__blob=publicationFile","x")</f>
        <v>x</v>
      </c>
      <c r="EC64" s="112" t="str">
        <f>HYPERLINK("http://www.bamf.de/SharedDocs/Anlagen/DE/Publikationen/Flyer/Berufsbezsprachf-ESF-BAMF/berufsbezsprachf-esf-bamf_fr.pdf?__blob=publicationFile","x")</f>
        <v>x</v>
      </c>
      <c r="ED64" s="111"/>
      <c r="EE64" s="111"/>
      <c r="EF64" s="111"/>
      <c r="EG64" s="111"/>
      <c r="EH64" s="111"/>
      <c r="EI64" s="111"/>
      <c r="EJ64" s="112"/>
      <c r="EK64" s="112" t="str">
        <f>HYPERLINK("http://fluechtlingsrat-bw.de/files/Dateien/Dokumente/Materialbestellung/2014-12-flyer%20arbeitserlaubnis%20FRZ%20WEB.pdf","x")</f>
        <v>x</v>
      </c>
      <c r="EL64" s="111"/>
      <c r="EM64" s="112" t="str">
        <f>HYPERLINK("http://www.kvs-sachsen.de/fileadmin/img/Mitglieder/Asylbewerber/Allg-Informationen/Anlage_1_Franzoesisch_LEK.pdf","x")</f>
        <v>x</v>
      </c>
      <c r="EN64" s="112" t="str">
        <f>HYPERLINK("http://www.medizin-hilft-fluechtlingen.de/images/Dokumente/gSch/gSch_fra.pdf","x")</f>
        <v>x</v>
      </c>
      <c r="EO64" s="112"/>
      <c r="EP64" s="117" t="str">
        <f>HYPERLINK("http://www.medi-bild.de/pdf/anamnese/Welche_Sprache.pdf","x")</f>
        <v>x</v>
      </c>
      <c r="EQ64" s="117" t="str">
        <f>HYPERLINK("http://www.armut-gesundheit.de/fileadmin/redakteur/dokumente/Anamnesebogen%20-%20franz%C3%B6sischnew.pdf","x")</f>
        <v>x</v>
      </c>
      <c r="ER64" s="112" t="str">
        <f>HYPERLINK("http://www.kvs-sachsen.de/fileadmin/img/Mitglieder/Asylbewerber/Allg-Informationen/Anlagen_2-1_2-2_Franzoesisch_LEK.pdf","x")</f>
        <v>x</v>
      </c>
      <c r="ES64" s="111"/>
      <c r="ET64" s="111"/>
      <c r="EU64" s="112" t="str">
        <f>HYPERLINK("http://medizin-hilft-fluechtlingen.de/images/Dokumente/ein/ein_per.pdf","x")</f>
        <v>x</v>
      </c>
      <c r="EV64" s="112" t="str">
        <f>HYPERLINK("http://www.adler-apotheke-hh.de/fileadmin/user_upload/PDF-Dateien/Dosierzettel_mehrsprachig_AUF_0_.pdf","x")</f>
        <v>x</v>
      </c>
      <c r="EW64" s="112" t="str">
        <f t="shared" si="14"/>
        <v>x</v>
      </c>
      <c r="EX64" s="112" t="str">
        <f>HYPERLINK("http://www.rki.de/DE/Content/Infekt/IfSG/Belehrungsbogen/belehrungsbogen_eltern_franzoesisch.pdf?__blob=publicationFile","x")</f>
        <v>x</v>
      </c>
      <c r="EY64" s="111"/>
      <c r="EZ64" s="112" t="str">
        <f>HYPERLINK("https://www.mh-hannover.de/fileadmin/mhh/bilder/aktuelles_presse/pressestelle/bilder/Pilzvergif_franzoesisch.pdf","x")</f>
        <v>x</v>
      </c>
      <c r="FA64" s="112"/>
      <c r="FB64" s="112" t="str">
        <f>HYPERLINK("http://static.apotheken-umschau.de/media/gp/article_506373/bildwoerterbuch.pdf","x")</f>
        <v>x</v>
      </c>
      <c r="FC64" s="111"/>
      <c r="FD64" s="112" t="str">
        <f t="shared" si="15"/>
        <v>x</v>
      </c>
      <c r="FE64" s="112" t="str">
        <f t="shared" si="21"/>
        <v>x</v>
      </c>
      <c r="FF64" s="111"/>
      <c r="FG64" s="112" t="str">
        <f>HYPERLINK("http://www.tipdoc.de/grafik/asyl/Gesundheitsheft_Asyl.pdf","x")</f>
        <v>x</v>
      </c>
      <c r="FH64" s="111"/>
      <c r="FI64" s="111"/>
      <c r="FJ64" s="112"/>
      <c r="FK64" s="112" t="str">
        <f>HYPERLINK("http://www.rki.de/DE/Content/Infekt/Impfen/Materialien/Downloads-Impfkalender/Impfkalender_Franzoesisch.pdf?__blob=publicationFile","x")</f>
        <v>x</v>
      </c>
      <c r="FL64" s="112" t="str">
        <f>HYPERLINK("http://www.ethno-medizinisches-zentrum.de/images/PDF-Files/impfwegweiser_franzosisch_2013_online.pdf","x")</f>
        <v>x</v>
      </c>
      <c r="FM64" s="112"/>
      <c r="FN64" s="112" t="str">
        <f>HYPERLINK("http://www.rki.de/DE/Content/Infekt/Impfen/Materialien/Glossar-Downloads/glossar-de-franzoesisch.pdf?__blob=publicationFile","x")</f>
        <v>x</v>
      </c>
      <c r="FO64" s="112" t="str">
        <f>HYPERLINK("http://www.euro.who.int/__data/assets/pdf_file/0012/162300/VPD-Signs,-symptoms-and-complications-FRE.pdf","x")</f>
        <v>x</v>
      </c>
      <c r="FP64" s="112" t="str">
        <f>HYPERLINK("http://www.rki.de/DE/Content/Infekt/Impfen/Materialien/Downloads-MMR/MMR-Impfinfo-franzoesisch.pdf?__blob=publicationFile","x")</f>
        <v>x</v>
      </c>
      <c r="FQ64" s="112" t="str">
        <f>HYPERLINK("http://www.rki.de/DE/Content/InfAZ/P/Polio/Ausbruch_Syrien/Informationsblatt_Polio_Franzoesisch.pdf?__blob=publicationFile","x")</f>
        <v>x</v>
      </c>
      <c r="FR64" s="112" t="str">
        <f>HYPERLINK("http://www.rki.de/DE/Content/Infekt/Impfen/Materialien/Downloads_HepA/Aufklaerung_HAV-Impfung_Franzoesisch.pdf?__blob=publicationFile","x")</f>
        <v>x</v>
      </c>
      <c r="FS64" s="112" t="str">
        <f>HYPERLINK("http://www.rki.de/DE/Content/Infekt/Impfen/Materialien/Downloads_Pneumokokken/Aufklaerung_Pneumo-Impfung_Franzoesisch.pdf?__blob=publicationFile","x")</f>
        <v>x</v>
      </c>
      <c r="FT64" s="112" t="str">
        <f>HYPERLINK("http://www.rki.de/DE/Content/Infekt/Impfen/Materialien/Downloads-DTaPIPVHibHepB/DTaPIPVHibHepB-franzoesisch.pdf?__blob=publicationFile","x")</f>
        <v>x</v>
      </c>
      <c r="FU64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64" s="112" t="str">
        <f>HYPERLINK("http://www.rki.de/DE/Content/Infekt/Impfen/Materialien/Downloads-Tdap-IPV/Tdap-IPV-franzoesisch.pdf?__blob=publicationFile","x")</f>
        <v>x</v>
      </c>
      <c r="FW64" s="112" t="str">
        <f>HYPERLINK("http://www.rki.de/DE/Content/Infekt/Impfen/Materialien/Downloads-Influenza_nasal/Influenza_nasal-franzoesisch.pdf?__blob=publicationFile","x")</f>
        <v>x</v>
      </c>
      <c r="FX64" s="111"/>
      <c r="FY64" s="112"/>
      <c r="FZ64" s="112"/>
      <c r="GA64" s="111"/>
      <c r="GB64" s="111"/>
      <c r="GC64" s="111"/>
      <c r="GD64" s="112" t="str">
        <f>HYPERLINK("http://www.ethno-medizinisches-zentrum.de/images/PDF-Files/lf_diabete_franzosisch.pdf","x")</f>
        <v>x</v>
      </c>
      <c r="GE64" s="111"/>
      <c r="GF64" s="111"/>
      <c r="GG64" s="111"/>
      <c r="GH64" s="112"/>
      <c r="GI64" s="111"/>
      <c r="GJ64" s="111"/>
      <c r="GK64" s="112" t="str">
        <f>HYPERLINK("http://www.tipdoc.de/bus/pdf/hiv/HIV%20SRF_Webseite.pdf","x")</f>
        <v>x</v>
      </c>
      <c r="GL64" s="111"/>
      <c r="GM64" s="112" t="str">
        <f>HYPERLINK("http://www.rki.de/DE/Content/Infekt/Impfen/Materialien/Downloads-Influenza/Influenza-franzoesisch.pdf?__blob=publicationFile","x")</f>
        <v>x</v>
      </c>
      <c r="GN64" s="111"/>
      <c r="GO64" s="111"/>
      <c r="GP64" s="112" t="str">
        <f>HYPERLINK("http://www.tipdoc.de/grafik/pdf/kopflaeuse/Kopflaeuse_FRANZ.pdf","x")</f>
        <v>x</v>
      </c>
      <c r="GQ64" s="112"/>
      <c r="GR64" s="112" t="str">
        <f>HYPERLINK("http://www.tipdoc.com/bus/pdf/kraetze/tipdoc_Scabies_FRANZ.pdf","x")</f>
        <v>x</v>
      </c>
      <c r="GS64" s="112" t="str">
        <f>HYPERLINK("http://www.tipdoc.com/bus/pdf/MagenDarmHaende/MagenDarmHaende_FRANZ.pdf","x")</f>
        <v>x</v>
      </c>
      <c r="GT64" s="111"/>
      <c r="GU64" s="111"/>
      <c r="GV64" s="111"/>
      <c r="GW64" s="111"/>
      <c r="GX64" s="111"/>
      <c r="GY64" s="111"/>
      <c r="GZ64" s="111"/>
      <c r="HA64" s="111"/>
      <c r="HB64" s="111"/>
      <c r="HC64" s="112" t="str">
        <f t="shared" si="16"/>
        <v>x</v>
      </c>
      <c r="HD64" s="112" t="str">
        <f>HYPERLINK("https://www.zahnaerzte-wl.de/images/_PDF-suche/KZV_ZÄK/ENDSTAND_Ankreuzbogen_Ich_verstehe.pdf","x")</f>
        <v>x</v>
      </c>
      <c r="HE64" s="112" t="str">
        <f>HYPERLINK("https://www.zahnaerzte-wl.de/images/_PDF-suche/KZV_ZÄK/Anschreiben_Patienten_franzoesisch.pdf","x")</f>
        <v>x</v>
      </c>
      <c r="HF64" s="112" t="str">
        <f>HYPERLINK("https://www.zahnaerzte-wl.de/images/_PDF-suche/KZV_ZÄK/Fragebogen_franzoesisch.pdf","x")</f>
        <v>x</v>
      </c>
      <c r="HG64" s="112" t="str">
        <f>HYPERLINK("https://www.zahnaerzte-wl.de/images/_PDF-suche/KZV_ZÄK/Patientenerhebungsbogen_franzoesisch.pdf","x")</f>
        <v>x</v>
      </c>
      <c r="HH64" s="112"/>
      <c r="HI64" s="112" t="str">
        <f>HYPERLINK("http://www.bvkm.de/fileadmin/web_data/Behinderung_und_Migration_franzoesisch_2014.pdf","x")</f>
        <v>x</v>
      </c>
      <c r="HJ64" s="112"/>
      <c r="HK64" s="112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2" t="str">
        <f t="shared" si="17"/>
        <v>x</v>
      </c>
      <c r="HZ64" s="112" t="str">
        <f t="shared" si="18"/>
        <v>x</v>
      </c>
      <c r="IA64" s="112" t="str">
        <f>HYPERLINK("http://peacefulheart.se/wp-content/uploads/2015/01/Tapping_French_Module-20150102-2.pdf","x")</f>
        <v>x</v>
      </c>
      <c r="IB64" s="111"/>
      <c r="IC64" s="111"/>
      <c r="ID64" s="111"/>
      <c r="IE64" s="111"/>
      <c r="IF64" s="111"/>
      <c r="IG64" s="111"/>
      <c r="IH64" s="111"/>
      <c r="II64" s="112" t="str">
        <f>HYPERLINK("http://www.caritas.de/hilfeundberatung/onlineberatung/suchtberatung/haeufiggestelltefragensucht/haeufiggestelltefragen-sucht","x")</f>
        <v>x</v>
      </c>
      <c r="IJ64" s="111"/>
      <c r="IK64" s="112" t="str">
        <f>HYPERLINK("http://www.bamf.de/SharedDocs/Anlagen/DE/Publikationen/Flyer/Lassen-Sie-Sich-Beraten/lassen-sie-sich-beraten_fr.pdf?__blob=publicationFile","x")</f>
        <v>x</v>
      </c>
      <c r="IL64" s="112" t="str">
        <f>HYPERLINK("http://www.bamf.de/SharedDocs/Anlagen/DE/Publikationen/Flyer/flyer-erstorientierung-asylsuchende_franzoesisch.pdf?__blob=publicationFile","x")</f>
        <v>x</v>
      </c>
      <c r="IM64" s="112" t="str">
        <f>HYPERLINK("http://www.frnrw.de/index.php/inhaltliche-themen/arbeitshilfen/item/3710-erstinfos-fuer-asylsuchende","x")</f>
        <v>x</v>
      </c>
      <c r="IN64" s="112" t="str">
        <f>HYPERLINK("https://www.bamf.de/SharedDocs/Anlagen/DE/Publikationen/Broschueren/willkommen-in-deutschland_fr.pdf?__blob=publicationFile","x")</f>
        <v>x</v>
      </c>
      <c r="IO64" s="112"/>
      <c r="IP64" s="112"/>
      <c r="IQ64" s="112" t="str">
        <f>HYPERLINK("http://www.bamf.de/SharedDocs/Anlagen/DE/Publikationen/Flyer/Lernen-Sie-Deutsch/lernen-sie-deutsch_fr.pdf?__blob=publicationFile","x")</f>
        <v>x</v>
      </c>
      <c r="IR64" s="112"/>
      <c r="IS64" s="111"/>
      <c r="IT64" s="111"/>
      <c r="IU64" s="111"/>
      <c r="IV64" s="112" t="str">
        <f>HYPERLINK("http://www.asyl.net/fileadmin/user_upload/infoblatt_anhoerung/Frz_final.pdf","x")</f>
        <v>x</v>
      </c>
      <c r="IW64" s="112"/>
      <c r="IX64" s="112" t="str">
        <f>HYPERLINK("http://www.berlin.de/labo/willkommen-in-berlin/service/downloads/artikel.273193.php","x")</f>
        <v>x</v>
      </c>
      <c r="IY64" s="112" t="str">
        <f>HYPERLINK("http://www.bamf.de/SharedDocs/Anlagen/DE/Publikationen/Broschueren/broschuere-eat-a4-fr-franzoesisch.pdf?__blob=publicationFile","x")</f>
        <v>x</v>
      </c>
      <c r="IZ64" s="111"/>
      <c r="JA64" s="112" t="str">
        <f>HYPERLINK("http://fluechtlingsrat-bw.de/informationen-fuer-fluechtlinge.html","x")</f>
        <v>x</v>
      </c>
      <c r="JB64" s="111"/>
      <c r="JC64" s="112" t="str">
        <f>HYPERLINK("http://www.bamf.de/SharedDocs/Anlagen/DE/Publikationen/Flyer/20150223_ura2_fra.pdf?__blob=publicationFile","x")</f>
        <v>x</v>
      </c>
      <c r="JD64" s="111"/>
      <c r="JE64" s="112"/>
      <c r="JF64" s="112"/>
      <c r="JG64" s="112"/>
      <c r="JH64" s="112"/>
      <c r="JI64" s="111"/>
      <c r="JJ64" s="112" t="str">
        <f>HYPERLINK("http://www.kub-berlin.org/formularprojekt/franzoesisch-antraege-und-anlagen-uebersetzungshilfen/","x")</f>
        <v>x</v>
      </c>
      <c r="JK64" s="112" t="str">
        <f>HYPERLINK("https://www.arbeitsagentur.de/web/wcm/idc/groups/public/documents/webdatei/mdaw/mjg1/~edisp/l6019022dstbai788667.pdf?_ba.sid=L6019022DSTBAI784626","x")</f>
        <v>x</v>
      </c>
      <c r="JL64" s="112" t="str">
        <f>HYPERLINK("http://www.kub-berlin.org/formularprojekt/franzoesisch-antraege-und-anlagen-uebersetzungshilfen/","x")</f>
        <v>x</v>
      </c>
      <c r="JM64" s="112" t="str">
        <f>HYPERLINK("https://www.arbeitsagentur.de/web/content/DE/Formulare/Detail/index.htm?dfContentId=L6019022DSTBAI485740","x")</f>
        <v>x</v>
      </c>
      <c r="JN64" s="112"/>
      <c r="JO64" s="112"/>
      <c r="JP64" s="112"/>
      <c r="JQ64" s="112"/>
      <c r="JR64" s="112" t="str">
        <f>HYPERLINK("http://www.ibla-germany.de/merkblaetter.php","x")</f>
        <v>x</v>
      </c>
      <c r="JS64" s="112"/>
      <c r="JT64" s="112" t="str">
        <f>HYPERLINK("http://www.b-umf.de/images/willkommen/willkommensbroschurefranzoesisch-web.pdf","x")</f>
        <v>x</v>
      </c>
      <c r="JU64" s="111"/>
      <c r="JV64" s="111"/>
      <c r="JW64" s="112"/>
      <c r="JX64" s="112"/>
      <c r="JY64" s="112"/>
      <c r="JZ64" s="112"/>
      <c r="KA64" s="112"/>
      <c r="KB64" s="112" t="str">
        <f>HYPERLINK("http://www.refugeeguide.de/dl/RefugeeGuide_fr_925.pdf","x")</f>
        <v>x</v>
      </c>
      <c r="KC64" s="111"/>
      <c r="KD64" s="112" t="str">
        <f>HYPERLINK("http://www.wedel.de/fileadmin/user_upload/media/pdf/Rathaus_und_Politik/20160118_PM_Broschuere.pdf","x")</f>
        <v>x</v>
      </c>
      <c r="KE64" s="112" t="str">
        <f>HYPERLINK("http://www.frauenrechte.de/online/images/downloads/allgemein/TDF_Flyer_Women_Men.pdf","x")</f>
        <v>x</v>
      </c>
      <c r="KF64" s="112" t="str">
        <f>HYPERLINK("http://sab.landtag.sachsen.de/dokumente/landtagskurier/Grundwerte-A5-international_web_08012016.pdf","x")</f>
        <v>x</v>
      </c>
      <c r="KG64" s="112"/>
      <c r="KH64" s="112"/>
      <c r="KI64" s="112"/>
      <c r="KJ64" s="112"/>
      <c r="KK64" s="112"/>
      <c r="KL64" s="112"/>
      <c r="KM64" s="112"/>
      <c r="KN64" s="112"/>
      <c r="KO64" s="112"/>
      <c r="KP64" s="112"/>
      <c r="KQ64" s="112"/>
      <c r="KR64" s="112"/>
      <c r="KS64" s="112"/>
      <c r="KT64" s="112"/>
      <c r="KU64" s="112"/>
      <c r="KV64" s="112"/>
      <c r="KW64" s="112"/>
      <c r="KX64" s="112"/>
      <c r="KY64" s="112"/>
      <c r="KZ64" s="112"/>
      <c r="LA64" s="112"/>
      <c r="LB64" s="112"/>
      <c r="LC64" s="111"/>
      <c r="LD64" s="112"/>
      <c r="LE64" s="112"/>
      <c r="LF64" s="112"/>
      <c r="LG64" s="112"/>
      <c r="LH64" s="112"/>
      <c r="LI64" s="112"/>
      <c r="LJ64" s="112"/>
      <c r="LK64" s="112"/>
      <c r="LL64" s="112"/>
      <c r="LM64" s="111"/>
      <c r="LN64" s="111"/>
      <c r="LO64" s="111"/>
      <c r="LP64" s="111"/>
      <c r="LQ64" s="112"/>
      <c r="LR64" s="111"/>
      <c r="LS64" s="112"/>
      <c r="LT64" s="112"/>
      <c r="LU64" s="111"/>
      <c r="LV64" s="111"/>
      <c r="LW64" s="111"/>
      <c r="LX64" s="111"/>
      <c r="LY64" s="111"/>
      <c r="LZ64" s="111"/>
      <c r="MA64" s="111"/>
      <c r="MB64" s="112"/>
      <c r="MC64" s="111"/>
      <c r="MD64" s="112" t="str">
        <f>HYPERLINK("http://www.rki.de/DE/Content/Infekt/IfSG/Belehrungsbogen/belehrungsbogen_lebensmittel_franzoesisch.pdf?__blob=publicationFile","x")</f>
        <v>x</v>
      </c>
      <c r="ME64" s="111"/>
      <c r="MF64" s="112" t="str">
        <f>HYPERLINK("http://www.gdv.de/wp-content/uploads/2016/01/Information_Brandschutz_Fluechtlingsheim_-Sicherheit_mehrsprachig.pdf","x")</f>
        <v>x</v>
      </c>
      <c r="MG64" s="112" t="str">
        <f>HYPERLINK("http://www.gdv.de/wp-content/uploads/2016/01/Information_Verhalten-im-Brandfall_mehrsprachig.pdf","x")</f>
        <v>x</v>
      </c>
      <c r="MH64" s="112" t="str">
        <f>HYPERLINK("http://www.aha-region.de/fileadmin/Download/pdf/aha_Plakat_Muelltrennung_fr.pdf","x")</f>
        <v>x</v>
      </c>
      <c r="MI64" s="112" t="str">
        <f>HYPERLINK("http://www.kindersicherheit.de/pdf/2012_poster_achtunggiftig_8sprachig.pdf","x")</f>
        <v>x</v>
      </c>
    </row>
    <row r="65" spans="1:347" x14ac:dyDescent="0.25">
      <c r="A65" s="102" t="s">
        <v>382</v>
      </c>
      <c r="B65" s="127" t="s">
        <v>4</v>
      </c>
      <c r="C65" s="102"/>
      <c r="D65" s="102"/>
      <c r="E65" s="102"/>
      <c r="F65" s="102"/>
      <c r="G65" s="102"/>
      <c r="H65" s="102"/>
      <c r="I65" s="102"/>
      <c r="J65" s="102"/>
      <c r="K65" s="103"/>
      <c r="L65" s="111"/>
      <c r="M65" s="111"/>
      <c r="N65" s="112" t="str">
        <f>HYPERLINK("http://www.ag-fluechtlingshilfe-wetterau.de/uploads/infos/170.pdf","x")</f>
        <v>x</v>
      </c>
      <c r="O65" s="112" t="str">
        <f>HYPERLINK("http://www.ag-fluechtlingshilfe-wetterau.de/uploads/infos/220.pdf","x")</f>
        <v>x</v>
      </c>
      <c r="P65" s="112" t="str">
        <f>HYPERLINK("http://www.awb-ahrweiler.de/admin/data/ddownload/Abfall%20Sonderhinweise-englisch_2014.pdf","x")</f>
        <v>x</v>
      </c>
      <c r="Q65" s="112" t="str">
        <f>HYPERLINK("http://www.ag-fluechtlingshilfe-wetterau.de/uploads/infos/221.pdf","x")</f>
        <v>x</v>
      </c>
      <c r="R65" s="112" t="str">
        <f>HYPERLINK("http://www.konto.org/download/merkblatt-basiskonto-asylbewerber-english.pdf","x")</f>
        <v>x</v>
      </c>
      <c r="S65" s="112"/>
      <c r="T65" s="112" t="str">
        <f>HYPERLINK("https://antworten.sparkasse.de/wp-content/uploads/2015/10/English.pdf","x")</f>
        <v>x</v>
      </c>
      <c r="U65" s="112" t="str">
        <f>HYPERLINK("http://www.ag-fluechtlingshilfe-wetterau.de/uploads/infos/191.pdf","x")</f>
        <v>x</v>
      </c>
      <c r="V65" s="112"/>
      <c r="W65" s="112"/>
      <c r="X6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6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65" s="112"/>
      <c r="AA65" s="112"/>
      <c r="AB65" s="112"/>
      <c r="AC65" s="112" t="str">
        <f>HYPERLINK("http://www.vzhh.de/vzhh/409638/vzhh_refugees_telephone_internet.pdf","x")</f>
        <v>x</v>
      </c>
      <c r="AD65" s="112" t="str">
        <f>HYPERLINK("http://www.vzhh.de/vzhh/410647/vzhh_refugees_rundfunk.pdf","x")</f>
        <v>x</v>
      </c>
      <c r="AE65" s="112" t="str">
        <f>HYPERLINK("http://www.vzhh.de/vzhh/411476/vzhh_refugees_rundfunk_befreiung.pdf","x")</f>
        <v>x</v>
      </c>
      <c r="AF65" s="112" t="str">
        <f>HYPERLINK("http://www.kub-berlin.org/formularprojekt/de/englisch-antraege-und-anlagen-uebersetzungshilfen/","x")</f>
        <v>x</v>
      </c>
      <c r="AG65" s="112" t="str">
        <f>HYPERLINK("http://asyl-in-moenchengladbach.de/wp-content/uploads/2015/11/100711-Flyer_GB.pdf","x")</f>
        <v>x</v>
      </c>
      <c r="AH65" s="112" t="str">
        <f>HYPERLINK("http://sghanstedt.elbnetz.com/ueber-uns/","x")</f>
        <v>x</v>
      </c>
      <c r="AI65" s="112" t="str">
        <f>HYPERLINK("https://www.adac.de/sp/stiftung/_mmm/pdf/SGE_FOL_Verkehrssicherheit_Fl%C3%BCchtlinge_A3_01_16_Internet_250277.pdf","x")</f>
        <v>x</v>
      </c>
      <c r="AJ65" s="112" t="str">
        <f>HYPERLINK("http://www.stadt-koeln.de/mediaasset/content/kvb_kinderleicht_und_spielend_einfach__englisch_.pdf","x")</f>
        <v>x</v>
      </c>
      <c r="AK65" s="112" t="str">
        <f>HYPERLINK("https://www.vrsinfo.de/fileadmin/Dateien/downloadcenter/Folder_MobilPassTicket_Refugees01012016.pdf","x")</f>
        <v>x</v>
      </c>
      <c r="AL65" s="112" t="str">
        <f>HYPERLINK("https://www.vrsinfo.de/fileadmin/Dateien/downloadcenter/Willkommen_im_VRS2016_Druck.pdf","x")</f>
        <v>x</v>
      </c>
      <c r="AM65" s="112"/>
      <c r="AN65" s="112" t="str">
        <f>HYPERLINK("https://www.deutschebahn.com/file/de/2191748/eYdgZpqGpp5sMJ2KMKtg2r8aE4Q/10123812/data/infos_fuer_fluechtlinge.pdf","x")</f>
        <v>x</v>
      </c>
      <c r="AO65" s="112"/>
      <c r="AP65" s="112"/>
      <c r="AQ65" s="112"/>
      <c r="AR65" s="112"/>
      <c r="AS65" s="112"/>
      <c r="AT65" s="112"/>
      <c r="AU65" s="112" t="str">
        <f>HYPERLINK("http://www.stadt-koeln.de/mediaasset/content/festkomitee_flyer_2016_d_gb.pdf","x")</f>
        <v>x</v>
      </c>
      <c r="AV65" s="113"/>
      <c r="AW65" s="114" t="str">
        <f t="shared" si="0"/>
        <v>x</v>
      </c>
      <c r="AX65" s="114" t="str">
        <f t="shared" si="1"/>
        <v>x</v>
      </c>
      <c r="AY65" s="112" t="str">
        <f>HYPERLINK("http://fi-lohmar-siegburg.de/data/documents/Findefix_arabisch-Bildwoerterbuch.pdf","x")</f>
        <v>x</v>
      </c>
      <c r="AZ65" s="111"/>
      <c r="BA65" s="112" t="str">
        <f t="shared" si="2"/>
        <v>x</v>
      </c>
      <c r="BB65" s="112" t="str">
        <f t="shared" si="3"/>
        <v>x</v>
      </c>
      <c r="BC65" s="111"/>
      <c r="BD65" s="111"/>
      <c r="BE65" s="112" t="str">
        <f>HYPERLINK("http://fi-lohmar-siegburg.de/data/documents/communicationboard-arabic-english.pdf","x")</f>
        <v>x</v>
      </c>
      <c r="BF65" s="112"/>
      <c r="BG65" s="111"/>
      <c r="BH65" s="112" t="str">
        <f>HYPERLINK("http://www.refugeephrasebook.de/pdf/germany150920.pdf","x")</f>
        <v>x</v>
      </c>
      <c r="BI65" s="112" t="str">
        <f>HYPERLINK("https://www.advanced-online.eu/downloads/RefugeePhrasebookCards_German-English.pdf","x")</f>
        <v>x</v>
      </c>
      <c r="BJ65" s="112" t="str">
        <f>HYPERLINK("http://www.klett-sprachen.de/download/8638/W100255_Refugees_Welcome_Wortschatz.pdf","x")</f>
        <v>x</v>
      </c>
      <c r="BK65" s="111"/>
      <c r="BL65" s="112" t="str">
        <f>HYPERLINK("http://www.bundessprachenamt.de/deutsch/wir_ueber_uns/nachrichten/2015/20151103/Verständigungshilfe_Englisch_26_11_2015.pdf","x")</f>
        <v>x</v>
      </c>
      <c r="BM65" s="112" t="str">
        <f>HYPERLINK("http://www.frnrw.de/images/Aus_den_Initiativen/Ehrenamtler/2015/Dictionary_x10_print-2.pdf","x")</f>
        <v>x</v>
      </c>
      <c r="BN65" s="112" t="str">
        <f>HYPERLINK("http://www.medbox.org/toolboxes/kleines-worterbuch-little-dictionary-deutsch-englisch-arabisch/preview","x")</f>
        <v>x</v>
      </c>
      <c r="BO65" s="112" t="str">
        <f>HYPERLINK("http://mylanguages.org/dari_phrases.php","x")</f>
        <v>x</v>
      </c>
      <c r="BP65" s="111"/>
      <c r="BQ65" s="111"/>
      <c r="BR65" s="111"/>
      <c r="BS65" s="112" t="str">
        <f t="shared" si="4"/>
        <v>x</v>
      </c>
      <c r="BT65" s="112"/>
      <c r="BU65" s="111"/>
      <c r="BV65" s="112" t="str">
        <f t="shared" si="5"/>
        <v>x</v>
      </c>
      <c r="BW65" s="112" t="str">
        <f>HYPERLINK("http://www.welcomegrooves.de/wp-content/uploads/2015/10/welcomegrooves_DE-ENGLISH1.pdf","x")</f>
        <v>x</v>
      </c>
      <c r="BX65" s="112"/>
      <c r="BY65" s="112"/>
      <c r="BZ65" s="112"/>
      <c r="CA65" s="112" t="str">
        <f t="shared" si="6"/>
        <v>x</v>
      </c>
      <c r="CB65" s="112" t="str">
        <f t="shared" si="7"/>
        <v>x</v>
      </c>
      <c r="CC65" s="112" t="str">
        <f t="shared" si="8"/>
        <v>x</v>
      </c>
      <c r="CD65" s="112"/>
      <c r="CE65" s="112"/>
      <c r="CF65" s="111"/>
      <c r="CG65" s="112" t="str">
        <f>HYPERLINK("http://www.braunschweig.de/leben/frauen/hilfe/Ohne-Gewalt-leben.pdf","x")</f>
        <v>x</v>
      </c>
      <c r="CH65" s="112" t="str">
        <f>HYPERLINK("http://mifkjf.rlp.de/fileadmin/mifkjf/Frauen/Gewalt_gegen_Frauen/Downloads/Broschueren_Flyer/Flyer_Gewalt_englisch.pdf","x")</f>
        <v>x</v>
      </c>
      <c r="CI65" s="112" t="str">
        <f>HYPERLINK("https://www.hilfetelefon.de/fileadmin/hilfetelefon_de/Materialien/Flyer/Infoflyer_Hilfetelefon_Gewalt_gegen_Frauen141105_b2.pdf","x")</f>
        <v>x</v>
      </c>
      <c r="CJ65" s="112" t="str">
        <f>HYPERLINK("https://www.hilfetelefon.de/fileadmin/hilfetelefon_de/Materialien/weitere_werbemittel/Klappflyer_Vorder-_und_Rueckseite_opt2.pdf","x")</f>
        <v>x</v>
      </c>
      <c r="CK65" s="112" t="str">
        <f t="shared" si="9"/>
        <v>x</v>
      </c>
      <c r="CL65" s="112" t="str">
        <f>HYPERLINK("http://www.frauenberatungsstelle.de/pdf/Migrantinnen-beraten-Migrantinnen.pdf","x")</f>
        <v>x</v>
      </c>
      <c r="CM65" s="112" t="str">
        <f>HYPERLINK("http://www.frauenleben.org/spezielle_beratungsangebote/sexualisierte_gewalt.htm","x")</f>
        <v>x</v>
      </c>
      <c r="CN65" s="112"/>
      <c r="CO65" s="112"/>
      <c r="CP65" s="112" t="str">
        <f>HYPERLINK("http://www.schwanger-und-viele-fragen.de/en/","x")</f>
        <v>x</v>
      </c>
      <c r="CQ65" s="112"/>
      <c r="CR6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65" s="112" t="str">
        <f>HYPERLINK("http://en.beststart.org/for_parents/are-you-looking-resources-languages-other-english-and-french","x")</f>
        <v>x</v>
      </c>
      <c r="CT65" s="112"/>
      <c r="CU65" s="112" t="str">
        <f>HYPERLINK("http://www.profamilia.de/fileadmin/publikationen/Erwachsene/mehrsprachig/Bro_Verhuetung_engl_2013.pdf","x")</f>
        <v>x</v>
      </c>
      <c r="CV65" s="112" t="str">
        <f>HYPERLINK("http://www.profamilia.de/fileadmin/publikationen/Erwachsene/mehrsprachig/Bro_Pille_danach_Faltblatt_140122_RZ.pdf","x")</f>
        <v>x</v>
      </c>
      <c r="CW65" s="112" t="str">
        <f>HYPERLINK("http://www.profamilia.de/fileadmin/publikationen/Reihe_Verhuetungsmethoden/Einleger_englisch.pdf","x")</f>
        <v>x</v>
      </c>
      <c r="CX65" s="112" t="str">
        <f>HYPERLINK("http://www.profamilia.de/fileadmin/publikationen/Reihe_Koerper_und_Sexualtitaet/Schwangerschaftsabbruch_englisch_2010.pdf","x")</f>
        <v>x</v>
      </c>
      <c r="CY65" s="112" t="str">
        <f>HYPERLINK("http://www.caritas-schwarzwald-alb-donau.de/68854.html","x")</f>
        <v>x</v>
      </c>
      <c r="CZ65" s="112" t="str">
        <f>HYPERLINK("http://www.dgfpi.de/tl_files/download/medien/unwissen-macht-en.pdf","x")</f>
        <v>x</v>
      </c>
      <c r="DA65" s="112"/>
      <c r="DB65" s="112"/>
      <c r="DC65" s="115" t="str">
        <f>HYPERLINK("http://www.kindersicherheit.de/pdf/2013_BAG_Tomi_and_Mila_Deutsch_English.pdf","x")</f>
        <v>x</v>
      </c>
      <c r="DD65" s="112"/>
      <c r="DE65" s="112"/>
      <c r="DF65" s="112" t="str">
        <f t="shared" si="10"/>
        <v>x</v>
      </c>
      <c r="DG65" s="115" t="str">
        <f t="shared" si="11"/>
        <v>x</v>
      </c>
      <c r="DH65" s="112" t="str">
        <f t="shared" si="12"/>
        <v>x</v>
      </c>
      <c r="DI65" s="112" t="str">
        <f t="shared" si="13"/>
        <v>x</v>
      </c>
      <c r="DJ65" s="112"/>
      <c r="DK65" s="112"/>
      <c r="DL65" s="112"/>
      <c r="DM65" s="112"/>
      <c r="DN65" s="112"/>
      <c r="DO65" s="112" t="str">
        <f>HYPERLINK("http://www.wdrmaus.de/sachgeschichten/maus-international/","x")</f>
        <v>x</v>
      </c>
      <c r="DP65" s="111"/>
      <c r="DQ65" s="111"/>
      <c r="DR65" s="112" t="str">
        <f>HYPERLINK("https://broschueren.nordrheinwestfalendirekt.de/broschuerenservice/msw/eng-das-schulsystem-in-nordrhein-westfalen-einfach-und-schnell-erklaert/1902","x")</f>
        <v>x</v>
      </c>
      <c r="DS65" s="112" t="str">
        <f>HYPERLINK("http://bildung.koeln.de/materialbibliothek/download.php?idx=8e2a9f658e9fa830ce17dc18f0fb0268","x")</f>
        <v>x</v>
      </c>
      <c r="DT65" s="112" t="str">
        <f>HYPERLINK("http://bildung.koeln.de/materialbibliothek/download.php?idx=90aff7e7259385cadb46c517317f1446","x")</f>
        <v>x</v>
      </c>
      <c r="DU65" s="112"/>
      <c r="DV65" s="112" t="str">
        <f>HYPERLINK("https://www.bmbf.de/pub/Kausa_Elternbroschuere_englisch.pdf","x")</f>
        <v>x</v>
      </c>
      <c r="DW65" s="112"/>
      <c r="DX65" s="112" t="str">
        <f>HYPERLINK("http://www.wissenschaft.nrw.de/studium/informieren/informationen-fuer-fluechtlinge-die-in-nrw-studieren-moechten/","x")</f>
        <v>x</v>
      </c>
      <c r="DY65" s="112" t="str">
        <f>HYPERLINK("http://www.bamf.de/SharedDocs/Anlagen/DE/Publikationen/Flyer/AnerkennungBerufsabschluss/berufliche_anerkennung_akademische-heilberufe_en.pdf?__blob=publicationFile","x")</f>
        <v>x</v>
      </c>
      <c r="DZ65" s="112" t="str">
        <f>HYPERLINK("http://www.bamf.de/SharedDocs/Anlagen/EN/Publikationen/Flyer/AnerkennungBerufsabschluss/anerkennung-berufsabschluss.pdf?__blob=publicationFile","x")</f>
        <v>x</v>
      </c>
      <c r="EA65" s="112" t="str">
        <f>HYPERLINK("http://www.bamf.de/SharedDocs/Anlagen/EN/Publikationen/Flyer/AnerkennungBerufsabschluss/anerkennung-berufsabschluss_ausland.pdf?__blob=publicationFile","x")</f>
        <v>x</v>
      </c>
      <c r="EB65" s="112" t="str">
        <f>HYPERLINK("http://www.bamf.de/SharedDocs/Anlagen/EN/Publikationen/Broschueren/willkommen-in-deutschland-info-blaue-karte-eu_en.pdf?__blob=publicationFile","x")</f>
        <v>x</v>
      </c>
      <c r="EC65" s="112" t="str">
        <f>HYPERLINK("http://www.bamf.de/SharedDocs/Anlagen/EN/Publikationen/Flyer/Berufsbezsprachf-ESF-BAMF/berufsbezsprachf-esf-bamf.pdf?__blob=publicationFile","x")</f>
        <v>x</v>
      </c>
      <c r="ED65" s="111"/>
      <c r="EE65" s="111"/>
      <c r="EF65" s="111"/>
      <c r="EG65" s="111"/>
      <c r="EH65" s="111"/>
      <c r="EI65" s="111"/>
      <c r="EJ65" s="112"/>
      <c r="EK65" s="112" t="str">
        <f>HYPERLINK("http://fluechtlingsrat-bw.de/files/Dateien/Dokumente/Materialbestellung/2014-12-flyer%20arbeitserlaubnis%20EN%20WEB.pdf","x")</f>
        <v>x</v>
      </c>
      <c r="EL65" s="112" t="str">
        <f>HYPERLINK("http://www.aponet.de/englisch/20151019-fuer-den-notfall-wichtige-rufnummern-im-ueberblick.html","x")</f>
        <v>x</v>
      </c>
      <c r="EM65" s="112" t="str">
        <f>HYPERLINK("http://www.kvs-sachsen.de/fileadmin/img/Mitglieder/Asylbewerber/Allg-Informationen/Anlage_1_Englisch_LEK.pdf","x")</f>
        <v>x</v>
      </c>
      <c r="EN65" s="112" t="str">
        <f>HYPERLINK("http://www.medizin-hilft-fluechtlingen.de/images/Dokumente/gSch/gSch_eng.pdf","x")</f>
        <v>x</v>
      </c>
      <c r="EO65" s="112" t="str">
        <f>HYPERLINK("http://www.aponet.de/englisch/medical-care-for-asylum-seekers.html","x")</f>
        <v>x</v>
      </c>
      <c r="EP65" s="117" t="str">
        <f>HYPERLINK("http://www.medi-bild.de/pdf/anamnese/Welche_Sprache.pdf","x")</f>
        <v>x</v>
      </c>
      <c r="EQ65" s="117" t="str">
        <f>HYPERLINK("http://www.armut-gesundheit.de/fileadmin/redakteur/dokumente/Anamnesebogen%20-%20englischnew.pdf","x")</f>
        <v>x</v>
      </c>
      <c r="ER65" s="112" t="str">
        <f>HYPERLINK("http://www.kvs-sachsen.de/fileadmin/img/Mitglieder/Asylbewerber/Allg-Informationen/Anlagen_2-1_2-2_Englisch_LEK.pdf","x")</f>
        <v>x</v>
      </c>
      <c r="ES65" s="111"/>
      <c r="ET65" s="111"/>
      <c r="EU65" s="112" t="str">
        <f>HYPERLINK("http://www.medizin-hilft-fluechtlingen.de/images/Dokumente/ein/ein_engl.pdf","x")</f>
        <v>x</v>
      </c>
      <c r="EV65" s="112" t="str">
        <f>HYPERLINK("http://www.adler-apotheke-hh.de/fileadmin/user_upload/PDF-Dateien/Dosierzettel_mehrsprachig_AUF_0_.pdf","x")</f>
        <v>x</v>
      </c>
      <c r="EW65" s="112" t="str">
        <f t="shared" si="14"/>
        <v>x</v>
      </c>
      <c r="EX65" s="112" t="str">
        <f>HYPERLINK("http://www.rki.de/DE/Content/Infekt/IfSG/Belehrungsbogen/belehrungsbogen_eltern_englisch.pdf?__blob=publicationFile","x")</f>
        <v>x</v>
      </c>
      <c r="EY65" s="112" t="str">
        <f>HYPERLINK("http://www.bzga.de/infomaterialien/?sid=236","x")</f>
        <v>x</v>
      </c>
      <c r="EZ65" s="112" t="str">
        <f>HYPERLINK("https://www.mh-hannover.de/fileadmin/mhh/bilder/aktuelles_presse/pressestelle/bilder/Pilzvergif_English.pdf","x")</f>
        <v>x</v>
      </c>
      <c r="FA65" s="112"/>
      <c r="FB65" s="112" t="str">
        <f>HYPERLINK("http://static.apotheken-umschau.de/media/gp/article_506373/bildwoerterbuch.pdf","x")</f>
        <v>x</v>
      </c>
      <c r="FC65" s="112" t="str">
        <f>HYPERLINK("https://www.studentenwerke.de/sites/default/files/gesundheitswoerterbuch.pdf","x")</f>
        <v>x</v>
      </c>
      <c r="FD65" s="112" t="str">
        <f t="shared" si="15"/>
        <v>x</v>
      </c>
      <c r="FE65" s="112" t="str">
        <f t="shared" si="21"/>
        <v>x</v>
      </c>
      <c r="FF65" s="112" t="str">
        <f>HYPERLINK("http://www.fuhlenhagen.com/pdf_dateien/uebertzungshilfe_aerzte_mehrsprachig.pdf","x")</f>
        <v>x</v>
      </c>
      <c r="FG65" s="112" t="str">
        <f>HYPERLINK("http://www.tipdoc.de/grafik/asyl/Gesundheitsheft_Asyl.pdf","x")</f>
        <v>x</v>
      </c>
      <c r="FH65" s="111"/>
      <c r="FI65" s="111"/>
      <c r="FJ65" s="112" t="str">
        <f>HYPERLINK("http://www.bundesgesundheitsministerium.de/fileadmin/dateien/Publikationen/Gesundheit/Broschueren/Ratgeber_Asylsuchende/Ratgeber_Asylsuchende_engl.pdf","x")</f>
        <v>x</v>
      </c>
      <c r="FK65" s="112" t="str">
        <f>HYPERLINK("http://www.rki.de/DE/Content/Infekt/Impfen/Materialien/Downloads-Impfkalender/Impfkalender_Englisch.pdf?__blob=publicationFile","x")</f>
        <v>x</v>
      </c>
      <c r="FL65" s="112" t="str">
        <f>HYPERLINK("http://www.ethno-medizinisches-zentrum.de/images/PDF-Files/impfwegweiser_englisch_2013_online.pdf","x")</f>
        <v>x</v>
      </c>
      <c r="FM65" s="112"/>
      <c r="FN65" s="112" t="str">
        <f>HYPERLINK("http://www.rki.de/DE/Content/Infekt/Impfen/Materialien/Glossar-Downloads/glossar-de-englisch.pdf?__blob=publicationFile","x")</f>
        <v>x</v>
      </c>
      <c r="FO65" s="112" t="str">
        <f>HYPERLINK("http://www.euro.who.int/__data/assets/pdf_file/0005/160754/VPDs_Signs-symptoms-complications.pdf?ua=1","x")</f>
        <v>x</v>
      </c>
      <c r="FP65" s="112" t="str">
        <f>HYPERLINK("http://www.rki.de/DE/Content/Infekt/Impfen/Materialien/Downloads-MMR/MMR-Impfinfo-englisch.pdf?__blob=publicationFile","x")</f>
        <v>x</v>
      </c>
      <c r="FQ65" s="112" t="str">
        <f>HYPERLINK("http://www.rki.de/DE/Content/InfAZ/P/Polio/Ausbruch_Syrien/Informationsblatt_Polio_Englisch.pdf?__blob=publicationFile","x")</f>
        <v>x</v>
      </c>
      <c r="FR65" s="112" t="str">
        <f>HYPERLINK("http://www.rki.de/DE/Content/Infekt/Impfen/Materialien/Downloads_HepA/Aufklaerung_HAV-Impfung_Englisch.pdf?__blob=publicationFile","x")</f>
        <v>x</v>
      </c>
      <c r="FS65" s="112" t="str">
        <f>HYPERLINK("http://www.rki.de/DE/Content/Infekt/Impfen/Materialien/Downloads_Pneumokokken/Aufklaerung_Pneumo-Impfung_Englisch.pdf?__blob=publicationFile","x")</f>
        <v>x</v>
      </c>
      <c r="FT65" s="112" t="str">
        <f>HYPERLINK("http://www.rki.de/DE/Content/Infekt/Impfen/Materialien/Downloads-DTaPIPVHibHepB/DTaPIPVHibHepB-englisch.pdf?__blob=publicationFile","x")</f>
        <v>x</v>
      </c>
      <c r="FU65" s="112" t="str">
        <f>HYPERLINK("http://www.rki.de/DE/Content/Infekt/Impfen/Materialien/Downloads-Varizellen/Varizellen-Impfinfo-englisch.pdf;jsessionid=65B697F4EE7EDA8A1ED9E2C4CD6C74EC.2_cid363?__blob=publicationFile","x")</f>
        <v>x</v>
      </c>
      <c r="FV65" s="112" t="str">
        <f>HYPERLINK("http://www.rki.de/DE/Content/Infekt/Impfen/Materialien/Downloads-Tdap-IPV/Tdap-IPV-englisch.pdf?__blob=publicationFile","x")</f>
        <v>x</v>
      </c>
      <c r="FW65" s="112" t="str">
        <f>HYPERLINK("http://www.rki.de/DE/Content/Infekt/Impfen/Materialien/Downloads-Influenza_nasal/Influenza_nasal-englisch.pdf?__blob=publicationFile","x")</f>
        <v>x</v>
      </c>
      <c r="FX65" s="111"/>
      <c r="FY65" s="112"/>
      <c r="FZ65" s="112"/>
      <c r="GA65" s="111"/>
      <c r="GB65" s="111"/>
      <c r="GC65" s="111"/>
      <c r="GD65" s="112" t="str">
        <f>HYPERLINK("http://www.ethno-medizinisches-zentrum.de/images/PDF-Files/lf_diabete_englisch.pdf","x")</f>
        <v>x</v>
      </c>
      <c r="GE65" s="111"/>
      <c r="GF65" s="111"/>
      <c r="GG65" s="111"/>
      <c r="GH65" s="112"/>
      <c r="GI65" s="111"/>
      <c r="GJ65" s="111"/>
      <c r="GK65" s="112" t="str">
        <f>HYPERLINK("http://www.tipdoc.de/bus/pdf/hiv/HIV%20ESP_Webseite.pdf","x")</f>
        <v>x</v>
      </c>
      <c r="GL65" s="111"/>
      <c r="GM65" s="112" t="str">
        <f>HYPERLINK("http://www.rki.de/DE/Content/Infekt/Impfen/Materialien/Downloads-Influenza/Influenza-englisch.pdf?__blob=publicationFile","x")</f>
        <v>x</v>
      </c>
      <c r="GN65" s="111"/>
      <c r="GO65" s="112" t="str">
        <f>HYPERLINK("http://www.aponet.de/englisch/20151111-so-unterscheiden-sich-grippe-und-erkaeltung.html","x")</f>
        <v>x</v>
      </c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2" t="str">
        <f t="shared" si="16"/>
        <v>x</v>
      </c>
      <c r="HD65" s="112" t="str">
        <f>HYPERLINK("https://www.zahnaerzte-wl.de/images/_PDF-suche/KZV_ZÄK/ENDSTAND_Ankreuzbogen_Ich_verstehe.pdf","x")</f>
        <v>x</v>
      </c>
      <c r="HE65" s="112" t="str">
        <f>HYPERLINK("https://www.zahnaerzte-wl.de/images/_PDF-suche/KZV_ZÄK/Anschreiben_Patienten_englisch.pdf","x")</f>
        <v>x</v>
      </c>
      <c r="HF65" s="112" t="str">
        <f>HYPERLINK("https://www.zahnaerzte-wl.de/images/_PDF-suche/KZV_ZÄK/Fragebogen_englisch.pdf","x")</f>
        <v>x</v>
      </c>
      <c r="HG65" s="112" t="str">
        <f>HYPERLINK("https://www.zahnaerzte-wl.de/images/_PDF-suche/KZV_ZÄK/Patientenerhebungsbogen_englisch.pdf","x")</f>
        <v>x</v>
      </c>
      <c r="HH65" s="112"/>
      <c r="HI65" s="112" t="str">
        <f>HYPERLINK("http://www.bvkm.de/fileadmin/web_data/Behinderung_und_Migration_englisch_2014.pdf","x")</f>
        <v>x</v>
      </c>
      <c r="HJ65" s="112"/>
      <c r="HK65" s="112" t="str">
        <f>HYPERLINK("http://www.psychenet.de/en/mental-health/knowledge/depression.html","x")</f>
        <v>x</v>
      </c>
      <c r="HL65" s="111"/>
      <c r="HM65" s="112" t="str">
        <f>HYPERLINK("http://www.psychenet.de/en/mental-health/knowledge/psychoses.html","x")</f>
        <v>x</v>
      </c>
      <c r="HN65" s="112" t="str">
        <f>HYPERLINK("http://www.psychenet.de/en/mental-health/knowledge/somatoform-disorders.html","x")</f>
        <v>x</v>
      </c>
      <c r="HO65" s="112" t="str">
        <f>HYPERLINK("http://www.psychenet.de/en/mental-health/knowledge/anorexia.html","x")</f>
        <v>x</v>
      </c>
      <c r="HP65" s="112" t="str">
        <f>HYPERLINK("http://www.psychenet.de/en/mental-health/knowledge/bulimia.html","x")</f>
        <v>x</v>
      </c>
      <c r="HQ65" s="112" t="str">
        <f>HYPERLINK("http://www.psychenet.de/en/mental-health/knowledge/bipolar-disorder.html","x")</f>
        <v>x</v>
      </c>
      <c r="HR65" s="112" t="str">
        <f>HYPERLINK("http://www.psychenet.de/en/mental-health/knowledge/panic-and-agoraphobia.html","x")</f>
        <v>x</v>
      </c>
      <c r="HS65" s="112" t="str">
        <f>HYPERLINK("http://www.psychenet.de/en/mental-health/knowledge/social-phobia.html","x")</f>
        <v>x</v>
      </c>
      <c r="HT65" s="112" t="str">
        <f>HYPERLINK("http://www.psychenet.de/en/mental-health/knowledge/generalized-anxiety-disorder.html","x")</f>
        <v>x</v>
      </c>
      <c r="HU65" s="112"/>
      <c r="HV65" s="112" t="str">
        <f>HYPERLINK("http://www.psychenet.de/en/mental-health/knowledge/information-and-support.html","x")</f>
        <v>x</v>
      </c>
      <c r="HW65" s="112"/>
      <c r="HX65" s="112" t="str">
        <f>HYPERLINK("http://www.bkk-psychisch-gesund.de/fileadmin/user_upload/Dokumente/Versicherte/Broschueren/Wegweiser_Psychotherapie_englisch.pdf","x")</f>
        <v>x</v>
      </c>
      <c r="HY65" s="112" t="str">
        <f t="shared" si="17"/>
        <v>x</v>
      </c>
      <c r="HZ65" s="112" t="str">
        <f t="shared" si="18"/>
        <v>x</v>
      </c>
      <c r="IA65" s="112" t="str">
        <f>HYPERLINK("http://peacefulheart.se/wp-content/uploads/2012/02/TTT_English_2013.pdf","x")</f>
        <v>x</v>
      </c>
      <c r="IB65" s="112"/>
      <c r="IC65" s="112"/>
      <c r="ID65" s="112" t="str">
        <f>HYPERLINK("http://www.susannestein.de/VIA-online/trauma-picture-book.pdf","x")</f>
        <v>x</v>
      </c>
      <c r="IE65" s="112" t="str">
        <f>HYPERLINK("http://www.psychenet.de/en/mental-health/knowledge/alcohol-in-adolescence.html","x")</f>
        <v>x</v>
      </c>
      <c r="IF65" s="112"/>
      <c r="IG65" s="112"/>
      <c r="IH65" s="111"/>
      <c r="II65" s="112" t="str">
        <f>HYPERLINK("http://www.caritas.de/hilfeundberatung/onlineberatung/suchtberatung/haeufiggestelltefragensucht/haeufiggestelltefragen-sucht","x")</f>
        <v>x</v>
      </c>
      <c r="IJ65" s="112" t="str">
        <f>HYPERLINK("http://www.dhs.de/fileadmin/user_upload/pdf/Broschueren/Ein_Angebot_an_alle-Englisch.pdf","x")</f>
        <v>x</v>
      </c>
      <c r="IK65" s="112" t="str">
        <f>HYPERLINK("http://www.bamf.de/SharedDocs/Anlagen/EN/Publikationen/Flyer/Lassen-Sie-Sich-Beraten/lassen-sie-sich-beraten.pdf?__blob=publicationFile","x")</f>
        <v>x</v>
      </c>
      <c r="IL65" s="115" t="str">
        <f>HYPERLINK("http://www.bamf.de/SharedDocs/Anlagen/EN/Publikationen/Flyer/flyer-erstorientierung-asylsuchende.pdf?__blob=publicationFile","x")</f>
        <v>x</v>
      </c>
      <c r="IM65" s="112" t="str">
        <f>HYPERLINK("http://www.frnrw.de/index.php/inhaltliche-themen/arbeitshilfen/item/3710-erstinfos-fuer-asylsuchende","x")</f>
        <v>x</v>
      </c>
      <c r="IN65" s="112" t="str">
        <f>HYPERLINK("http://www.bamf.de/SharedDocs/Anlagen/EN/Publikationen/Broschueren/willkommen-in-deutschland.pdf;jsessionid=2D72CB108E4AC02BBB9659E7D9A589B2.1_cid368?__blob=publicationFile","x")</f>
        <v>x</v>
      </c>
      <c r="IO65" s="112"/>
      <c r="IP65" s="112"/>
      <c r="IQ65" s="112" t="str">
        <f>HYPERLINK("http://www.bamf.de/SharedDocs/Anlagen/EN/Publikationen/Flyer/Lernen-Sie-Deutsch/lernen-sie-deutsch.pdf?__blob=publicationFile","x")</f>
        <v>x</v>
      </c>
      <c r="IR65" s="112" t="str">
        <f>HYPERLINK("http://www.asyl.net/fileadmin/user_upload/redaktion/Dokumente/Arbeitshilfen/150910_Wie_l%C3%A4uft_ein_Asylverfahren_ab_%C3%9Cberblickstext_Englisch.pdf","x")</f>
        <v>x</v>
      </c>
      <c r="IS65" s="111"/>
      <c r="IT65" s="112" t="str">
        <f>HYPERLINK("http://www.bamf.de/SharedDocs/Anlagen/EN/Publikationen/Flyer/ablauf-asylverfahren.pdf;jsessionid=DBD4307960D761935FCC3E0325D459A1.1_cid294?__blob=publicationFile","x")</f>
        <v>x</v>
      </c>
      <c r="IU65" s="111"/>
      <c r="IV65" s="112" t="str">
        <f>HYPERLINK("http://www.asyl.net/fileadmin/user_upload/infoblatt_anhoerung/Infoblatt_2015_en_fin.pdf","x")</f>
        <v>x</v>
      </c>
      <c r="IW65" s="112"/>
      <c r="IX65" s="112" t="str">
        <f>HYPERLINK("http://www.berlin.de/labo/willkommen-in-berlin/service/downloads/artikel.273193.php","x")</f>
        <v>x</v>
      </c>
      <c r="IY65" s="112" t="str">
        <f>HYPERLINK("http://www.bamf.de/SharedDocs/Anlagen/EN/Publikationen/Broschueren/broschuere-eat-a4.pdf?__blob=publicationFile","x")</f>
        <v>x</v>
      </c>
      <c r="IZ65" s="111"/>
      <c r="JA65" s="112" t="str">
        <f>HYPERLINK("http://fluechtlingsrat-bw.de/informationen-fuer-fluechtlinge.html","x")</f>
        <v>x</v>
      </c>
      <c r="JB65" s="111"/>
      <c r="JC65" s="112" t="str">
        <f>HYPERLINK("http://www.bamf.de/SharedDocs/Anlagen/EN/Publikationen/Flyer/20150223_ura2_en.pdf?__blob=publicationFile","x")</f>
        <v>x</v>
      </c>
      <c r="JD65" s="111"/>
      <c r="JE65" s="112"/>
      <c r="JF65" s="112"/>
      <c r="JG65" s="112" t="str">
        <f>HYPERLINK("http://www.bamf.de/SharedDocs/Anlagen/EN/Publikationen/Flyer/Ehegattennachzug/ehegattennachzug.pdf?__blob=publicationFile","x")</f>
        <v>x</v>
      </c>
      <c r="JH65" s="112" t="str">
        <f>HYPERLINK("https://familyreunion-syria.diplo.de/webportal/index.html#start","x")</f>
        <v>x</v>
      </c>
      <c r="JI65" s="112" t="str">
        <f>HYPERLINK("http://ec.europa.eu/dgs/home-affairs/what-we-do/networks/european_migration_network/docs/emn-glossary-en-version.pdf","x")</f>
        <v>x</v>
      </c>
      <c r="JJ65" s="112"/>
      <c r="JK65" s="112" t="str">
        <f>HYPERLINK("https://www.arbeitsagentur.de/web/wcm/idc/groups/public/documents/webdatei/mdaw/mjgz/~edisp/l6019022dstbai784628.pdf?_ba.sid=L6019022DSTBAI784625","x")</f>
        <v>x</v>
      </c>
      <c r="JL65" s="112" t="str">
        <f>HYPERLINK("http://www.kub-berlin.org/formularprojekt/de/englisch-antraege-und-anlagen-uebersetzungshilfen/","x")</f>
        <v>x</v>
      </c>
      <c r="JM65" s="112" t="str">
        <f>HYPERLINK("https://www.arbeitsagentur.de/web/content/DE/Formulare/Detail/index.htm?dfContentId=L6019022DSTBAI485740","x")</f>
        <v>x</v>
      </c>
      <c r="JN65" s="112"/>
      <c r="JO65" s="112"/>
      <c r="JP65" s="112"/>
      <c r="JQ65" s="112"/>
      <c r="JR65" s="112" t="str">
        <f>HYPERLINK("http://www.ibla-germany.de/merkblaetter.php","x")</f>
        <v>x</v>
      </c>
      <c r="JS65" s="112"/>
      <c r="JT65" s="112" t="str">
        <f>HYPERLINK("http://www.b-umf.de/images/willkommen/willkommensbroschureenglisch-web.pdf","x")</f>
        <v>x</v>
      </c>
      <c r="JU65" s="111"/>
      <c r="JV65" s="111"/>
      <c r="JW65" s="112"/>
      <c r="JX65" s="112" t="str">
        <f>HYPERLINK("https://www.arbeitsagentur.de/web/wcm/idc/groups/public/documents/webdatei/mdaw/mjgz/~edisp/l6019022dstbai784636.pdf?_ba.sid=L6019022DSTBAI784633","x")</f>
        <v>x</v>
      </c>
      <c r="JY65" s="112"/>
      <c r="JZ65" s="112"/>
      <c r="KA65" s="112"/>
      <c r="KB65" s="112" t="str">
        <f>HYPERLINK("http://www.refugeeguide.de/dl/RefugeeGuide_en_925.pdf","x")</f>
        <v>x</v>
      </c>
      <c r="KC65" s="112" t="str">
        <f>HYPERLINK("http://www.gesetze-im-internet.de/englisch_gg/basic_law_for_the_federal_republic_of_germany.pdf","x")</f>
        <v>x</v>
      </c>
      <c r="KD65" s="112" t="str">
        <f>HYPERLINK("http://www.wedel.de/fileadmin/user_upload/media/pdf/Rathaus_und_Politik/20160118_PM_Broschuere.pdf","x")</f>
        <v>x</v>
      </c>
      <c r="KE65" s="112" t="str">
        <f>HYPERLINK("http://www.frauenrechte.de/online/images/downloads/allgemein/TDF_Flyer_Women_Men.pdf","x")</f>
        <v>x</v>
      </c>
      <c r="KF65" s="112" t="str">
        <f>HYPERLINK("http://sab.landtag.sachsen.de/dokumente/landtagskurier/Grundwerte-A5-international_web_08012016.pdf","x")</f>
        <v>x</v>
      </c>
      <c r="KG65" s="112"/>
      <c r="KH65" s="112"/>
      <c r="KI65" s="112"/>
      <c r="KJ65" s="112"/>
      <c r="KK65" s="112"/>
      <c r="KL65" s="112"/>
      <c r="KM65" s="112"/>
      <c r="KN65" s="112"/>
      <c r="KO65" s="112"/>
      <c r="KP65" s="112"/>
      <c r="KQ65" s="112"/>
      <c r="KR65" s="112"/>
      <c r="KS65" s="112"/>
      <c r="KT65" s="112"/>
      <c r="KU65" s="112"/>
      <c r="KV65" s="112"/>
      <c r="KW65" s="112"/>
      <c r="KX65" s="112"/>
      <c r="KY65" s="112"/>
      <c r="KZ65" s="112"/>
      <c r="LA65" s="112"/>
      <c r="LB65" s="112"/>
      <c r="LC65" s="111"/>
      <c r="LD65" s="112"/>
      <c r="LE65" s="112"/>
      <c r="LF65" s="112"/>
      <c r="LG65" s="112"/>
      <c r="LH65" s="112"/>
      <c r="LI65" s="112"/>
      <c r="LJ65" s="112"/>
      <c r="LK65" s="112"/>
      <c r="LL65" s="112"/>
      <c r="LM65" s="112"/>
      <c r="LN65" s="112"/>
      <c r="LO65" s="112"/>
      <c r="LP65" s="112"/>
      <c r="LQ65" s="112"/>
      <c r="LR65" s="112"/>
      <c r="LS65" s="112"/>
      <c r="LT65" s="112"/>
      <c r="LU65" s="112"/>
      <c r="LV65" s="112"/>
      <c r="LW65" s="112"/>
      <c r="LX65" s="112"/>
      <c r="LY65" s="112"/>
      <c r="LZ65" s="112"/>
      <c r="MA65" s="112"/>
      <c r="MB65" s="112"/>
      <c r="MC65" s="111"/>
      <c r="MD65" s="112" t="str">
        <f>HYPERLINK("http://www.rki.de/DE/Content/Infekt/IfSG/Belehrungsbogen/belehrungsbogen_lebensmittel_englisch.pdf?__blob=publicationFile","x")</f>
        <v>x</v>
      </c>
      <c r="ME65" s="112"/>
      <c r="MF65" s="112" t="str">
        <f>HYPERLINK("http://www.gdv.de/wp-content/uploads/2016/01/Information_Brandschutz_Fluechtlingsheim_-Sicherheit_mehrsprachig.pdf","x")</f>
        <v>x</v>
      </c>
      <c r="MG65" s="112" t="str">
        <f>HYPERLINK("http://www.gdv.de/wp-content/uploads/2016/01/Information_Verhalten-im-Brandfall_mehrsprachig.pdf","x")</f>
        <v>x</v>
      </c>
      <c r="MH65" s="112" t="str">
        <f>HYPERLINK("http://www.aha-region.de/fileadmin/Download/pdf/aha_Plakat_Muelltrennung_en.pdf","x")</f>
        <v>x</v>
      </c>
      <c r="MI65" s="112" t="str">
        <f>HYPERLINK("http://www.kindersicherheit.de/pdf/2012_poster_achtunggiftig_8sprachig.pdf","x")</f>
        <v>x</v>
      </c>
    </row>
    <row r="66" spans="1:347" x14ac:dyDescent="0.25">
      <c r="A66" s="102" t="s">
        <v>379</v>
      </c>
      <c r="B66" s="127" t="s">
        <v>1</v>
      </c>
      <c r="C66" s="102"/>
      <c r="D66" s="102"/>
      <c r="E66" s="102"/>
      <c r="F66" s="102"/>
      <c r="G66" s="102"/>
      <c r="H66" s="102"/>
      <c r="I66" s="102"/>
      <c r="J66" s="102"/>
      <c r="K66" s="103"/>
      <c r="L66" s="112" t="str">
        <f>HYPERLINK("http://sghanstedt.elbnetz.com/ueber-uns/","x")</f>
        <v>x</v>
      </c>
      <c r="M66" s="111"/>
      <c r="N66" s="112" t="str">
        <f>HYPERLINK("http://www.ag-fluechtlingshilfe-wetterau.de/uploads/infos/170.pdf","x")</f>
        <v>x</v>
      </c>
      <c r="O66" s="112" t="str">
        <f>HYPERLINK("http://www.ag-fluechtlingshilfe-wetterau.de/uploads/infos/220.pdf","x")</f>
        <v>x</v>
      </c>
      <c r="P66" s="112" t="str">
        <f>HYPERLINK("http://www.awb-ahrweiler.de/admin/data/ddownload/Abfall%20Sonderhinweise-Arabisch%202015.pdf","x")</f>
        <v>x</v>
      </c>
      <c r="Q66" s="112" t="str">
        <f>HYPERLINK("http://www.ag-fluechtlingshilfe-wetterau.de/uploads/infos/221.pdf","x")</f>
        <v>x</v>
      </c>
      <c r="R66" s="112" t="str">
        <f>HYPERLINK("http://www.konto.org/download/merkblatt-basiskonto-asylbewerber-arabisch.pdf","x")</f>
        <v>x</v>
      </c>
      <c r="S66" s="112"/>
      <c r="T66" s="112" t="str">
        <f>HYPERLINK("https://antworten.sparkasse.de/wp-content/uploads/2015/10/Arabisch.pdf","x")</f>
        <v>x</v>
      </c>
      <c r="U66" s="112" t="str">
        <f>HYPERLINK("http://www.ag-fluechtlingshilfe-wetterau.de/uploads/infos/191.pdf","x")</f>
        <v>x</v>
      </c>
      <c r="V66" s="112"/>
      <c r="W66" s="112"/>
      <c r="X6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6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66" s="112"/>
      <c r="AA66" s="112"/>
      <c r="AB66" s="112"/>
      <c r="AC66" s="112"/>
      <c r="AD66" s="112" t="str">
        <f>HYPERLINK("http://www.rundfunkbeitrag.de/e175/e1629/Informationsflyer_Buergerinnen_und_Buerger_arabisch.pdf","x")</f>
        <v>x</v>
      </c>
      <c r="AE66" s="112"/>
      <c r="AF66" s="112" t="str">
        <f>HYPERLINK("http://www.kub-berlin.org/formularprojekt/de/arabisch-antraege-und-anlagen/","x")</f>
        <v>x</v>
      </c>
      <c r="AG66" s="112" t="str">
        <f>HYPERLINK("http://asyl-in-moenchengladbach.de/wp-content/uploads/2015/11/100711-Flyer_arab.pdf","x")</f>
        <v>x</v>
      </c>
      <c r="AH66" s="111"/>
      <c r="AI66" s="112" t="str">
        <f>HYPERLINK("https://www.adac.de/sp/stiftung/_mmm/pdf/SGE_FOL_Verkehrssicherheit_Fl%C3%BCchtlinge_A3_01_16_Internet_250277.pdf","x")</f>
        <v>x</v>
      </c>
      <c r="AJ66" s="112" t="str">
        <f>HYPERLINK("http://www.stadt-koeln.de/mediaasset/content/العربية_kvb_kinderleicht_und_spielend_einfach__arabisch_.pdf","x")</f>
        <v>x</v>
      </c>
      <c r="AK66" s="112" t="str">
        <f>HYPERLINK("https://www.vrsinfo.de/fileadmin/Dateien/downloadcenter/Folder_MobilPassTicket_Refugees01012016.pdf","x")</f>
        <v>x</v>
      </c>
      <c r="AL66" s="112" t="str">
        <f>HYPERLINK("https://www.vrsinfo.de/fileadmin/Dateien/downloadcenter/Willkommen_im_VRS2016_Druck.pdf","x")</f>
        <v>x</v>
      </c>
      <c r="AM66" s="112"/>
      <c r="AN66" s="112" t="str">
        <f>HYPERLINK("https://www.deutschebahn.com/file/de/2191748/eYdgZpqGpp5sMJ2KMKtg2r8aE4Q/10123812/data/infos_fuer_fluechtlinge.pdf","x")</f>
        <v>x</v>
      </c>
      <c r="AO66" s="112"/>
      <c r="AP66" s="112"/>
      <c r="AQ66" s="112"/>
      <c r="AR66" s="112"/>
      <c r="AS66" s="112"/>
      <c r="AT66" s="112" t="str">
        <f>HYPERLINK("http://www.koelnerkarneval.de/fileadmin/content/images/news/Festkomitee_Flyer_DE_AR.pdf","x")</f>
        <v>x</v>
      </c>
      <c r="AU66" s="112"/>
      <c r="AV66" s="114" t="str">
        <f>HYPERLINK("http://www.studentenwerke.de/de/content/illustriertes-wohnheimw%C3%B6rterbuch-1","x")</f>
        <v>x</v>
      </c>
      <c r="AW66" s="114" t="str">
        <f t="shared" si="0"/>
        <v>x</v>
      </c>
      <c r="AX66" s="114" t="str">
        <f t="shared" si="1"/>
        <v>x</v>
      </c>
      <c r="AY66" s="112" t="str">
        <f>HYPERLINK("http://fi-lohmar-siegburg.de/data/documents/Findefix_arabisch-Bildwoerterbuch.pdf","x")</f>
        <v>x</v>
      </c>
      <c r="AZ66" s="111"/>
      <c r="BA66" s="112" t="str">
        <f t="shared" si="2"/>
        <v>x</v>
      </c>
      <c r="BB66" s="112" t="str">
        <f t="shared" si="3"/>
        <v>x</v>
      </c>
      <c r="BC66" s="112"/>
      <c r="BD66" s="112" t="str">
        <f>HYPERLINK("http://www.rehavista.de/?at=Mat_Boardmaker&amp;d=1&amp;dtype=mat&amp;id=1014","x")</f>
        <v>x</v>
      </c>
      <c r="BE66" s="112" t="str">
        <f>HYPERLINK("http://fi-lohmar-siegburg.de/data/documents/communicationboard-arabic-english.pdf","x")</f>
        <v>x</v>
      </c>
      <c r="BF66" s="112" t="str">
        <f>HYPERLINK("http://fi-lohmar-siegburg.de/data/documents/communicationboard-arabic-french.pdf","x")</f>
        <v>x</v>
      </c>
      <c r="BG66" s="111"/>
      <c r="BH66" s="112" t="str">
        <f>HYPERLINK("http://www.refugeephrasebook.de/pdf/germany150920.pdf","x")</f>
        <v>x</v>
      </c>
      <c r="BI66" s="112" t="str">
        <f>HYPERLINK("https://www.advanced-online.eu/downloads/RefugeePhrasebookCards_German-Arabic.pdf","x")</f>
        <v>x</v>
      </c>
      <c r="BJ66" s="112" t="str">
        <f>HYPERLINK("http://www.klett-sprachen.de/download/8638/W100255_Refugees_Welcome_Wortschatz.pdf","x")</f>
        <v>x</v>
      </c>
      <c r="BK66" s="112" t="str">
        <f>HYPERLINK("http://www.agf-trier.de/sites/default/files/bersetzungshilfe%20allgemein%20Arab..pdf","x")</f>
        <v>x</v>
      </c>
      <c r="BL66" s="112" t="str">
        <f>HYPERLINK("http://www.bundessprachenamt.de/deutsch/wir_ueber_uns/nachrichten/2015/20151103/Verständigungshilfe_Syrisch-Arabisch_07_12_2015.pdf","x")</f>
        <v>x</v>
      </c>
      <c r="BM66" s="112" t="str">
        <f>HYPERLINK("http://www.frnrw.de/images/Aus_den_Initiativen/Ehrenamtler/2015/Dictionary_x10_print-2.pdf","x")</f>
        <v>x</v>
      </c>
      <c r="BN66" s="112" t="str">
        <f>HYPERLINK("http://www.medbox.org/toolboxes/kleines-worterbuch-little-dictionary-deutsch-englisch-arabisch/preview","x")</f>
        <v>x</v>
      </c>
      <c r="BO66" s="111"/>
      <c r="BP66" s="111"/>
      <c r="BQ66" s="112" t="str">
        <f>HYPERLINK("https://www.friedensdorf.de/documents/Woerterbuch_Arabisch.pdf","x")</f>
        <v>x</v>
      </c>
      <c r="BR66" s="111"/>
      <c r="BS66" s="112" t="str">
        <f t="shared" si="4"/>
        <v>x</v>
      </c>
      <c r="BT66" s="112" t="str">
        <f>HYPERLINK("http://de.langenscheidt.com/doc/arabisch-deutsch-sprachfuehrer.pdf","x")</f>
        <v>x</v>
      </c>
      <c r="BU66" s="111"/>
      <c r="BV66" s="112" t="str">
        <f t="shared" si="5"/>
        <v>x</v>
      </c>
      <c r="BW66" s="112" t="str">
        <f>HYPERLINK("http://www.welcomegrooves.de/wp-content/uploads/2015/10/welcomegrooves_DE-ARABISCH.pdf","x")</f>
        <v>x</v>
      </c>
      <c r="BX66" s="112"/>
      <c r="BY66" s="112"/>
      <c r="BZ66" s="112" t="str">
        <f>HYPERLINK("http://fluechtlingshilfe-nettetal.de/ausbildung/video-sprachkurse-deutsch-fuer-fluechtlinge/video-sprachkurs-syrisch-deutsch/","x")</f>
        <v>x</v>
      </c>
      <c r="CA66" s="112" t="str">
        <f t="shared" si="6"/>
        <v>x</v>
      </c>
      <c r="CB66" s="112" t="str">
        <f t="shared" si="7"/>
        <v>x</v>
      </c>
      <c r="CC66" s="112" t="str">
        <f t="shared" si="8"/>
        <v>x</v>
      </c>
      <c r="CD66" s="112"/>
      <c r="CE66" s="112"/>
      <c r="CF66" s="112" t="str">
        <f>HYPERLINK("http://www.agf-trier.de/sites/default/files/bersetzungshilfe%20%20f%C3%BCr%20Frauen%20Arab..pdf","x")</f>
        <v>x</v>
      </c>
      <c r="CG66" s="112" t="str">
        <f>HYPERLINK("http://www.braunschweig.de/leben/frauen/hilfe/Ohne-Gewalt-leben.pdf","x")</f>
        <v>x</v>
      </c>
      <c r="CH66" s="112" t="str">
        <f>HYPERLINK("http://mifkjf.rlp.de/fileadmin/mifkjf/Frauen/Gewalt_gegen_Frauen/Downloads/Broschueren_Flyer/Flyer_Gewalt_arabisch_fuer_ANSICHT.pdf","x")</f>
        <v>x</v>
      </c>
      <c r="CI66" s="112"/>
      <c r="CJ66" s="112" t="str">
        <f>HYPERLINK("https://www.hilfetelefon.de/fileadmin/hilfetelefon_de/Materialien/weitere_werbemittel/Klappflyer_Vorder-_und_Rueckseite_opt2.pdf","x")</f>
        <v>x</v>
      </c>
      <c r="CK66" s="112" t="str">
        <f t="shared" si="9"/>
        <v>x</v>
      </c>
      <c r="CL66" s="112" t="str">
        <f>HYPERLINK("http://www.frauenberatungsstelle.de/pdf/Migrantinnen-beraten-Migrantinnen.pdf","x")</f>
        <v>x</v>
      </c>
      <c r="CM66" s="112"/>
      <c r="CN66" s="112"/>
      <c r="CO66" s="112"/>
      <c r="CP66" s="112" t="str">
        <f>HYPERLINK("http://www.schwanger-und-viele-fragen.de/ar/","x")</f>
        <v>x</v>
      </c>
      <c r="CQ66" s="112"/>
      <c r="CR6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66" s="112"/>
      <c r="CT66" s="112"/>
      <c r="CU66" s="112" t="str">
        <f>HYPERLINK("http://www.profamilia.de/fileadmin/publikationen/Erwachsene/mehrsprachig/verhuetung_arabisch.pdf","x")</f>
        <v>x</v>
      </c>
      <c r="CV66" s="112"/>
      <c r="CW66" s="112"/>
      <c r="CX66" s="112"/>
      <c r="CY66" s="112" t="str">
        <f>HYPERLINK("http://www.caritas-schwarzwald-alb-donau.de/68854.html","x")</f>
        <v>x</v>
      </c>
      <c r="CZ66" s="112"/>
      <c r="DA66" s="112" t="str">
        <f>HYPERLINK("http://sichere-orte-schaffen.de/wp-content/uploads/Minibrosch_Fluechtlinge_multilang.pdf","x")</f>
        <v>x</v>
      </c>
      <c r="DB66" s="112"/>
      <c r="DC66" s="115" t="str">
        <f>HYPERLINK("http://www.kindersicherheit.de/pdf/2012_Bilderbuch-Gift-Arabisch.pdf","x")</f>
        <v>x</v>
      </c>
      <c r="DD66" s="112"/>
      <c r="DE66" s="112"/>
      <c r="DF66" s="112" t="str">
        <f t="shared" si="10"/>
        <v>x</v>
      </c>
      <c r="DG66" s="115" t="str">
        <f t="shared" si="11"/>
        <v>x</v>
      </c>
      <c r="DH66" s="112" t="str">
        <f t="shared" si="12"/>
        <v>x</v>
      </c>
      <c r="DI66" s="112" t="str">
        <f t="shared" si="13"/>
        <v>x</v>
      </c>
      <c r="DJ66" s="112" t="str">
        <f>HYPERLINK("http://www.bibliomedia.ch/de/angebote/dokumente/Glossar_arabisch.pdf","x")</f>
        <v>x</v>
      </c>
      <c r="DK66" s="112"/>
      <c r="DL66" s="112" t="str">
        <f>HYPERLINK("http://www.carlsen.de/sites/default/files/Walter-ebook_arabisch_klein.pdf","x")</f>
        <v>x</v>
      </c>
      <c r="DM66" s="112"/>
      <c r="DN66" s="112"/>
      <c r="DO66" s="112" t="str">
        <f>HYPERLINK("http://www.wdrmaus.de/sachgeschichten/maus-international/","x")</f>
        <v>x</v>
      </c>
      <c r="DP66" s="111"/>
      <c r="DQ66" s="112" t="str">
        <f>HYPERLINK("http://tipdoc.de/bus/grafik/kinder-tip/SCHULTIP_give_didacta.pdf","x")</f>
        <v>x</v>
      </c>
      <c r="DR66" s="112" t="str">
        <f>HYPERLINK("https://broschueren.nordrheinwestfalendirekt.de/broschuerenservice/msw/ar-das-schulsystem-in-nordrhein-westfalen-einfach-und-schnell-erklaert/1901","x")</f>
        <v>x</v>
      </c>
      <c r="DS66" s="112" t="str">
        <f>HYPERLINK("http://bildung.koeln.de/materialbibliothek/download.php?idx=7479da9798519efb4e1944d46a76011b","x")</f>
        <v>x</v>
      </c>
      <c r="DT66" s="112" t="str">
        <f>HYPERLINK("http://bildung.koeln.de/materialbibliothek/download.php?idx=dd3a964c240308ea1c8e0d161e49e314","x")</f>
        <v>x</v>
      </c>
      <c r="DU66" s="112"/>
      <c r="DV66" s="112" t="str">
        <f>HYPERLINK("https://www.bmbf.de/pub/Kausa_Elternbroschuere_arabisch.pdf","x")</f>
        <v>x</v>
      </c>
      <c r="DW66" s="112"/>
      <c r="DX66" s="112" t="str">
        <f>HYPERLINK("http://www.wissenschaft.nrw.de/studium/informieren/informationen-fuer-fluechtlinge-die-in-nrw-studieren-moechten/","x")</f>
        <v>x</v>
      </c>
      <c r="DY66" s="112" t="str">
        <f>HYPERLINK("http://www.bamf.de/SharedDocs/Anlagen/DE/Publikationen/Flyer/AnerkennungBerufsabschluss/berufliche_anerkennung_akademische-heilberufe_ar.pdf?__blob=publicationFile","x")</f>
        <v>x</v>
      </c>
      <c r="DZ66" s="112" t="str">
        <f>HYPERLINK("http://www.bamf.de/SharedDocs/Anlagen/DE/Publikationen/Flyer/AnerkennungBerufsabschluss/anerkennung-berufsabschluss_ar.pdf?__blob=publicationFile","x")</f>
        <v>x</v>
      </c>
      <c r="EA66" s="112" t="str">
        <f>HYPERLINK("http://www.bamf.de/SharedDocs/Anlagen/DE/Publikationen/Flyer/AnerkennungBerufsabschluss/anerkennung-berufsabschluss_ausland_ar.pdf?__blob=publicationFile","x")</f>
        <v>x</v>
      </c>
      <c r="EB66" s="112" t="str">
        <f>HYPERLINK("http://www.bamf.de/SharedDocs/Anlagen/DE/Publikationen/Broschueren/willkommen-in-deutschland-info-blaue-karte-eu_ar.pdf?__blob=publicationFile","x")</f>
        <v>x</v>
      </c>
      <c r="EC66" s="112" t="str">
        <f>HYPERLINK("http://www.bamf.de/SharedDocs/Anlagen/DE/Publikationen/Flyer/Berufsbezsprachf-ESF-BAMF/berufsbezsprachf-esf-bamf_ar.pdf?__blob=publicationFile","x")</f>
        <v>x</v>
      </c>
      <c r="ED66" s="111"/>
      <c r="EE66" s="111"/>
      <c r="EF66" s="111"/>
      <c r="EG66" s="111"/>
      <c r="EH66" s="111"/>
      <c r="EI66" s="111"/>
      <c r="EJ66" s="112"/>
      <c r="EK66" s="112" t="str">
        <f>HYPERLINK("http://fluechtlingsrat-bw.de/files/Dateien/Dokumente/Materialbestellung/2014-12-flyer%20arbeitserlaubnis%20AR%20WEB_final.pdf","x")</f>
        <v>x</v>
      </c>
      <c r="EL66" s="112" t="str">
        <f>HYPERLINK("http://www.aponet.de/arabisch/20151019-fuer-den-notfall-wichtige-rufnummern-im-ueberblick.html","x")</f>
        <v>x</v>
      </c>
      <c r="EM66" s="112" t="str">
        <f>HYPERLINK("http://www.kvs-sachsen.de/fileadmin/img/Mitglieder/Asylbewerber/Allg-Informationen/Anlage_1_Arabisch_LEK.pdf","x")</f>
        <v>x</v>
      </c>
      <c r="EN66" s="112" t="str">
        <f>HYPERLINK("http://www.medizin-hilft-fluechtlingen.de/images/Dokumente/gSch/gSch_arab.pdf","x")</f>
        <v>x</v>
      </c>
      <c r="EO66" s="112" t="str">
        <f>HYPERLINK("http://www.aponet.de/arabisch/20151016-medizinische-leistungen-fuer-asylbewerber.html","x")</f>
        <v>x</v>
      </c>
      <c r="EP66" s="117" t="str">
        <f>HYPERLINK("http://www.medi-bild.de/pdf/anamnese/Welche_Sprache.pdf","x")</f>
        <v>x</v>
      </c>
      <c r="EQ66" s="117" t="str">
        <f>HYPERLINK("http://www.armut-gesundheit.de/fileadmin/redakteur/dokumente/Anamnesebogen%20-%20Arabischnew.pdf","x")</f>
        <v>x</v>
      </c>
      <c r="ER66" s="112" t="str">
        <f>HYPERLINK("http://www.kvs-sachsen.de/fileadmin/img/Mitglieder/Asylbewerber/Allg-Informationen/Anlagen_2-1_2-2_Arabisch_LEK.pdf","x")</f>
        <v>x</v>
      </c>
      <c r="ES66" s="112"/>
      <c r="ET66" s="112" t="str">
        <f>HYPERLINK("http://www.pharmazeutische-zeitung.de/fileadmin/pdf/Fragebogen_PZ_43_2015.pdf","x")</f>
        <v>x</v>
      </c>
      <c r="EU66" s="112" t="str">
        <f>HYPERLINK("http://www.medizin-hilft-fluechtlingen.de/images/Dokumente/ein/ein_arab.pdf","x")</f>
        <v>x</v>
      </c>
      <c r="EV66" s="112" t="str">
        <f>HYPERLINK("http://www.adler-apotheke-hh.de/fileadmin/user_upload/PDF-Dateien/Dosierzettel_mehrsprachig_AUF_0_.pdf","x")</f>
        <v>x</v>
      </c>
      <c r="EW66" s="112" t="str">
        <f t="shared" si="14"/>
        <v>x</v>
      </c>
      <c r="EX66" s="112" t="str">
        <f>HYPERLINK("http://www.rki.de/DE/Content/Infekt/IfSG/Belehrungsbogen/belehrungsbogen_eltern_arabisch.pdf?__blob=publicationFile","x")</f>
        <v>x</v>
      </c>
      <c r="EY66" s="112" t="str">
        <f>HYPERLINK("http://www.bzga.de/infomaterialien/?sid=236","x")</f>
        <v>x</v>
      </c>
      <c r="EZ66" s="112" t="str">
        <f>HYPERLINK("https://www.mh-hannover.de/fileadmin/mhh/bilder/aktuelles_presse/presseinformationen_news/150921_Pilz_Vergif_Arab_3.pdf","x")</f>
        <v>x</v>
      </c>
      <c r="FA66" s="112"/>
      <c r="FB66" s="112" t="str">
        <f>HYPERLINK("http://static.apotheken-umschau.de/media/gp/article_506373/bildwoerterbuch.pdf","x")</f>
        <v>x</v>
      </c>
      <c r="FC66" s="111"/>
      <c r="FD66" s="112" t="str">
        <f t="shared" si="15"/>
        <v>x</v>
      </c>
      <c r="FE66" s="112" t="str">
        <f t="shared" si="21"/>
        <v>x</v>
      </c>
      <c r="FF66" s="112" t="str">
        <f>HYPERLINK("http://www.fuhlenhagen.com/pdf_dateien/uebertzungshilfe_aerzte_mehrsprachig.pdf","x")</f>
        <v>x</v>
      </c>
      <c r="FG66" s="112" t="str">
        <f>HYPERLINK("http://www.tipdoc.de/grafik/asyl/Gesundheitsheft_Asyl.pdf","x")</f>
        <v>x</v>
      </c>
      <c r="FH66" s="111"/>
      <c r="FI66" s="111"/>
      <c r="FJ66" s="112" t="str">
        <f>HYPERLINK("http://www.bundesgesundheitsministerium.de/fileadmin/dateien/Publikationen/Gesundheit/Broschueren/Ratgeber_Asylsuchende/Ratgeber_Asylsuchende_arab.PDF","x")</f>
        <v>x</v>
      </c>
      <c r="FK66" s="112" t="str">
        <f>HYPERLINK("http://www.rki.de/DE/Content/Infekt/Impfen/Materialien/Downloads-Impfkalender/Impfkalender_Arabisch.pdf?__blob=publicationFile","x")</f>
        <v>x</v>
      </c>
      <c r="FL66" s="112" t="str">
        <f>HYPERLINK("http://www.ethno-medizinisches-zentrum.de/images/PDF-Files/impfwegweiser_arabbisch_2013_online.pdf","x")</f>
        <v>x</v>
      </c>
      <c r="FM66" s="112"/>
      <c r="FN66" s="112" t="str">
        <f>HYPERLINK("http://www.rki.de/DE/Content/Infekt/Impfen/Materialien/Glossar-Downloads/glossar-de-arabisch.pdf?__blob=publicationFile","x")</f>
        <v>x</v>
      </c>
      <c r="FO66" s="112"/>
      <c r="FP66" s="112" t="str">
        <f>HYPERLINK("http://www.rki.de/DE/Content/Infekt/Impfen/Materialien/Downloads-MMR/MMR-Impfinfo-arabisch.pdf?__blob=publicationFile","x")</f>
        <v>x</v>
      </c>
      <c r="FQ66" s="112" t="str">
        <f>HYPERLINK("http://www.rki.de/DE/Content/InfAZ/P/Polio/Ausbruch_Syrien/Informationsblatt_Polio_Arabisch.pdf?__blob=publicationFile","x")</f>
        <v>x</v>
      </c>
      <c r="FR66" s="112" t="str">
        <f>HYPERLINK("http://www.rki.de/DE/Content/Infekt/Impfen/Materialien/Downloads_HepA/Aufklaerung_HAV-Impfung_arabisch.pdf?__blob=publicationFile","x")</f>
        <v>x</v>
      </c>
      <c r="FS66" s="112" t="str">
        <f>HYPERLINK("http://www.rki.de/DE/Content/Infekt/Impfen/Materialien/Downloads_Pneumokokken/Aufklaerung_Pneumo-Impfung_Arabisch.pdf?__blob=publicationFile","x")</f>
        <v>x</v>
      </c>
      <c r="FT66" s="112" t="str">
        <f>HYPERLINK("http://www.rki.de/DE/Content/Infekt/Impfen/Materialien/Downloads-DTaPIPVHibHepB/DTaPIPVHibHepB_arabisch.pdf?__blob=publicationFile","x")</f>
        <v>x</v>
      </c>
      <c r="FU66" s="112" t="str">
        <f>HYPERLINK("http://www.rki.de/DE/Content/Infekt/Impfen/Materialien/Downloads-Varizellen/Varizellen-Impfinfo-arabisch.pdf;jsessionid=65B697F4EE7EDA8A1ED9E2C4CD6C74EC.2_cid363?__blob=publicationFile","x")</f>
        <v>x</v>
      </c>
      <c r="FV66" s="112" t="str">
        <f>HYPERLINK("http://www.rki.de/DE/Content/Infekt/Impfen/Materialien/Downloads-Tdap-IPV/Tdap-IPV-arabisch.pdf?__blob=publicationFile","x")</f>
        <v>x</v>
      </c>
      <c r="FW66" s="112" t="str">
        <f>HYPERLINK("http://www.rki.de/DE/Content/Infekt/Impfen/Materialien/Downloads-Influenza_nasal/Influenza_nasal-arabisch.pdf?__blob=publicationFile","x")</f>
        <v>x</v>
      </c>
      <c r="FX66" s="112" t="str">
        <f>HYPERLINK("http://www.medical-tribune.de/fileadmin/PDF/Arthrose_arabisch.pdf","x")</f>
        <v>x</v>
      </c>
      <c r="FY66" s="112" t="str">
        <f>HYPERLINK("http://www.medical-tribune.de/fileadmin/PDF/Asthma_arabisch.pdf","x")</f>
        <v>x</v>
      </c>
      <c r="FZ66" s="112" t="str">
        <f>HYPERLINK("http://www.medical-tribune.de/fileadmin/PDF/Bluthochdruck_arabisch.pdf","x")</f>
        <v>x</v>
      </c>
      <c r="GA66" s="112"/>
      <c r="GB66" s="112" t="str">
        <f>HYPERLINK("http://www.medical-tribune.de/fileadmin/PDF/COPD_arabisch.pdf","x")</f>
        <v>x</v>
      </c>
      <c r="GC66" s="112"/>
      <c r="GD66" s="112" t="str">
        <f>HYPERLINK("http://www.ethno-medizinisches-zentrum.de/images/PDF-Files/lf_diabete_arab.pdf","x")</f>
        <v>x</v>
      </c>
      <c r="GE66" s="112"/>
      <c r="GF66" s="112"/>
      <c r="GG66" s="112"/>
      <c r="GH66" s="112"/>
      <c r="GI66" s="112" t="str">
        <f>HYPERLINK("http://www.tipdoc.de/bus/pdf/hepatitis/Hep_B_Webseite.pdf","x")</f>
        <v>x</v>
      </c>
      <c r="GJ66" s="112" t="str">
        <f>HYPERLINK("http://www.tipdoc.de/bus/pdf/hepatitis/Hep_C_Webseite.pdf","x")</f>
        <v>x</v>
      </c>
      <c r="GK66" s="111"/>
      <c r="GL66" s="111"/>
      <c r="GM66" s="112" t="str">
        <f>HYPERLINK("http://www.rki.de/DE/Content/Infekt/Impfen/Materialien/Downloads-Influenza/Influenza-arabisch.pdf?__blob=publicationFile","x")</f>
        <v>x</v>
      </c>
      <c r="GN66" s="112"/>
      <c r="GO66" s="112" t="str">
        <f>HYPERLINK("http://www.aponet.de/arabisch/20151111-so-unterscheiden-sich-grippe-und-erkaeltung.html","x")</f>
        <v>x</v>
      </c>
      <c r="GP66" s="112" t="str">
        <f>HYPERLINK("http://www.tipdoc.de/grafik/pdf/kopflaeuse/Kopflaeuse_ARAB.pdf","x")</f>
        <v>x</v>
      </c>
      <c r="GQ66" s="112"/>
      <c r="GR66" s="112" t="str">
        <f>HYPERLINK("http://www.tipdoc.com/bus/pdf/kraetze/tipdoc_Scabies_ARAB.pdf","x")</f>
        <v>x</v>
      </c>
      <c r="GS66" s="112" t="str">
        <f>HYPERLINK("http://www.tipdoc.com/bus/pdf/MagenDarmHaende/MagenDarmHaende_Arab.pdf","x")</f>
        <v>x</v>
      </c>
      <c r="GT66" s="112"/>
      <c r="GU66" s="112" t="str">
        <f>HYPERLINK("http://www.medical-tribune.de/fileadmin/PDF/Rueckenschmerzen_arabisch.pdf","x")</f>
        <v>x</v>
      </c>
      <c r="GV66" s="112"/>
      <c r="GW66" s="112"/>
      <c r="GX66" s="112" t="str">
        <f>HYPERLINK("http://www.medical-tribune.de/fileadmin/PDF/Schwindel_arabisch.pdf","x")</f>
        <v>x</v>
      </c>
      <c r="GY66" s="112"/>
      <c r="GZ66" s="112"/>
      <c r="HA66" s="112"/>
      <c r="HB66" s="112"/>
      <c r="HC66" s="112" t="str">
        <f t="shared" si="16"/>
        <v>x</v>
      </c>
      <c r="HD66" s="112" t="str">
        <f>HYPERLINK("https://www.zahnaerzte-wl.de/images/_PDF-suche/KZV_ZÄK/ENDSTAND_Ankreuzbogen_Ich_verstehe.pdf","x")</f>
        <v>x</v>
      </c>
      <c r="HE66" s="112" t="str">
        <f>HYPERLINK("https://www.zahnaerzte-wl.de/images/_PDF-suche/KZV_ZÄK/Anschreiben_Patienten_arabisch.pdf","x")</f>
        <v>x</v>
      </c>
      <c r="HF66" s="112" t="str">
        <f>HYPERLINK("https://www.zahnaerzte-wl.de/images/_PDF-suche/KZV_ZÄK/Fragebogen_arabisch.pdf","x")</f>
        <v>x</v>
      </c>
      <c r="HG66" s="112" t="str">
        <f>HYPERLINK("https://www.zahnaerzte-wl.de/images/_PDF-suche/KZV_ZÄK/Patientenerhebungsbogen_arabisch.pdf","x")</f>
        <v>x</v>
      </c>
      <c r="HH66" s="112"/>
      <c r="HI66" s="112"/>
      <c r="HJ66" s="112" t="str">
        <f>HYPERLINK("http://www.ibbc-berlin.de/media/Bro_de-arab.pdf","x")</f>
        <v>x</v>
      </c>
      <c r="HK66" s="112"/>
      <c r="HL66" s="112" t="str">
        <f>HYPERLINK("http://www.ethno-medizinisches-zentrum.de/images/PDF-Files/lf_depression__arab.pdf","x")</f>
        <v>x</v>
      </c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 t="str">
        <f>HYPERLINK("http://www.bkk-psychisch-gesund.de/fileadmin/user_upload/Dokumente/Versicherte/Broschueren/Wegweiser_Psychotherapie_arabisch.pdf","x")</f>
        <v>x</v>
      </c>
      <c r="HY66" s="112" t="str">
        <f t="shared" si="17"/>
        <v>x</v>
      </c>
      <c r="HZ66" s="112" t="str">
        <f t="shared" si="18"/>
        <v>x</v>
      </c>
      <c r="IA66" s="112"/>
      <c r="IB66" s="112"/>
      <c r="IC66" s="112"/>
      <c r="ID66" s="112" t="str">
        <f>HYPERLINK("http://www.susannestein.de/VIA-online/trauma-bilderbuch-arabisch.pdf","x")</f>
        <v>x</v>
      </c>
      <c r="IE66" s="112"/>
      <c r="IF66" s="112"/>
      <c r="IG66" s="112"/>
      <c r="IH66" s="111"/>
      <c r="II66" s="112"/>
      <c r="IJ66" s="112"/>
      <c r="IK66" s="112" t="str">
        <f>HYPERLINK("http://www.bamf.de/SharedDocs/Anlagen/DE/Publikationen/Flyer/Lassen-Sie-Sich-Beraten/lassen-sie-sich-beraten_ar.pdf?__blob=publicationFile","x")</f>
        <v>x</v>
      </c>
      <c r="IL66" s="112" t="str">
        <f>HYPERLINK("http://www.bamf.de/SharedDocs/Anlagen/DE/Publikationen/Flyer/flyer-erstorientierung-asylsuchende_arabisch.pdf?__blob=publicationFile","x")</f>
        <v>x</v>
      </c>
      <c r="IM66" s="111"/>
      <c r="IN66" s="112" t="str">
        <f>HYPERLINK("https://www.bamf.de/SharedDocs/Anlagen/DE/Publikationen/Broschueren/willkommen-in-deutschland_ar.pdf?__blob=publicationFile","x")</f>
        <v>x</v>
      </c>
      <c r="IO66" s="112"/>
      <c r="IP66" s="111"/>
      <c r="IQ66" s="112" t="str">
        <f>HYPERLINK("http://www.bamf.de/SharedDocs/Anlagen/DE/Publikationen/Flyer/Lernen-Sie-Deutsch/lernen-sie-deutsch_ar.pdf?__blob=publicationFile","x")</f>
        <v>x</v>
      </c>
      <c r="IR66" s="112" t="str">
        <f>HYPERLINK("http://www.asyl.net/fileadmin/user_upload/redaktion/Dokumente/Arbeitshilfen/150910_Wie_l%C3%A4uft_ein_Asylverfahren_ab_%C3%9Cberblickstext_Arabisch.pdf","x")</f>
        <v>x</v>
      </c>
      <c r="IS66" s="111"/>
      <c r="IT66" s="111"/>
      <c r="IU66" s="111"/>
      <c r="IV66" s="112" t="str">
        <f>HYPERLINK("http://www.asyl.net/fileadmin/user_upload/infoblatt_anhoerung/Infoblatt_2015_ar_fin.pdf","x")</f>
        <v>x</v>
      </c>
      <c r="IW66" s="112" t="str">
        <f>HYPERLINK("http://efi-landsberg.de/asyl/wp-content/uploads/2014/04/Merkblatt-Asylbewerber-Fluechtlinge.pdf","x")</f>
        <v>x</v>
      </c>
      <c r="IX66" s="112"/>
      <c r="IY66" s="112" t="str">
        <f>HYPERLINK("http://www.bamf.de/SharedDocs/Anlagen/DE/Publikationen/Broschueren/broschuere-eat-a4-ar-arabisch.pdf?__blob=publicationFile","x")</f>
        <v>x</v>
      </c>
      <c r="IZ66" s="111"/>
      <c r="JA66" s="112" t="str">
        <f>HYPERLINK("http://fluechtlingsrat-bw.de/informationen-fuer-fluechtlinge.html","x")</f>
        <v>x</v>
      </c>
      <c r="JB66" s="111"/>
      <c r="JC66" s="112"/>
      <c r="JD66" s="111"/>
      <c r="JE66" s="112"/>
      <c r="JF66" s="112"/>
      <c r="JG66" s="112" t="str">
        <f>HYPERLINK("http://www.bamf.de/SharedDocs/Anlagen/DE/Publikationen/Flyer/Ehegattennachzug/ehegattennachzug-ar.pdf?__blob=publicationFile","x")</f>
        <v>x</v>
      </c>
      <c r="JH66" s="112" t="str">
        <f>HYPERLINK("https://familyreunion-syria.diplo.de/webportal/index.html#start","x")</f>
        <v>x</v>
      </c>
      <c r="JI66" s="111"/>
      <c r="JJ66" s="112"/>
      <c r="JK66" s="112" t="str">
        <f>HYPERLINK("https://www.arbeitsagentur.de/web/wcm/idc/groups/public/documents/webdatei/mdaw/mjgz/~edisp/l6019022dstbai784629.pdf?_ba.sid=L6019022DSTBAI788745","x")</f>
        <v>x</v>
      </c>
      <c r="JL66" s="112" t="str">
        <f>HYPERLINK("http://www.kub-berlin.org/formularprojekt/de/arabisch-antraege-und-anlagen/","x")</f>
        <v>x</v>
      </c>
      <c r="JM66" s="112" t="str">
        <f>HYPERLINK("https://www.arbeitsagentur.de/web/content/DE/Formulare/Detail/index.htm?dfContentId=L6019022DSTBAI485740","x")</f>
        <v>x</v>
      </c>
      <c r="JN66" s="112"/>
      <c r="JO66" s="112"/>
      <c r="JP66" s="112"/>
      <c r="JQ66" s="112"/>
      <c r="JR66" s="112" t="str">
        <f>HYPERLINK("http://www.ibla-germany.de/merkblaetter.php","x")</f>
        <v>x</v>
      </c>
      <c r="JS66" s="112"/>
      <c r="JT66" s="112" t="str">
        <f>HYPERLINK("http://www.b-umf.de/images/willkommen/willkommensbroschurearabisch-web.pdf","x")</f>
        <v>x</v>
      </c>
      <c r="JU66" s="111"/>
      <c r="JV66" s="111"/>
      <c r="JW66" s="112"/>
      <c r="JX66" s="112"/>
      <c r="JY66" s="112"/>
      <c r="JZ66" s="112"/>
      <c r="KA66" s="112" t="str">
        <f>HYPERLINK("http://www.kas.de/wf/de/33.43117/","x")</f>
        <v>x</v>
      </c>
      <c r="KB66" s="112" t="str">
        <f>HYPERLINK("http://www.refugeeguide.de/dl/RefugeeGuide_ar_930.pdf","x")</f>
        <v>x</v>
      </c>
      <c r="KC66" s="112" t="str">
        <f>HYPERLINK("http://www.bpb.de/shop/buecher/grundgesetz/215136/grundgesetz-auf-arabisch","x")</f>
        <v>x</v>
      </c>
      <c r="KD66" s="112" t="str">
        <f>HYPERLINK("http://www.wedel.de/fileadmin/user_upload/media/pdf/Rathaus_und_Politik/20160118_PM_Broschuere.pdf","x")</f>
        <v>x</v>
      </c>
      <c r="KE66" s="112" t="str">
        <f>HYPERLINK("http://www.frauenrechte.de/online/images/downloads/allgemein/TDF_Flyer_Women_Men.pdf","x")</f>
        <v>x</v>
      </c>
      <c r="KF66" s="112" t="str">
        <f>HYPERLINK("http://sab.landtag.sachsen.de/dokumente/landtagskurier/Grundwerte-A5-international_web_08012016.pdf","x")</f>
        <v>x</v>
      </c>
      <c r="KG66" s="112"/>
      <c r="KH66" s="112"/>
      <c r="KI66" s="112"/>
      <c r="KJ66" s="112"/>
      <c r="KK66" s="112"/>
      <c r="KL66" s="112"/>
      <c r="KM66" s="112"/>
      <c r="KN66" s="112"/>
      <c r="KO66" s="112"/>
      <c r="KP66" s="112"/>
      <c r="KQ66" s="112"/>
      <c r="KR66" s="112"/>
      <c r="KS66" s="112"/>
      <c r="KT66" s="112"/>
      <c r="KU66" s="112"/>
      <c r="KV66" s="112"/>
      <c r="KW66" s="112"/>
      <c r="KX66" s="112"/>
      <c r="KY66" s="112"/>
      <c r="KZ66" s="112"/>
      <c r="LA66" s="112"/>
      <c r="LB66" s="112"/>
      <c r="LC66" s="111"/>
      <c r="LD66" s="111"/>
      <c r="LE66" s="111"/>
      <c r="LF66" s="111"/>
      <c r="LG66" s="112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2"/>
      <c r="LU66" s="111"/>
      <c r="LV66" s="111"/>
      <c r="LW66" s="111"/>
      <c r="LX66" s="111"/>
      <c r="LY66" s="111"/>
      <c r="LZ66" s="112" t="str">
        <f>HYPERLINK("http://www.bjf.info/projekte/cinemanya","x")</f>
        <v>x</v>
      </c>
      <c r="MA66" s="111"/>
      <c r="MB66" s="111"/>
      <c r="MC66" s="111"/>
      <c r="MD66" s="112" t="str">
        <f>HYPERLINK("http://www.rki.de/DE/Content/Infekt/IfSG/Belehrungsbogen/belehrungsbogen_lebensmittel_arabisch.pdf?__blob=publicationFile","x")</f>
        <v>x</v>
      </c>
      <c r="ME66" s="111"/>
      <c r="MF66" s="112" t="str">
        <f>HYPERLINK("http://www.gdv.de/wp-content/uploads/2016/01/Information_Brandschutz_Fluechtlingsheim_-Sicherheit_mehrsprachig.pdf","x")</f>
        <v>x</v>
      </c>
      <c r="MG66" s="112" t="str">
        <f>HYPERLINK("http://www.gdv.de/wp-content/uploads/2016/01/Information_Verhalten-im-Brandfall_mehrsprachig.pdf","x")</f>
        <v>x</v>
      </c>
      <c r="MH66" s="112" t="str">
        <f>HYPERLINK("http://www.aha-region.de/fileadmin/Download/pdf/aha_Plakat_Muelltrennung_ar.pdf","x")</f>
        <v>x</v>
      </c>
      <c r="MI66" s="112" t="str">
        <f>HYPERLINK("http://www.kindersicherheit.de/pdf/2012_poster_achtunggiftig_8sprachig.pdf","x")</f>
        <v>x</v>
      </c>
    </row>
    <row r="67" spans="1:347" x14ac:dyDescent="0.25">
      <c r="A67" s="102" t="s">
        <v>379</v>
      </c>
      <c r="B67" s="127" t="s">
        <v>4</v>
      </c>
      <c r="C67" s="102"/>
      <c r="D67" s="102"/>
      <c r="E67" s="102"/>
      <c r="F67" s="102"/>
      <c r="G67" s="102"/>
      <c r="H67" s="102"/>
      <c r="I67" s="102"/>
      <c r="J67" s="102"/>
      <c r="K67" s="103"/>
      <c r="L67" s="111"/>
      <c r="M67" s="111"/>
      <c r="N67" s="112" t="str">
        <f>HYPERLINK("http://www.ag-fluechtlingshilfe-wetterau.de/uploads/infos/170.pdf","x")</f>
        <v>x</v>
      </c>
      <c r="O67" s="112" t="str">
        <f>HYPERLINK("http://www.ag-fluechtlingshilfe-wetterau.de/uploads/infos/220.pdf","x")</f>
        <v>x</v>
      </c>
      <c r="P67" s="112" t="str">
        <f>HYPERLINK("http://www.awb-ahrweiler.de/admin/data/ddownload/Abfall%20Sonderhinweise-englisch_2014.pdf","x")</f>
        <v>x</v>
      </c>
      <c r="Q67" s="112" t="str">
        <f>HYPERLINK("http://www.ag-fluechtlingshilfe-wetterau.de/uploads/infos/221.pdf","x")</f>
        <v>x</v>
      </c>
      <c r="R67" s="112" t="str">
        <f>HYPERLINK("http://www.konto.org/download/merkblatt-basiskonto-asylbewerber-english.pdf","x")</f>
        <v>x</v>
      </c>
      <c r="S67" s="112"/>
      <c r="T67" s="112" t="str">
        <f>HYPERLINK("https://antworten.sparkasse.de/wp-content/uploads/2015/10/English.pdf","x")</f>
        <v>x</v>
      </c>
      <c r="U67" s="112" t="str">
        <f>HYPERLINK("http://www.ag-fluechtlingshilfe-wetterau.de/uploads/infos/191.pdf","x")</f>
        <v>x</v>
      </c>
      <c r="V67" s="112"/>
      <c r="W67" s="112"/>
      <c r="X6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6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67" s="112"/>
      <c r="AA67" s="112"/>
      <c r="AB67" s="112"/>
      <c r="AC67" s="112" t="str">
        <f>HYPERLINK("http://www.vzhh.de/vzhh/409638/vzhh_refugees_telephone_internet.pdf","x")</f>
        <v>x</v>
      </c>
      <c r="AD67" s="112" t="str">
        <f>HYPERLINK("http://www.vzhh.de/vzhh/410647/vzhh_refugees_rundfunk.pdf","x")</f>
        <v>x</v>
      </c>
      <c r="AE67" s="112" t="str">
        <f>HYPERLINK("http://www.vzhh.de/vzhh/411476/vzhh_refugees_rundfunk_befreiung.pdf","x")</f>
        <v>x</v>
      </c>
      <c r="AF67" s="112" t="str">
        <f>HYPERLINK("http://www.kub-berlin.org/formularprojekt/de/englisch-antraege-und-anlagen-uebersetzungshilfen/","x")</f>
        <v>x</v>
      </c>
      <c r="AG67" s="112" t="str">
        <f>HYPERLINK("http://asyl-in-moenchengladbach.de/wp-content/uploads/2015/11/100711-Flyer_GB.pdf","x")</f>
        <v>x</v>
      </c>
      <c r="AH67" s="112" t="str">
        <f>HYPERLINK("http://sghanstedt.elbnetz.com/ueber-uns/","x")</f>
        <v>x</v>
      </c>
      <c r="AI67" s="112" t="str">
        <f>HYPERLINK("https://www.adac.de/sp/stiftung/_mmm/pdf/SGE_FOL_Verkehrssicherheit_Fl%C3%BCchtlinge_A3_01_16_Internet_250277.pdf","x")</f>
        <v>x</v>
      </c>
      <c r="AJ67" s="112" t="str">
        <f>HYPERLINK("http://www.stadt-koeln.de/mediaasset/content/kvb_kinderleicht_und_spielend_einfach__englisch_.pdf","x")</f>
        <v>x</v>
      </c>
      <c r="AK67" s="112" t="str">
        <f>HYPERLINK("https://www.vrsinfo.de/fileadmin/Dateien/downloadcenter/Folder_MobilPassTicket_Refugees01012016.pdf","x")</f>
        <v>x</v>
      </c>
      <c r="AL67" s="112" t="str">
        <f>HYPERLINK("https://www.vrsinfo.de/fileadmin/Dateien/downloadcenter/Willkommen_im_VRS2016_Druck.pdf","x")</f>
        <v>x</v>
      </c>
      <c r="AM67" s="112"/>
      <c r="AN67" s="112" t="str">
        <f>HYPERLINK("https://www.deutschebahn.com/file/de/2191748/eYdgZpqGpp5sMJ2KMKtg2r8aE4Q/10123812/data/infos_fuer_fluechtlinge.pdf","x")</f>
        <v>x</v>
      </c>
      <c r="AO67" s="112"/>
      <c r="AP67" s="112"/>
      <c r="AQ67" s="112"/>
      <c r="AR67" s="112"/>
      <c r="AS67" s="112"/>
      <c r="AT67" s="112"/>
      <c r="AU67" s="112" t="str">
        <f>HYPERLINK("http://www.stadt-koeln.de/mediaasset/content/festkomitee_flyer_2016_d_gb.pdf","x")</f>
        <v>x</v>
      </c>
      <c r="AV67" s="113"/>
      <c r="AW67" s="114" t="str">
        <f t="shared" si="0"/>
        <v>x</v>
      </c>
      <c r="AX67" s="114" t="str">
        <f t="shared" si="1"/>
        <v>x</v>
      </c>
      <c r="AY67" s="112" t="str">
        <f>HYPERLINK("http://fi-lohmar-siegburg.de/data/documents/Findefix_arabisch-Bildwoerterbuch.pdf","x")</f>
        <v>x</v>
      </c>
      <c r="AZ67" s="111"/>
      <c r="BA67" s="112" t="str">
        <f t="shared" si="2"/>
        <v>x</v>
      </c>
      <c r="BB67" s="112" t="str">
        <f t="shared" si="3"/>
        <v>x</v>
      </c>
      <c r="BC67" s="111"/>
      <c r="BD67" s="111"/>
      <c r="BE67" s="112" t="str">
        <f>HYPERLINK("http://fi-lohmar-siegburg.de/data/documents/communicationboard-arabic-english.pdf","x")</f>
        <v>x</v>
      </c>
      <c r="BF67" s="112"/>
      <c r="BG67" s="111"/>
      <c r="BH67" s="112" t="str">
        <f>HYPERLINK("http://www.refugeephrasebook.de/pdf/germany150920.pdf","x")</f>
        <v>x</v>
      </c>
      <c r="BI67" s="112" t="str">
        <f>HYPERLINK("https://www.advanced-online.eu/downloads/RefugeePhrasebookCards_German-English.pdf","x")</f>
        <v>x</v>
      </c>
      <c r="BJ67" s="112" t="str">
        <f>HYPERLINK("http://www.klett-sprachen.de/download/8638/W100255_Refugees_Welcome_Wortschatz.pdf","x")</f>
        <v>x</v>
      </c>
      <c r="BK67" s="111"/>
      <c r="BL67" s="112" t="str">
        <f>HYPERLINK("http://www.bundessprachenamt.de/deutsch/wir_ueber_uns/nachrichten/2015/20151103/Verständigungshilfe_Englisch_26_11_2015.pdf","x")</f>
        <v>x</v>
      </c>
      <c r="BM67" s="112" t="str">
        <f>HYPERLINK("http://www.frnrw.de/images/Aus_den_Initiativen/Ehrenamtler/2015/Dictionary_x10_print-2.pdf","x")</f>
        <v>x</v>
      </c>
      <c r="BN67" s="112" t="str">
        <f>HYPERLINK("http://www.medbox.org/toolboxes/kleines-worterbuch-little-dictionary-deutsch-englisch-arabisch/preview","x")</f>
        <v>x</v>
      </c>
      <c r="BO67" s="112" t="str">
        <f>HYPERLINK("http://mylanguages.org/dari_phrases.php","x")</f>
        <v>x</v>
      </c>
      <c r="BP67" s="111"/>
      <c r="BQ67" s="111"/>
      <c r="BR67" s="111"/>
      <c r="BS67" s="112" t="str">
        <f t="shared" si="4"/>
        <v>x</v>
      </c>
      <c r="BT67" s="112"/>
      <c r="BU67" s="111"/>
      <c r="BV67" s="112" t="str">
        <f t="shared" si="5"/>
        <v>x</v>
      </c>
      <c r="BW67" s="112" t="str">
        <f>HYPERLINK("http://www.welcomegrooves.de/wp-content/uploads/2015/10/welcomegrooves_DE-ENGLISH1.pdf","x")</f>
        <v>x</v>
      </c>
      <c r="BX67" s="112"/>
      <c r="BY67" s="112"/>
      <c r="BZ67" s="112"/>
      <c r="CA67" s="112" t="str">
        <f t="shared" si="6"/>
        <v>x</v>
      </c>
      <c r="CB67" s="112" t="str">
        <f t="shared" si="7"/>
        <v>x</v>
      </c>
      <c r="CC67" s="112" t="str">
        <f t="shared" si="8"/>
        <v>x</v>
      </c>
      <c r="CD67" s="112"/>
      <c r="CE67" s="112"/>
      <c r="CF67" s="111"/>
      <c r="CG67" s="112" t="str">
        <f>HYPERLINK("http://www.braunschweig.de/leben/frauen/hilfe/Ohne-Gewalt-leben.pdf","x")</f>
        <v>x</v>
      </c>
      <c r="CH67" s="112" t="str">
        <f>HYPERLINK("http://mifkjf.rlp.de/fileadmin/mifkjf/Frauen/Gewalt_gegen_Frauen/Downloads/Broschueren_Flyer/Flyer_Gewalt_englisch.pdf","x")</f>
        <v>x</v>
      </c>
      <c r="CI67" s="112" t="str">
        <f>HYPERLINK("https://www.hilfetelefon.de/fileadmin/hilfetelefon_de/Materialien/Flyer/Infoflyer_Hilfetelefon_Gewalt_gegen_Frauen141105_b2.pdf","x")</f>
        <v>x</v>
      </c>
      <c r="CJ67" s="112" t="str">
        <f>HYPERLINK("https://www.hilfetelefon.de/fileadmin/hilfetelefon_de/Materialien/weitere_werbemittel/Klappflyer_Vorder-_und_Rueckseite_opt2.pdf","x")</f>
        <v>x</v>
      </c>
      <c r="CK67" s="112" t="str">
        <f t="shared" si="9"/>
        <v>x</v>
      </c>
      <c r="CL67" s="112" t="str">
        <f>HYPERLINK("http://www.frauenberatungsstelle.de/pdf/Migrantinnen-beraten-Migrantinnen.pdf","x")</f>
        <v>x</v>
      </c>
      <c r="CM67" s="112" t="str">
        <f>HYPERLINK("http://www.frauenleben.org/spezielle_beratungsangebote/sexualisierte_gewalt.htm","x")</f>
        <v>x</v>
      </c>
      <c r="CN67" s="112"/>
      <c r="CO67" s="112"/>
      <c r="CP67" s="112" t="str">
        <f>HYPERLINK("http://www.schwanger-und-viele-fragen.de/en/","x")</f>
        <v>x</v>
      </c>
      <c r="CQ67" s="112"/>
      <c r="CR6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67" s="112" t="str">
        <f>HYPERLINK("http://en.beststart.org/for_parents/are-you-looking-resources-languages-other-english-and-french","x")</f>
        <v>x</v>
      </c>
      <c r="CT67" s="112"/>
      <c r="CU67" s="112" t="str">
        <f>HYPERLINK("http://www.profamilia.de/fileadmin/publikationen/Erwachsene/mehrsprachig/Bro_Verhuetung_engl_2013.pdf","x")</f>
        <v>x</v>
      </c>
      <c r="CV67" s="112" t="str">
        <f>HYPERLINK("http://www.profamilia.de/fileadmin/publikationen/Erwachsene/mehrsprachig/Bro_Pille_danach_Faltblatt_140122_RZ.pdf","x")</f>
        <v>x</v>
      </c>
      <c r="CW67" s="112" t="str">
        <f>HYPERLINK("http://www.profamilia.de/fileadmin/publikationen/Reihe_Verhuetungsmethoden/Einleger_englisch.pdf","x")</f>
        <v>x</v>
      </c>
      <c r="CX67" s="112" t="str">
        <f>HYPERLINK("http://www.profamilia.de/fileadmin/publikationen/Reihe_Koerper_und_Sexualtitaet/Schwangerschaftsabbruch_englisch_2010.pdf","x")</f>
        <v>x</v>
      </c>
      <c r="CY67" s="112" t="str">
        <f>HYPERLINK("http://www.caritas-schwarzwald-alb-donau.de/68854.html","x")</f>
        <v>x</v>
      </c>
      <c r="CZ67" s="112" t="str">
        <f>HYPERLINK("http://www.dgfpi.de/tl_files/download/medien/unwissen-macht-en.pdf","x")</f>
        <v>x</v>
      </c>
      <c r="DA67" s="112"/>
      <c r="DB67" s="112"/>
      <c r="DC67" s="115" t="str">
        <f>HYPERLINK("http://www.kindersicherheit.de/pdf/2013_BAG_Tomi_and_Mila_Deutsch_English.pdf","x")</f>
        <v>x</v>
      </c>
      <c r="DD67" s="112"/>
      <c r="DE67" s="112"/>
      <c r="DF67" s="112" t="str">
        <f t="shared" si="10"/>
        <v>x</v>
      </c>
      <c r="DG67" s="115" t="str">
        <f t="shared" si="11"/>
        <v>x</v>
      </c>
      <c r="DH67" s="112" t="str">
        <f t="shared" si="12"/>
        <v>x</v>
      </c>
      <c r="DI67" s="112" t="str">
        <f t="shared" si="13"/>
        <v>x</v>
      </c>
      <c r="DJ67" s="112"/>
      <c r="DK67" s="112"/>
      <c r="DL67" s="112"/>
      <c r="DM67" s="112"/>
      <c r="DN67" s="112"/>
      <c r="DO67" s="112" t="str">
        <f>HYPERLINK("http://www.wdrmaus.de/sachgeschichten/maus-international/","x")</f>
        <v>x</v>
      </c>
      <c r="DP67" s="111"/>
      <c r="DQ67" s="111"/>
      <c r="DR67" s="112" t="str">
        <f>HYPERLINK("https://broschueren.nordrheinwestfalendirekt.de/broschuerenservice/msw/eng-das-schulsystem-in-nordrhein-westfalen-einfach-und-schnell-erklaert/1902","x")</f>
        <v>x</v>
      </c>
      <c r="DS67" s="112" t="str">
        <f>HYPERLINK("http://bildung.koeln.de/materialbibliothek/download.php?idx=8e2a9f658e9fa830ce17dc18f0fb0268","x")</f>
        <v>x</v>
      </c>
      <c r="DT67" s="112" t="str">
        <f>HYPERLINK("http://bildung.koeln.de/materialbibliothek/download.php?idx=90aff7e7259385cadb46c517317f1446","x")</f>
        <v>x</v>
      </c>
      <c r="DU67" s="112"/>
      <c r="DV67" s="112" t="str">
        <f>HYPERLINK("https://www.bmbf.de/pub/Kausa_Elternbroschuere_englisch.pdf","x")</f>
        <v>x</v>
      </c>
      <c r="DW67" s="112"/>
      <c r="DX67" s="112" t="str">
        <f>HYPERLINK("http://www.wissenschaft.nrw.de/studium/informieren/informationen-fuer-fluechtlinge-die-in-nrw-studieren-moechten/","x")</f>
        <v>x</v>
      </c>
      <c r="DY67" s="112" t="str">
        <f>HYPERLINK("http://www.bamf.de/SharedDocs/Anlagen/DE/Publikationen/Flyer/AnerkennungBerufsabschluss/berufliche_anerkennung_akademische-heilberufe_en.pdf?__blob=publicationFile","x")</f>
        <v>x</v>
      </c>
      <c r="DZ67" s="112" t="str">
        <f>HYPERLINK("http://www.bamf.de/SharedDocs/Anlagen/EN/Publikationen/Flyer/AnerkennungBerufsabschluss/anerkennung-berufsabschluss.pdf?__blob=publicationFile","x")</f>
        <v>x</v>
      </c>
      <c r="EA67" s="112" t="str">
        <f>HYPERLINK("http://www.bamf.de/SharedDocs/Anlagen/EN/Publikationen/Flyer/AnerkennungBerufsabschluss/anerkennung-berufsabschluss_ausland.pdf?__blob=publicationFile","x")</f>
        <v>x</v>
      </c>
      <c r="EB67" s="112" t="str">
        <f>HYPERLINK("http://www.bamf.de/SharedDocs/Anlagen/EN/Publikationen/Broschueren/willkommen-in-deutschland-info-blaue-karte-eu_en.pdf?__blob=publicationFile","x")</f>
        <v>x</v>
      </c>
      <c r="EC67" s="112" t="str">
        <f>HYPERLINK("http://www.bamf.de/SharedDocs/Anlagen/EN/Publikationen/Flyer/Berufsbezsprachf-ESF-BAMF/berufsbezsprachf-esf-bamf.pdf?__blob=publicationFile","x")</f>
        <v>x</v>
      </c>
      <c r="ED67" s="111"/>
      <c r="EE67" s="111"/>
      <c r="EF67" s="111"/>
      <c r="EG67" s="111"/>
      <c r="EH67" s="111"/>
      <c r="EI67" s="111"/>
      <c r="EJ67" s="112"/>
      <c r="EK67" s="112" t="str">
        <f>HYPERLINK("http://fluechtlingsrat-bw.de/files/Dateien/Dokumente/Materialbestellung/2014-12-flyer%20arbeitserlaubnis%20EN%20WEB.pdf","x")</f>
        <v>x</v>
      </c>
      <c r="EL67" s="112" t="str">
        <f>HYPERLINK("http://www.aponet.de/englisch/20151019-fuer-den-notfall-wichtige-rufnummern-im-ueberblick.html","x")</f>
        <v>x</v>
      </c>
      <c r="EM67" s="112" t="str">
        <f>HYPERLINK("http://www.kvs-sachsen.de/fileadmin/img/Mitglieder/Asylbewerber/Allg-Informationen/Anlage_1_Englisch_LEK.pdf","x")</f>
        <v>x</v>
      </c>
      <c r="EN67" s="112" t="str">
        <f>HYPERLINK("http://www.medizin-hilft-fluechtlingen.de/images/Dokumente/gSch/gSch_eng.pdf","x")</f>
        <v>x</v>
      </c>
      <c r="EO67" s="112" t="str">
        <f>HYPERLINK("http://www.aponet.de/englisch/medical-care-for-asylum-seekers.html","x")</f>
        <v>x</v>
      </c>
      <c r="EP67" s="117" t="str">
        <f>HYPERLINK("http://www.medi-bild.de/pdf/anamnese/Welche_Sprache.pdf","x")</f>
        <v>x</v>
      </c>
      <c r="EQ67" s="117" t="str">
        <f>HYPERLINK("http://www.armut-gesundheit.de/fileadmin/redakteur/dokumente/Anamnesebogen%20-%20englischnew.pdf","x")</f>
        <v>x</v>
      </c>
      <c r="ER67" s="112" t="str">
        <f>HYPERLINK("http://www.kvs-sachsen.de/fileadmin/img/Mitglieder/Asylbewerber/Allg-Informationen/Anlagen_2-1_2-2_Englisch_LEK.pdf","x")</f>
        <v>x</v>
      </c>
      <c r="ES67" s="111"/>
      <c r="ET67" s="111"/>
      <c r="EU67" s="112" t="str">
        <f>HYPERLINK("http://www.medizin-hilft-fluechtlingen.de/images/Dokumente/ein/ein_engl.pdf","x")</f>
        <v>x</v>
      </c>
      <c r="EV67" s="112" t="str">
        <f>HYPERLINK("http://www.adler-apotheke-hh.de/fileadmin/user_upload/PDF-Dateien/Dosierzettel_mehrsprachig_AUF_0_.pdf","x")</f>
        <v>x</v>
      </c>
      <c r="EW67" s="112" t="str">
        <f t="shared" si="14"/>
        <v>x</v>
      </c>
      <c r="EX67" s="112" t="str">
        <f>HYPERLINK("http://www.rki.de/DE/Content/Infekt/IfSG/Belehrungsbogen/belehrungsbogen_eltern_englisch.pdf?__blob=publicationFile","x")</f>
        <v>x</v>
      </c>
      <c r="EY67" s="112" t="str">
        <f>HYPERLINK("http://www.bzga.de/infomaterialien/?sid=236","x")</f>
        <v>x</v>
      </c>
      <c r="EZ67" s="112" t="str">
        <f>HYPERLINK("https://www.mh-hannover.de/fileadmin/mhh/bilder/aktuelles_presse/pressestelle/bilder/Pilzvergif_English.pdf","x")</f>
        <v>x</v>
      </c>
      <c r="FA67" s="112"/>
      <c r="FB67" s="112" t="str">
        <f>HYPERLINK("http://static.apotheken-umschau.de/media/gp/article_506373/bildwoerterbuch.pdf","x")</f>
        <v>x</v>
      </c>
      <c r="FC67" s="112" t="str">
        <f>HYPERLINK("https://www.studentenwerke.de/sites/default/files/gesundheitswoerterbuch.pdf","x")</f>
        <v>x</v>
      </c>
      <c r="FD67" s="112" t="str">
        <f t="shared" si="15"/>
        <v>x</v>
      </c>
      <c r="FE67" s="112" t="str">
        <f t="shared" si="21"/>
        <v>x</v>
      </c>
      <c r="FF67" s="112" t="str">
        <f>HYPERLINK("http://www.fuhlenhagen.com/pdf_dateien/uebertzungshilfe_aerzte_mehrsprachig.pdf","x")</f>
        <v>x</v>
      </c>
      <c r="FG67" s="112" t="str">
        <f>HYPERLINK("http://www.tipdoc.de/grafik/asyl/Gesundheitsheft_Asyl.pdf","x")</f>
        <v>x</v>
      </c>
      <c r="FH67" s="111"/>
      <c r="FI67" s="111"/>
      <c r="FJ67" s="112" t="str">
        <f>HYPERLINK("http://www.bundesgesundheitsministerium.de/fileadmin/dateien/Publikationen/Gesundheit/Broschueren/Ratgeber_Asylsuchende/Ratgeber_Asylsuchende_engl.pdf","x")</f>
        <v>x</v>
      </c>
      <c r="FK67" s="112" t="str">
        <f>HYPERLINK("http://www.rki.de/DE/Content/Infekt/Impfen/Materialien/Downloads-Impfkalender/Impfkalender_Englisch.pdf?__blob=publicationFile","x")</f>
        <v>x</v>
      </c>
      <c r="FL67" s="112" t="str">
        <f>HYPERLINK("http://www.ethno-medizinisches-zentrum.de/images/PDF-Files/impfwegweiser_englisch_2013_online.pdf","x")</f>
        <v>x</v>
      </c>
      <c r="FM67" s="112"/>
      <c r="FN67" s="112" t="str">
        <f>HYPERLINK("http://www.rki.de/DE/Content/Infekt/Impfen/Materialien/Glossar-Downloads/glossar-de-englisch.pdf?__blob=publicationFile","x")</f>
        <v>x</v>
      </c>
      <c r="FO67" s="112" t="str">
        <f>HYPERLINK("http://www.euro.who.int/__data/assets/pdf_file/0005/160754/VPDs_Signs-symptoms-complications.pdf?ua=1","x")</f>
        <v>x</v>
      </c>
      <c r="FP67" s="112" t="str">
        <f>HYPERLINK("http://www.rki.de/DE/Content/Infekt/Impfen/Materialien/Downloads-MMR/MMR-Impfinfo-englisch.pdf?__blob=publicationFile","x")</f>
        <v>x</v>
      </c>
      <c r="FQ67" s="112" t="str">
        <f>HYPERLINK("http://www.rki.de/DE/Content/InfAZ/P/Polio/Ausbruch_Syrien/Informationsblatt_Polio_Englisch.pdf?__blob=publicationFile","x")</f>
        <v>x</v>
      </c>
      <c r="FR67" s="112" t="str">
        <f>HYPERLINK("http://www.rki.de/DE/Content/Infekt/Impfen/Materialien/Downloads_HepA/Aufklaerung_HAV-Impfung_Englisch.pdf?__blob=publicationFile","x")</f>
        <v>x</v>
      </c>
      <c r="FS67" s="112" t="str">
        <f>HYPERLINK("http://www.rki.de/DE/Content/Infekt/Impfen/Materialien/Downloads_Pneumokokken/Aufklaerung_Pneumo-Impfung_Englisch.pdf?__blob=publicationFile","x")</f>
        <v>x</v>
      </c>
      <c r="FT67" s="112" t="str">
        <f>HYPERLINK("http://www.rki.de/DE/Content/Infekt/Impfen/Materialien/Downloads-DTaPIPVHibHepB/DTaPIPVHibHepB-englisch.pdf?__blob=publicationFile","x")</f>
        <v>x</v>
      </c>
      <c r="FU67" s="112" t="str">
        <f>HYPERLINK("http://www.rki.de/DE/Content/Infekt/Impfen/Materialien/Downloads-Varizellen/Varizellen-Impfinfo-englisch.pdf;jsessionid=65B697F4EE7EDA8A1ED9E2C4CD6C74EC.2_cid363?__blob=publicationFile","x")</f>
        <v>x</v>
      </c>
      <c r="FV67" s="112" t="str">
        <f>HYPERLINK("http://www.rki.de/DE/Content/Infekt/Impfen/Materialien/Downloads-Tdap-IPV/Tdap-IPV-englisch.pdf?__blob=publicationFile","x")</f>
        <v>x</v>
      </c>
      <c r="FW67" s="112" t="str">
        <f>HYPERLINK("http://www.rki.de/DE/Content/Infekt/Impfen/Materialien/Downloads-Influenza_nasal/Influenza_nasal-englisch.pdf?__blob=publicationFile","x")</f>
        <v>x</v>
      </c>
      <c r="FX67" s="111"/>
      <c r="FY67" s="112"/>
      <c r="FZ67" s="112"/>
      <c r="GA67" s="111"/>
      <c r="GB67" s="111"/>
      <c r="GC67" s="111"/>
      <c r="GD67" s="112" t="str">
        <f>HYPERLINK("http://www.ethno-medizinisches-zentrum.de/images/PDF-Files/lf_diabete_englisch.pdf","x")</f>
        <v>x</v>
      </c>
      <c r="GE67" s="111"/>
      <c r="GF67" s="111"/>
      <c r="GG67" s="111"/>
      <c r="GH67" s="112"/>
      <c r="GI67" s="111"/>
      <c r="GJ67" s="111"/>
      <c r="GK67" s="112" t="str">
        <f>HYPERLINK("http://www.tipdoc.de/bus/pdf/hiv/HIV%20ESP_Webseite.pdf","x")</f>
        <v>x</v>
      </c>
      <c r="GL67" s="111"/>
      <c r="GM67" s="112" t="str">
        <f>HYPERLINK("http://www.rki.de/DE/Content/Infekt/Impfen/Materialien/Downloads-Influenza/Influenza-englisch.pdf?__blob=publicationFile","x")</f>
        <v>x</v>
      </c>
      <c r="GN67" s="111"/>
      <c r="GO67" s="112" t="str">
        <f>HYPERLINK("http://www.aponet.de/englisch/20151111-so-unterscheiden-sich-grippe-und-erkaeltung.html","x")</f>
        <v>x</v>
      </c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2" t="str">
        <f t="shared" si="16"/>
        <v>x</v>
      </c>
      <c r="HD67" s="112" t="str">
        <f>HYPERLINK("https://www.zahnaerzte-wl.de/images/_PDF-suche/KZV_ZÄK/ENDSTAND_Ankreuzbogen_Ich_verstehe.pdf","x")</f>
        <v>x</v>
      </c>
      <c r="HE67" s="112" t="str">
        <f>HYPERLINK("https://www.zahnaerzte-wl.de/images/_PDF-suche/KZV_ZÄK/Anschreiben_Patienten_englisch.pdf","x")</f>
        <v>x</v>
      </c>
      <c r="HF67" s="112" t="str">
        <f>HYPERLINK("https://www.zahnaerzte-wl.de/images/_PDF-suche/KZV_ZÄK/Fragebogen_englisch.pdf","x")</f>
        <v>x</v>
      </c>
      <c r="HG67" s="112" t="str">
        <f>HYPERLINK("https://www.zahnaerzte-wl.de/images/_PDF-suche/KZV_ZÄK/Patientenerhebungsbogen_englisch.pdf","x")</f>
        <v>x</v>
      </c>
      <c r="HH67" s="112"/>
      <c r="HI67" s="112" t="str">
        <f>HYPERLINK("http://www.bvkm.de/fileadmin/web_data/Behinderung_und_Migration_englisch_2014.pdf","x")</f>
        <v>x</v>
      </c>
      <c r="HJ67" s="112"/>
      <c r="HK67" s="112" t="str">
        <f>HYPERLINK("http://www.psychenet.de/en/mental-health/knowledge/depression.html","x")</f>
        <v>x</v>
      </c>
      <c r="HL67" s="111"/>
      <c r="HM67" s="112" t="str">
        <f>HYPERLINK("http://www.psychenet.de/en/mental-health/knowledge/psychoses.html","x")</f>
        <v>x</v>
      </c>
      <c r="HN67" s="112" t="str">
        <f>HYPERLINK("http://www.psychenet.de/en/mental-health/knowledge/somatoform-disorders.html","x")</f>
        <v>x</v>
      </c>
      <c r="HO67" s="112" t="str">
        <f>HYPERLINK("http://www.psychenet.de/en/mental-health/knowledge/anorexia.html","x")</f>
        <v>x</v>
      </c>
      <c r="HP67" s="112" t="str">
        <f>HYPERLINK("http://www.psychenet.de/en/mental-health/knowledge/bulimia.html","x")</f>
        <v>x</v>
      </c>
      <c r="HQ67" s="112" t="str">
        <f>HYPERLINK("http://www.psychenet.de/en/mental-health/knowledge/bipolar-disorder.html","x")</f>
        <v>x</v>
      </c>
      <c r="HR67" s="112" t="str">
        <f>HYPERLINK("http://www.psychenet.de/en/mental-health/knowledge/panic-and-agoraphobia.html","x")</f>
        <v>x</v>
      </c>
      <c r="HS67" s="112" t="str">
        <f>HYPERLINK("http://www.psychenet.de/en/mental-health/knowledge/social-phobia.html","x")</f>
        <v>x</v>
      </c>
      <c r="HT67" s="112" t="str">
        <f>HYPERLINK("http://www.psychenet.de/en/mental-health/knowledge/generalized-anxiety-disorder.html","x")</f>
        <v>x</v>
      </c>
      <c r="HU67" s="112"/>
      <c r="HV67" s="112" t="str">
        <f>HYPERLINK("http://www.psychenet.de/en/mental-health/knowledge/information-and-support.html","x")</f>
        <v>x</v>
      </c>
      <c r="HW67" s="112"/>
      <c r="HX67" s="112" t="str">
        <f>HYPERLINK("http://www.bkk-psychisch-gesund.de/fileadmin/user_upload/Dokumente/Versicherte/Broschueren/Wegweiser_Psychotherapie_englisch.pdf","x")</f>
        <v>x</v>
      </c>
      <c r="HY67" s="112" t="str">
        <f t="shared" si="17"/>
        <v>x</v>
      </c>
      <c r="HZ67" s="112" t="str">
        <f t="shared" si="18"/>
        <v>x</v>
      </c>
      <c r="IA67" s="112" t="str">
        <f>HYPERLINK("http://peacefulheart.se/wp-content/uploads/2012/02/TTT_English_2013.pdf","x")</f>
        <v>x</v>
      </c>
      <c r="IB67" s="112"/>
      <c r="IC67" s="112"/>
      <c r="ID67" s="112" t="str">
        <f>HYPERLINK("http://www.susannestein.de/VIA-online/trauma-picture-book.pdf","x")</f>
        <v>x</v>
      </c>
      <c r="IE67" s="112" t="str">
        <f>HYPERLINK("http://www.psychenet.de/en/mental-health/knowledge/alcohol-in-adolescence.html","x")</f>
        <v>x</v>
      </c>
      <c r="IF67" s="112"/>
      <c r="IG67" s="112"/>
      <c r="IH67" s="111"/>
      <c r="II67" s="112" t="str">
        <f>HYPERLINK("http://www.caritas.de/hilfeundberatung/onlineberatung/suchtberatung/haeufiggestelltefragensucht/haeufiggestelltefragen-sucht","x")</f>
        <v>x</v>
      </c>
      <c r="IJ67" s="112" t="str">
        <f>HYPERLINK("http://www.dhs.de/fileadmin/user_upload/pdf/Broschueren/Ein_Angebot_an_alle-Englisch.pdf","x")</f>
        <v>x</v>
      </c>
      <c r="IK67" s="112" t="str">
        <f>HYPERLINK("http://www.bamf.de/SharedDocs/Anlagen/EN/Publikationen/Flyer/Lassen-Sie-Sich-Beraten/lassen-sie-sich-beraten.pdf?__blob=publicationFile","x")</f>
        <v>x</v>
      </c>
      <c r="IL67" s="115" t="str">
        <f>HYPERLINK("http://www.bamf.de/SharedDocs/Anlagen/EN/Publikationen/Flyer/flyer-erstorientierung-asylsuchende.pdf?__blob=publicationFile","x")</f>
        <v>x</v>
      </c>
      <c r="IM67" s="112" t="str">
        <f>HYPERLINK("http://www.frnrw.de/index.php/inhaltliche-themen/arbeitshilfen/item/3710-erstinfos-fuer-asylsuchende","x")</f>
        <v>x</v>
      </c>
      <c r="IN67" s="112" t="str">
        <f>HYPERLINK("http://www.bamf.de/SharedDocs/Anlagen/EN/Publikationen/Broschueren/willkommen-in-deutschland.pdf;jsessionid=2D72CB108E4AC02BBB9659E7D9A589B2.1_cid368?__blob=publicationFile","x")</f>
        <v>x</v>
      </c>
      <c r="IO67" s="112"/>
      <c r="IP67" s="112"/>
      <c r="IQ67" s="112" t="str">
        <f>HYPERLINK("http://www.bamf.de/SharedDocs/Anlagen/EN/Publikationen/Flyer/Lernen-Sie-Deutsch/lernen-sie-deutsch.pdf?__blob=publicationFile","x")</f>
        <v>x</v>
      </c>
      <c r="IR67" s="112" t="str">
        <f>HYPERLINK("http://www.asyl.net/fileadmin/user_upload/redaktion/Dokumente/Arbeitshilfen/150910_Wie_l%C3%A4uft_ein_Asylverfahren_ab_%C3%9Cberblickstext_Englisch.pdf","x")</f>
        <v>x</v>
      </c>
      <c r="IS67" s="111"/>
      <c r="IT67" s="112" t="str">
        <f>HYPERLINK("http://www.bamf.de/SharedDocs/Anlagen/EN/Publikationen/Flyer/ablauf-asylverfahren.pdf;jsessionid=DBD4307960D761935FCC3E0325D459A1.1_cid294?__blob=publicationFile","x")</f>
        <v>x</v>
      </c>
      <c r="IU67" s="111"/>
      <c r="IV67" s="112" t="str">
        <f>HYPERLINK("http://www.asyl.net/fileadmin/user_upload/infoblatt_anhoerung/Infoblatt_2015_en_fin.pdf","x")</f>
        <v>x</v>
      </c>
      <c r="IW67" s="112"/>
      <c r="IX67" s="112" t="str">
        <f>HYPERLINK("http://www.berlin.de/labo/willkommen-in-berlin/service/downloads/artikel.273193.php","x")</f>
        <v>x</v>
      </c>
      <c r="IY67" s="112" t="str">
        <f>HYPERLINK("http://www.bamf.de/SharedDocs/Anlagen/EN/Publikationen/Broschueren/broschuere-eat-a4.pdf?__blob=publicationFile","x")</f>
        <v>x</v>
      </c>
      <c r="IZ67" s="111"/>
      <c r="JA67" s="112" t="str">
        <f>HYPERLINK("http://fluechtlingsrat-bw.de/informationen-fuer-fluechtlinge.html","x")</f>
        <v>x</v>
      </c>
      <c r="JB67" s="111"/>
      <c r="JC67" s="112" t="str">
        <f>HYPERLINK("http://www.bamf.de/SharedDocs/Anlagen/EN/Publikationen/Flyer/20150223_ura2_en.pdf?__blob=publicationFile","x")</f>
        <v>x</v>
      </c>
      <c r="JD67" s="111"/>
      <c r="JE67" s="112"/>
      <c r="JF67" s="112"/>
      <c r="JG67" s="112" t="str">
        <f>HYPERLINK("http://www.bamf.de/SharedDocs/Anlagen/EN/Publikationen/Flyer/Ehegattennachzug/ehegattennachzug.pdf?__blob=publicationFile","x")</f>
        <v>x</v>
      </c>
      <c r="JH67" s="112" t="str">
        <f>HYPERLINK("https://familyreunion-syria.diplo.de/webportal/index.html#start","x")</f>
        <v>x</v>
      </c>
      <c r="JI67" s="112" t="str">
        <f>HYPERLINK("http://ec.europa.eu/dgs/home-affairs/what-we-do/networks/european_migration_network/docs/emn-glossary-en-version.pdf","x")</f>
        <v>x</v>
      </c>
      <c r="JJ67" s="112"/>
      <c r="JK67" s="112" t="str">
        <f>HYPERLINK("https://www.arbeitsagentur.de/web/wcm/idc/groups/public/documents/webdatei/mdaw/mjgz/~edisp/l6019022dstbai784628.pdf?_ba.sid=L6019022DSTBAI784625","x")</f>
        <v>x</v>
      </c>
      <c r="JL67" s="112" t="str">
        <f>HYPERLINK("http://www.kub-berlin.org/formularprojekt/de/englisch-antraege-und-anlagen-uebersetzungshilfen/","x")</f>
        <v>x</v>
      </c>
      <c r="JM67" s="112" t="str">
        <f>HYPERLINK("https://www.arbeitsagentur.de/web/content/DE/Formulare/Detail/index.htm?dfContentId=L6019022DSTBAI485740","x")</f>
        <v>x</v>
      </c>
      <c r="JN67" s="112"/>
      <c r="JO67" s="112"/>
      <c r="JP67" s="112"/>
      <c r="JQ67" s="112"/>
      <c r="JR67" s="112" t="str">
        <f>HYPERLINK("http://www.ibla-germany.de/merkblaetter.php","x")</f>
        <v>x</v>
      </c>
      <c r="JS67" s="112"/>
      <c r="JT67" s="112" t="str">
        <f>HYPERLINK("http://www.b-umf.de/images/willkommen/willkommensbroschureenglisch-web.pdf","x")</f>
        <v>x</v>
      </c>
      <c r="JU67" s="111"/>
      <c r="JV67" s="111"/>
      <c r="JW67" s="112"/>
      <c r="JX67" s="112" t="str">
        <f>HYPERLINK("https://www.arbeitsagentur.de/web/wcm/idc/groups/public/documents/webdatei/mdaw/mjgz/~edisp/l6019022dstbai784636.pdf?_ba.sid=L6019022DSTBAI784633","x")</f>
        <v>x</v>
      </c>
      <c r="JY67" s="112"/>
      <c r="JZ67" s="112"/>
      <c r="KA67" s="112"/>
      <c r="KB67" s="112" t="str">
        <f>HYPERLINK("http://www.refugeeguide.de/dl/RefugeeGuide_en_925.pdf","x")</f>
        <v>x</v>
      </c>
      <c r="KC67" s="112" t="str">
        <f>HYPERLINK("http://www.gesetze-im-internet.de/englisch_gg/basic_law_for_the_federal_republic_of_germany.pdf","x")</f>
        <v>x</v>
      </c>
      <c r="KD67" s="112" t="str">
        <f>HYPERLINK("http://www.wedel.de/fileadmin/user_upload/media/pdf/Rathaus_und_Politik/20160118_PM_Broschuere.pdf","x")</f>
        <v>x</v>
      </c>
      <c r="KE67" s="112" t="str">
        <f>HYPERLINK("http://www.frauenrechte.de/online/images/downloads/allgemein/TDF_Flyer_Women_Men.pdf","x")</f>
        <v>x</v>
      </c>
      <c r="KF67" s="112" t="str">
        <f>HYPERLINK("http://sab.landtag.sachsen.de/dokumente/landtagskurier/Grundwerte-A5-international_web_08012016.pdf","x")</f>
        <v>x</v>
      </c>
      <c r="KG67" s="112"/>
      <c r="KH67" s="112"/>
      <c r="KI67" s="112"/>
      <c r="KJ67" s="112"/>
      <c r="KK67" s="112"/>
      <c r="KL67" s="112"/>
      <c r="KM67" s="112"/>
      <c r="KN67" s="112"/>
      <c r="KO67" s="112"/>
      <c r="KP67" s="112"/>
      <c r="KQ67" s="112"/>
      <c r="KR67" s="112"/>
      <c r="KS67" s="112"/>
      <c r="KT67" s="112"/>
      <c r="KU67" s="112"/>
      <c r="KV67" s="112"/>
      <c r="KW67" s="112"/>
      <c r="KX67" s="112"/>
      <c r="KY67" s="112"/>
      <c r="KZ67" s="112"/>
      <c r="LA67" s="112"/>
      <c r="LB67" s="112"/>
      <c r="LC67" s="111"/>
      <c r="LD67" s="112"/>
      <c r="LE67" s="112"/>
      <c r="LF67" s="112"/>
      <c r="LG67" s="112"/>
      <c r="LH67" s="112"/>
      <c r="LI67" s="112"/>
      <c r="LJ67" s="112"/>
      <c r="LK67" s="112"/>
      <c r="LL67" s="112"/>
      <c r="LM67" s="112"/>
      <c r="LN67" s="112"/>
      <c r="LO67" s="112"/>
      <c r="LP67" s="112"/>
      <c r="LQ67" s="112"/>
      <c r="LR67" s="112"/>
      <c r="LS67" s="112"/>
      <c r="LT67" s="112"/>
      <c r="LU67" s="112"/>
      <c r="LV67" s="112"/>
      <c r="LW67" s="112"/>
      <c r="LX67" s="112"/>
      <c r="LY67" s="112"/>
      <c r="LZ67" s="112"/>
      <c r="MA67" s="112"/>
      <c r="MB67" s="112"/>
      <c r="MC67" s="111"/>
      <c r="MD67" s="112" t="str">
        <f>HYPERLINK("http://www.rki.de/DE/Content/Infekt/IfSG/Belehrungsbogen/belehrungsbogen_lebensmittel_englisch.pdf?__blob=publicationFile","x")</f>
        <v>x</v>
      </c>
      <c r="ME67" s="112"/>
      <c r="MF67" s="112" t="str">
        <f>HYPERLINK("http://www.gdv.de/wp-content/uploads/2016/01/Information_Brandschutz_Fluechtlingsheim_-Sicherheit_mehrsprachig.pdf","x")</f>
        <v>x</v>
      </c>
      <c r="MG67" s="112" t="str">
        <f>HYPERLINK("http://www.gdv.de/wp-content/uploads/2016/01/Information_Verhalten-im-Brandfall_mehrsprachig.pdf","x")</f>
        <v>x</v>
      </c>
      <c r="MH67" s="112" t="str">
        <f>HYPERLINK("http://www.aha-region.de/fileadmin/Download/pdf/aha_Plakat_Muelltrennung_en.pdf","x")</f>
        <v>x</v>
      </c>
      <c r="MI67" s="112" t="str">
        <f>HYPERLINK("http://www.kindersicherheit.de/pdf/2012_poster_achtunggiftig_8sprachig.pdf","x")</f>
        <v>x</v>
      </c>
    </row>
    <row r="68" spans="1:347" x14ac:dyDescent="0.25">
      <c r="A68" s="102" t="s">
        <v>83</v>
      </c>
      <c r="B68" s="127" t="s">
        <v>487</v>
      </c>
      <c r="C68" s="102"/>
      <c r="D68" s="102"/>
      <c r="E68" s="102"/>
      <c r="F68" s="102"/>
      <c r="G68" s="102"/>
      <c r="H68" s="102"/>
      <c r="I68" s="102"/>
      <c r="J68" s="102"/>
      <c r="K68" s="103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2"/>
      <c r="AP68" s="112"/>
      <c r="AQ68" s="112"/>
      <c r="AR68" s="112"/>
      <c r="AS68" s="112"/>
      <c r="AT68" s="112"/>
      <c r="AU68" s="112"/>
      <c r="AV68" s="113"/>
      <c r="AW68" s="114" t="str">
        <f t="shared" si="0"/>
        <v>x</v>
      </c>
      <c r="AX68" s="114" t="str">
        <f t="shared" si="1"/>
        <v>x</v>
      </c>
      <c r="AY68" s="111"/>
      <c r="AZ68" s="111"/>
      <c r="BA68" s="112" t="str">
        <f t="shared" si="2"/>
        <v>x</v>
      </c>
      <c r="BB68" s="112" t="str">
        <f t="shared" si="3"/>
        <v>x</v>
      </c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2" t="str">
        <f t="shared" si="4"/>
        <v>x</v>
      </c>
      <c r="BT68" s="112"/>
      <c r="BU68" s="111"/>
      <c r="BV68" s="112" t="str">
        <f t="shared" si="5"/>
        <v>x</v>
      </c>
      <c r="BW68" s="112"/>
      <c r="BX68" s="112"/>
      <c r="BY68" s="112"/>
      <c r="BZ68" s="112"/>
      <c r="CA68" s="112" t="str">
        <f t="shared" si="6"/>
        <v>x</v>
      </c>
      <c r="CB68" s="112" t="str">
        <f t="shared" si="7"/>
        <v>x</v>
      </c>
      <c r="CC68" s="112" t="str">
        <f t="shared" si="8"/>
        <v>x</v>
      </c>
      <c r="CD68" s="112"/>
      <c r="CE68" s="112"/>
      <c r="CF68" s="111"/>
      <c r="CG68" s="111"/>
      <c r="CH68" s="111"/>
      <c r="CI68" s="111"/>
      <c r="CJ68" s="112"/>
      <c r="CK68" s="112" t="str">
        <f t="shared" si="9"/>
        <v>x</v>
      </c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5"/>
      <c r="DD68" s="112"/>
      <c r="DE68" s="112"/>
      <c r="DF68" s="112" t="str">
        <f t="shared" si="10"/>
        <v>x</v>
      </c>
      <c r="DG68" s="115" t="str">
        <f t="shared" si="11"/>
        <v>x</v>
      </c>
      <c r="DH68" s="112" t="str">
        <f t="shared" si="12"/>
        <v>x</v>
      </c>
      <c r="DI68" s="112" t="str">
        <f t="shared" si="13"/>
        <v>x</v>
      </c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2"/>
      <c r="DV68" s="111"/>
      <c r="DW68" s="111"/>
      <c r="DX68" s="111"/>
      <c r="DY68" s="111"/>
      <c r="DZ68" s="111"/>
      <c r="EA68" s="111"/>
      <c r="EB68" s="112"/>
      <c r="EC68" s="112"/>
      <c r="ED68" s="111"/>
      <c r="EE68" s="111"/>
      <c r="EF68" s="111"/>
      <c r="EG68" s="111"/>
      <c r="EH68" s="111"/>
      <c r="EI68" s="111"/>
      <c r="EJ68" s="112"/>
      <c r="EK68" s="112"/>
      <c r="EL68" s="111"/>
      <c r="EM68" s="112" t="str">
        <f>HYPERLINK("http://www.kvs-sachsen.de/fileadmin/img/Mitglieder/Asylbewerber/Allg-Informationen/Anlage_1_Georgisch_LEK.pdf","x")</f>
        <v>x</v>
      </c>
      <c r="EN68" s="112"/>
      <c r="EO68" s="111"/>
      <c r="EP68" s="117"/>
      <c r="EQ68" s="118"/>
      <c r="ER68" s="112" t="str">
        <f>HYPERLINK("http://www.kvs-sachsen.de/fileadmin/img/Mitglieder/Asylbewerber/Allg-Informationen/Anlagen_2-1_2-2_Georgisch_LEK.pdf","x")</f>
        <v>x</v>
      </c>
      <c r="ES68" s="111"/>
      <c r="ET68" s="111"/>
      <c r="EU68" s="111"/>
      <c r="EV68" s="111"/>
      <c r="EW68" s="112" t="str">
        <f t="shared" si="14"/>
        <v>x</v>
      </c>
      <c r="EX68" s="111"/>
      <c r="EY68" s="111"/>
      <c r="EZ68" s="111"/>
      <c r="FA68" s="111"/>
      <c r="FB68" s="111"/>
      <c r="FC68" s="111"/>
      <c r="FD68" s="112" t="str">
        <f t="shared" si="15"/>
        <v>x</v>
      </c>
      <c r="FE68" s="112"/>
      <c r="FF68" s="111"/>
      <c r="FG68" s="111"/>
      <c r="FH68" s="111"/>
      <c r="FI68" s="111"/>
      <c r="FJ68" s="112"/>
      <c r="FK68" s="112"/>
      <c r="FL68" s="111"/>
      <c r="FM68" s="111"/>
      <c r="FN68" s="112"/>
      <c r="FO68" s="112"/>
      <c r="FP68" s="112"/>
      <c r="FQ68" s="111"/>
      <c r="FR68" s="112"/>
      <c r="FS68" s="112"/>
      <c r="FT68" s="112"/>
      <c r="FU68" s="112"/>
      <c r="FV68" s="112"/>
      <c r="FW68" s="112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2"/>
      <c r="GI68" s="111"/>
      <c r="GJ68" s="111"/>
      <c r="GK68" s="111"/>
      <c r="GL68" s="111"/>
      <c r="GM68" s="112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2" t="str">
        <f t="shared" si="16"/>
        <v>x</v>
      </c>
      <c r="HD68" s="111"/>
      <c r="HE68" s="111"/>
      <c r="HF68" s="111"/>
      <c r="HG68" s="111"/>
      <c r="HH68" s="111"/>
      <c r="HI68" s="111"/>
      <c r="HJ68" s="111"/>
      <c r="HK68" s="112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2" t="str">
        <f t="shared" si="17"/>
        <v>x</v>
      </c>
      <c r="HZ68" s="112" t="str">
        <f t="shared" si="18"/>
        <v>x</v>
      </c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2"/>
      <c r="IL68" s="111"/>
      <c r="IM68" s="111"/>
      <c r="IN68" s="111"/>
      <c r="IO68" s="111"/>
      <c r="IP68" s="111"/>
      <c r="IQ68" s="112"/>
      <c r="IR68" s="112"/>
      <c r="IS68" s="111"/>
      <c r="IT68" s="111"/>
      <c r="IU68" s="111"/>
      <c r="IV68" s="112"/>
      <c r="IW68" s="112"/>
      <c r="IX68" s="112"/>
      <c r="IY68" s="112"/>
      <c r="IZ68" s="111"/>
      <c r="JA68" s="111"/>
      <c r="JB68" s="111"/>
      <c r="JC68" s="112"/>
      <c r="JD68" s="111"/>
      <c r="JE68" s="112"/>
      <c r="JF68" s="112"/>
      <c r="JG68" s="112"/>
      <c r="JH68" s="112"/>
      <c r="JI68" s="111"/>
      <c r="JJ68" s="112"/>
      <c r="JK68" s="112"/>
      <c r="JL68" s="112"/>
      <c r="JM68" s="112"/>
      <c r="JN68" s="112"/>
      <c r="JO68" s="112"/>
      <c r="JP68" s="112"/>
      <c r="JQ68" s="112"/>
      <c r="JR68" s="112"/>
      <c r="JS68" s="112"/>
      <c r="JT68" s="112"/>
      <c r="JU68" s="111"/>
      <c r="JV68" s="111"/>
      <c r="JW68" s="112"/>
      <c r="JX68" s="112"/>
      <c r="JY68" s="111"/>
      <c r="JZ68" s="111"/>
      <c r="KA68" s="111"/>
      <c r="KB68" s="111"/>
      <c r="KC68" s="111"/>
      <c r="KD68" s="111"/>
      <c r="KE68" s="111"/>
      <c r="KF68" s="112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  <c r="MI68" s="111"/>
    </row>
    <row r="69" spans="1:347" x14ac:dyDescent="0.25">
      <c r="A69" s="102" t="s">
        <v>83</v>
      </c>
      <c r="B69" s="127" t="s">
        <v>7</v>
      </c>
      <c r="C69" s="102"/>
      <c r="D69" s="102"/>
      <c r="E69" s="102"/>
      <c r="F69" s="102"/>
      <c r="G69" s="102"/>
      <c r="H69" s="102"/>
      <c r="I69" s="102"/>
      <c r="J69" s="102"/>
      <c r="K69" s="103"/>
      <c r="L69" s="111"/>
      <c r="M69" s="111"/>
      <c r="N69" s="112" t="str">
        <f>HYPERLINK("http://www.ag-fluechtlingshilfe-wetterau.de/uploads/infos/170.pdf","x")</f>
        <v>x</v>
      </c>
      <c r="O69" s="112"/>
      <c r="P69" s="112" t="str">
        <f>HYPERLINK("https://willkommensteamelmshorn.files.wordpress.com/2015/11/sortieranleitung_pinneberg_2015_russisch.pdf","x")</f>
        <v>x</v>
      </c>
      <c r="Q69" s="112"/>
      <c r="R69" s="112"/>
      <c r="S69" s="112"/>
      <c r="T69" s="112"/>
      <c r="U69" s="112"/>
      <c r="V69" s="112"/>
      <c r="W69" s="111"/>
      <c r="X69" s="112"/>
      <c r="Y69" s="111"/>
      <c r="Z69" s="111"/>
      <c r="AA69" s="111"/>
      <c r="AB69" s="111"/>
      <c r="AC69" s="111"/>
      <c r="AD69" s="112" t="str">
        <f>HYPERLINK("http://www.rundfunkbeitrag.de/e175/e1634/Informationsflyer_Buerginnen_und_Buerger_russisch.pdf","x")</f>
        <v>x</v>
      </c>
      <c r="AE69" s="111"/>
      <c r="AF69" s="112" t="str">
        <f>HYPERLINK("http://www.kub-berlin.org/formularprojekt/de/russisch-antraege-und-anlagen/","x")</f>
        <v>x</v>
      </c>
      <c r="AG69" s="111"/>
      <c r="AH69" s="112" t="str">
        <f>HYPERLINK("http://sghanstedt.elbnetz.com/ueber-uns/","x")</f>
        <v>x</v>
      </c>
      <c r="AI69" s="111"/>
      <c r="AJ69" s="111"/>
      <c r="AK69" s="111"/>
      <c r="AL69" s="111"/>
      <c r="AM69" s="111"/>
      <c r="AN69" s="111"/>
      <c r="AO69" s="112"/>
      <c r="AP69" s="112"/>
      <c r="AQ69" s="112"/>
      <c r="AR69" s="112"/>
      <c r="AS69" s="112"/>
      <c r="AT69" s="112"/>
      <c r="AU69" s="112"/>
      <c r="AV69" s="113"/>
      <c r="AW69" s="114" t="str">
        <f t="shared" si="0"/>
        <v>x</v>
      </c>
      <c r="AX69" s="114" t="str">
        <f t="shared" si="1"/>
        <v>x</v>
      </c>
      <c r="AY69" s="111"/>
      <c r="AZ69" s="111"/>
      <c r="BA69" s="112" t="str">
        <f t="shared" si="2"/>
        <v>x</v>
      </c>
      <c r="BB69" s="112" t="str">
        <f t="shared" si="3"/>
        <v>x</v>
      </c>
      <c r="BC69" s="111"/>
      <c r="BD69" s="111"/>
      <c r="BE69" s="111"/>
      <c r="BF69" s="111"/>
      <c r="BG69" s="111"/>
      <c r="BH69" s="111"/>
      <c r="BI69" s="111"/>
      <c r="BJ69" s="111"/>
      <c r="BK69" s="112" t="str">
        <f>HYPERLINK("http://www.agf-trier.de/sites/default/files/bersetzungshilfe%20russisch%20allgemein.pdf","x")</f>
        <v>x</v>
      </c>
      <c r="BL69" s="111"/>
      <c r="BM69" s="112" t="str">
        <f>HYPERLINK("http://www.frnrw.de/images/Aus_den_Initiativen/Ehrenamtler/2015/Dictionary_x10_print-2.pdf","x")</f>
        <v>x</v>
      </c>
      <c r="BN69" s="111"/>
      <c r="BO69" s="111"/>
      <c r="BP69" s="111"/>
      <c r="BQ69" s="111"/>
      <c r="BR69" s="111"/>
      <c r="BS69" s="112" t="str">
        <f t="shared" si="4"/>
        <v>x</v>
      </c>
      <c r="BT69" s="112"/>
      <c r="BU69" s="111"/>
      <c r="BV69" s="112" t="str">
        <f t="shared" si="5"/>
        <v>x</v>
      </c>
      <c r="BW69" s="112" t="str">
        <f>HYPERLINK("http://www.welcomegrooves.de/wp-content/uploads/2015/10/welcomegrooves_DE-RUSSISCH.pdf","x")</f>
        <v>x</v>
      </c>
      <c r="BX69" s="112"/>
      <c r="BY69" s="112"/>
      <c r="BZ69" s="112"/>
      <c r="CA69" s="112" t="str">
        <f t="shared" si="6"/>
        <v>x</v>
      </c>
      <c r="CB69" s="112" t="str">
        <f t="shared" si="7"/>
        <v>x</v>
      </c>
      <c r="CC69" s="112" t="str">
        <f t="shared" si="8"/>
        <v>x</v>
      </c>
      <c r="CD69" s="112"/>
      <c r="CE69" s="112"/>
      <c r="CF69" s="112" t="str">
        <f>HYPERLINK("http://www.agf-trier.de/sites/default/files/bersetzungshilfe%20russisch%20f%C3%BCr%20Frauen.pdf","x")</f>
        <v>x</v>
      </c>
      <c r="CG69" s="112" t="str">
        <f>HYPERLINK("http://www.braunschweig.de/leben/frauen/hilfe/Ohne-Gewalt-leben.pdf","x")</f>
        <v>x</v>
      </c>
      <c r="CH69" s="112" t="str">
        <f>HYPERLINK("http://mifkjf.rlp.de/fileadmin/mifkjf/Frauen/Gewalt_gegen_Frauen/Downloads/Broschueren_Flyer/Flyer_Gewalt_russisch.pdf","x")</f>
        <v>x</v>
      </c>
      <c r="CI69" s="112" t="str">
        <f>HYPERLINK("https://www.hilfetelefon.de/fileadmin/hilfetelefon_de/Materialien/Flyer/Infoflyer_Hilfetelefon_Gewalt_gegen_Frauen141105_b2.pdf","x")</f>
        <v>x</v>
      </c>
      <c r="CJ69" s="112" t="str">
        <f>HYPERLINK("https://www.hilfetelefon.de/fileadmin/hilfetelefon_de/Materialien/weitere_werbemittel/Klappflyer_Vorder-_und_Rueckseite_opt2.pdf","x")</f>
        <v>x</v>
      </c>
      <c r="CK69" s="112" t="str">
        <f t="shared" si="9"/>
        <v>x</v>
      </c>
      <c r="CL69" s="112" t="str">
        <f>HYPERLINK("http://www.frauenberatungsstelle.de/pdf/Migrantinnen-beraten-Migrantinnen.pdf","x")</f>
        <v>x</v>
      </c>
      <c r="CM69" s="112"/>
      <c r="CN69" s="112"/>
      <c r="CO69" s="112"/>
      <c r="CP69" s="112" t="str">
        <f>HYPERLINK("http://www.schwanger-und-viele-fragen.de/ru/","x")</f>
        <v>x</v>
      </c>
      <c r="CQ69" s="112"/>
      <c r="CR69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69" s="112"/>
      <c r="CT69" s="112"/>
      <c r="CU69" s="112" t="str">
        <f>HYPERLINK("http://www.profamilia.de/fileadmin/publikationen/Erwachsene/mehrsprachig/verhuetung_russisch_2011.pdf","x")</f>
        <v>x</v>
      </c>
      <c r="CV69" s="112" t="str">
        <f>HYPERLINK("http://www.profamilia.de/fileadmin/publikationen/Erwachsene/mehrsprachig/Pille_danach_russisch_2012.pdf","x")</f>
        <v>x</v>
      </c>
      <c r="CW69" s="112" t="str">
        <f>HYPERLINK("http://www.profamilia.de/fileadmin/publikationen/Reihe_Verhuetungsmethoden/Einleger_Russisch.pdf","x")</f>
        <v>x</v>
      </c>
      <c r="CX69" s="112" t="str">
        <f>HYPERLINK("http://www.profamilia.de/fileadmin/publikationen/Erwachsene/mehrsprachig/schwangerschaftsabbruch_russisch.pdf","x")</f>
        <v>x</v>
      </c>
      <c r="CY69" s="112" t="str">
        <f>HYPERLINK("http://www.caritas-schwarzwald-alb-donau.de/68854.html","x")</f>
        <v>x</v>
      </c>
      <c r="CZ69" s="112" t="str">
        <f>HYPERLINK("http://www.dgfpi.de/tl_files/download/medien/unwissen-macht-ru.pdf","x")</f>
        <v>x</v>
      </c>
      <c r="DA69" s="112"/>
      <c r="DB69" s="112"/>
      <c r="DC69" s="115" t="str">
        <f>HYPERLINK("http://www.kindersicherheit.de/pdf/2012_Bilderbuch-Gift-Russisch.pdf","x")</f>
        <v>x</v>
      </c>
      <c r="DD69" s="112"/>
      <c r="DE69" s="112"/>
      <c r="DF69" s="112" t="str">
        <f t="shared" si="10"/>
        <v>x</v>
      </c>
      <c r="DG69" s="115" t="str">
        <f t="shared" si="11"/>
        <v>x</v>
      </c>
      <c r="DH69" s="112" t="str">
        <f t="shared" si="12"/>
        <v>x</v>
      </c>
      <c r="DI69" s="112" t="str">
        <f t="shared" si="13"/>
        <v>x</v>
      </c>
      <c r="DJ69" s="112" t="str">
        <f>HYPERLINK("http://www.bibliomedia.ch/de/angebote/dokumente/Glossar_russisch.pdf","x")</f>
        <v>x</v>
      </c>
      <c r="DK69" s="112"/>
      <c r="DL69" s="112"/>
      <c r="DM69" s="112"/>
      <c r="DN69" s="112"/>
      <c r="DO69" s="112"/>
      <c r="DP69" s="111"/>
      <c r="DQ69" s="112" t="str">
        <f>HYPERLINK("http://tipdoc.de/bus/grafik/kinder-tip/SCHULTIP_give_didacta.pdf","x")</f>
        <v>x</v>
      </c>
      <c r="DR69" s="112" t="str">
        <f>HYPERLINK("https://broschueren.nordrheinwestfalendirekt.de/broschuerenservice/msw/rus-das-schulsystem-in-nordrhein-westfalen-einfach-und-schnell-erklaert/1905","x")</f>
        <v>x</v>
      </c>
      <c r="DS69" s="112" t="str">
        <f>HYPERLINK("http://bildung.koeln.de/materialbibliothek/download.php?idx=89409237e8c48c84d1f410e2c231c942","x")</f>
        <v>x</v>
      </c>
      <c r="DT69" s="112" t="str">
        <f>HYPERLINK("http://bildung.koeln.de/materialbibliothek/download.php?idx=3e35937e1b8f8986880efaf07701a323","x")</f>
        <v>x</v>
      </c>
      <c r="DU69" s="112"/>
      <c r="DV69" s="112" t="str">
        <f>HYPERLINK("https://www.bmbf.de/pub/Kausa_Elternbroschuere_russisch.pdf","x")</f>
        <v>x</v>
      </c>
      <c r="DW69" s="112"/>
      <c r="DX69" s="112"/>
      <c r="DY69" s="112" t="str">
        <f>HYPERLINK("http://www.bamf.de/SharedDocs/Anlagen/DE/Publikationen/Flyer/AnerkennungBerufsabschluss/berufliche_anerkennung_akademische-heilberufe_ru.pdf?__blob=publicationFile","x")</f>
        <v>x</v>
      </c>
      <c r="DZ69" s="112" t="str">
        <f>HYPERLINK("http://www.bamf.de/SharedDocs/Anlagen/RU/Publikationen/Flyer/AnerkennungBerufsabschluss/anerkennung-berufsabschluss.pdf?__blob=publicationFile","x")</f>
        <v>x</v>
      </c>
      <c r="EA69" s="112" t="str">
        <f>HYPERLINK("http://www.bamf.de/SharedDocs/Anlagen/RU/Publikationen/Flyer/AnerkennungBerufsabschluss/anerkennung-berufsabschluss_ausland.pdf?__blob=publicationFile","x")</f>
        <v>x</v>
      </c>
      <c r="EB69" s="112" t="str">
        <f>HYPERLINK("http://www.bamf.de/SharedDocs/Anlagen/DE/Publikationen/Broschueren/willkommen-in-deutschland-info-blaue-karte-eu_ru.pdf?__blob=publicationFile","x")</f>
        <v>x</v>
      </c>
      <c r="EC69" s="112" t="str">
        <f>HYPERLINK("http://www.bamf.de/SharedDocs/Anlagen/RU/Publikationen/Flyer/Berufsbezsprachf-ESF-BAMF/berufsbezsprachf-esf-bamf.pdf?__blob=publicationFile","x")</f>
        <v>x</v>
      </c>
      <c r="ED69" s="111"/>
      <c r="EE69" s="111"/>
      <c r="EF69" s="111"/>
      <c r="EG69" s="111"/>
      <c r="EH69" s="111"/>
      <c r="EI69" s="111"/>
      <c r="EJ69" s="112"/>
      <c r="EK69" s="112"/>
      <c r="EL69" s="112"/>
      <c r="EM69" s="112" t="str">
        <f>HYPERLINK("http://www.kvs-sachsen.de/fileadmin/img/Mitglieder/Asylbewerber/Allg-Informationen/Anlage_1_Russisch_LEK.pdf","x")</f>
        <v>x</v>
      </c>
      <c r="EN69" s="112" t="str">
        <f>HYPERLINK("http://www.medizin-hilft-fluechtlingen.de/images/Dokumente/gSch/gSch_ru.pdf","x")</f>
        <v>x</v>
      </c>
      <c r="EO69" s="111"/>
      <c r="EP69" s="117" t="str">
        <f>HYPERLINK("http://www.medi-bild.de/pdf/anamnese/Welche_Sprache.pdf","x")</f>
        <v>x</v>
      </c>
      <c r="EQ69" s="117" t="str">
        <f>HYPERLINK("http://www.armut-gesundheit.de/fileadmin/redakteur/dokumente/Anamnesebogen%20-%20russischnew.pdf","x")</f>
        <v>x</v>
      </c>
      <c r="ER69" s="112" t="str">
        <f>HYPERLINK("http://www.kvs-sachsen.de/fileadmin/img/Mitglieder/Asylbewerber/Allg-Informationen/Anlagen_2-1_2-2_Russisch_LEK.pdf","x")</f>
        <v>x</v>
      </c>
      <c r="ES69" s="111"/>
      <c r="ET69" s="111"/>
      <c r="EU69" s="111"/>
      <c r="EV69" s="111"/>
      <c r="EW69" s="112" t="str">
        <f t="shared" si="14"/>
        <v>x</v>
      </c>
      <c r="EX69" s="112" t="str">
        <f>HYPERLINK("http://www.rki.de/DE/Content/Infekt/IfSG/Belehrungsbogen/belehrungsbogen_eltern_russisch.pdf?__blob=publicationFile","x")</f>
        <v>x</v>
      </c>
      <c r="EY69" s="112" t="str">
        <f>HYPERLINK("http://www.bzga.de/infomaterialien/?sid=236","x")</f>
        <v>x</v>
      </c>
      <c r="EZ69" s="112" t="str">
        <f>HYPERLINK("https://www.mh-hannover.de/fileadmin/mhh/bilder/aktuelles_presse/presseinformationen_news/-Pilzvergif_RUSSISCH_2.pdf","x")</f>
        <v>x</v>
      </c>
      <c r="FA69" s="112"/>
      <c r="FB69" s="111"/>
      <c r="FC69" s="111"/>
      <c r="FD69" s="112" t="str">
        <f t="shared" si="15"/>
        <v>x</v>
      </c>
      <c r="FE69" s="112" t="str">
        <f>HYPERLINK("http://sghanstedt.elbnetz.com/ueber-uns/","x")</f>
        <v>x</v>
      </c>
      <c r="FF69" s="111"/>
      <c r="FG69" s="112" t="str">
        <f>HYPERLINK("http://www.tipdoc.de/grafik/asyl/Gesundheitsheft_Asyl.pdf","x")</f>
        <v>x</v>
      </c>
      <c r="FH69" s="111"/>
      <c r="FI69" s="111"/>
      <c r="FJ69" s="112"/>
      <c r="FK69" s="112" t="str">
        <f>HYPERLINK("http://www.rki.de/DE/Content/Infekt/Impfen/Materialien/Downloads-Impfkalender/Impfkalender_Russisch.pdf?__blob=publicationFile","x")</f>
        <v>x</v>
      </c>
      <c r="FL69" s="112" t="str">
        <f>HYPERLINK("http://www.ethno-medizinisches-zentrum.de/images/PDF-Files/impfwegweiser_russisch_2013_online.pdf","x")</f>
        <v>x</v>
      </c>
      <c r="FM69" s="112"/>
      <c r="FN69" s="112" t="str">
        <f>HYPERLINK("http://www.rki.de/DE/Content/Infekt/Impfen/Materialien/Glossar-Downloads/glossar-de-russisch.pdf?__blob=publicationFile","x")</f>
        <v>x</v>
      </c>
      <c r="FO69" s="112" t="str">
        <f>HYPERLINK("http://tvoyashkola10.ru/img/VPD-Signs,-symptoms-and-complications-RUS.pdf","x")</f>
        <v>x</v>
      </c>
      <c r="FP69" s="112" t="str">
        <f>HYPERLINK("http://www.rki.de/DE/Content/Infekt/Impfen/Materialien/Downloads-MMR/MMR-Impfinfo-russisch.pdf?__blob=publicationFile","x")</f>
        <v>x</v>
      </c>
      <c r="FQ69" s="112"/>
      <c r="FR69" s="112" t="str">
        <f>HYPERLINK("http://www.rki.de/DE/Content/Infekt/Impfen/Materialien/Downloads_HepA/Aufklaerung_HAV-Impfung_Russisch.pdf?__blob=publicationFile","x")</f>
        <v>x</v>
      </c>
      <c r="FS69" s="112" t="str">
        <f>HYPERLINK("http://www.rki.de/DE/Content/Infekt/Impfen/Materialien/Downloads_Pneumokokken/Aufklaerung_Pneumo-Impfung_Russisch.pdf?__blob=publicationFile","x")</f>
        <v>x</v>
      </c>
      <c r="FT69" s="112" t="str">
        <f>HYPERLINK("http://www.rki.de/DE/Content/Infekt/Impfen/Materialien/Downloads-DTaPIPVHibHepB/DTaPIPVHibHepB-russisch.pdf?__blob=publicationFile","x")</f>
        <v>x</v>
      </c>
      <c r="FU69" s="112" t="str">
        <f>HYPERLINK("http://www.rki.de/DE/Content/Infekt/Impfen/Materialien/Downloads-Varizellen/Varizellen-Impfinfo-russisch.pdf;jsessionid=65B697F4EE7EDA8A1ED9E2C4CD6C74EC.2_cid363?__blob=publicationFile","x")</f>
        <v>x</v>
      </c>
      <c r="FV69" s="112" t="str">
        <f>HYPERLINK("http://www.rki.de/DE/Content/Infekt/Impfen/Materialien/Downloads-Tdap-IPV/Tdap-IPV-russisch.pdf?__blob=publicationFile","x")</f>
        <v>x</v>
      </c>
      <c r="FW69" s="112" t="str">
        <f>HYPERLINK("http://www.rki.de/DE/Content/Infekt/Impfen/Materialien/Downloads-Influenza_nasal/Influenza_nasal-russisch.pdf?__blob=publicationFile","x")</f>
        <v>x</v>
      </c>
      <c r="FX69" s="112" t="str">
        <f>HYPERLINK("http://www.medical-tribune.de/fileadmin/PDF/PI_Arthrose_russ.pdf","x")</f>
        <v>x</v>
      </c>
      <c r="FY69" s="112" t="str">
        <f>HYPERLINK("http://www.medical-tribune.de/fileadmin/PDF/Astma_russisch.pdf","x")</f>
        <v>x</v>
      </c>
      <c r="FZ69" s="112" t="str">
        <f>HYPERLINK("http://www.medical-tribune.de/fileadmin/PDF/Bluthochdruck_russisch.pdf","x")</f>
        <v>x</v>
      </c>
      <c r="GA69" s="112" t="str">
        <f>HYPERLINK("http://www.medical-tribune.de/fileadmin/PDF/Cholesterin_russisch.pdf","x")</f>
        <v>x</v>
      </c>
      <c r="GB69" s="112" t="str">
        <f>HYPERLINK("http://www.medical-tribune.de/fileadmin/PDF/COPD-Bronchitis-russ.pdf","x")</f>
        <v>x</v>
      </c>
      <c r="GC69" s="112" t="str">
        <f>HYPERLINK("http://www.medical-tribune.de/fileadmin/PDF/PI_Demenz_russ.pdf","x")</f>
        <v>x</v>
      </c>
      <c r="GD69" s="112" t="str">
        <f>HYPERLINK("http://www.ethno-medizinisches-zentrum.de/images/PDF-Files/lf_diabete_russisch.pdf","x")</f>
        <v>x</v>
      </c>
      <c r="GE69" s="112" t="str">
        <f>HYPERLINK("http://www.medical-tribune.de/fileadmin/PDF/PI_Divertikel_russ.pdf","x")</f>
        <v>x</v>
      </c>
      <c r="GF69" s="112" t="str">
        <f>HYPERLINK("http://www.medical-tribune.de/fileadmin/PDF/PAVK_russ.pdf","x")</f>
        <v>x</v>
      </c>
      <c r="GG69" s="112" t="str">
        <f>HYPERLINK("http://www.medical-tribune.de/fileadmin/PDF/PI_Gallensteine_russ.pdf","x")</f>
        <v>x</v>
      </c>
      <c r="GH69" s="112" t="str">
        <f>HYPERLINK("http://www.medical-tribune.de/fileadmin/PDF/Gicht_russisch.pdf","x")</f>
        <v>x</v>
      </c>
      <c r="GI69" s="112" t="str">
        <f>HYPERLINK("http://www.tipdoc.de/bus/pdf/hepatitis/Hep_B_Webseite.pdf","x")</f>
        <v>x</v>
      </c>
      <c r="GJ69" s="112" t="str">
        <f>HYPERLINK("http://www.tipdoc.de/bus/pdf/hepatitis/Hep_C_Webseite.pdf","x")</f>
        <v>x</v>
      </c>
      <c r="GK69" s="112" t="str">
        <f>HYPERLINK("http://www.tipdoc.de/bus/pdf/hiv/HIV%20SRF_Webseite.pdf","x")</f>
        <v>x</v>
      </c>
      <c r="GL69" s="111"/>
      <c r="GM69" s="112" t="str">
        <f>HYPERLINK("http://www.rki.de/DE/Content/Infekt/Impfen/Materialien/Downloads-Influenza/Influenza-russisch.pdf?__blob=publicationFile","x")</f>
        <v>x</v>
      </c>
      <c r="GN69" s="112" t="str">
        <f>HYPERLINK("http://www.medical-tribune.de/fileadmin/PDF/PI_Erkaeltung_russ.pdf","x")</f>
        <v>x</v>
      </c>
      <c r="GO69" s="112"/>
      <c r="GP69" s="112" t="str">
        <f>HYPERLINK("http://www.tipdoc.de/grafik/pdf/kopflaeuse/Kopflaeuse_RUSS.pdf","x")</f>
        <v>x</v>
      </c>
      <c r="GQ69" s="112" t="str">
        <f>HYPERLINK("http://www.bing.com/search?q=Medical+tribune+KHK+russ&amp;qs=n&amp;form=QBRE&amp;pq=medical+tribune+khk+russ&amp;sc=0-16&amp;sp=-1&amp;sk=&amp;cvid=9C7440E0A0144B029D31F2004BF1F219","x")</f>
        <v>x</v>
      </c>
      <c r="GR69" s="112" t="str">
        <f>HYPERLINK("http://www.tipdoc.com/bus/pdf/kraetze/tipdoc_Scabies_RUSS.pdf","x")</f>
        <v>x</v>
      </c>
      <c r="GS69" s="112" t="str">
        <f>HYPERLINK("http://www.tipdoc.com/bus/pdf/MagenDarmHaende/MagenDarmHaende_RUSS.pdf","x")</f>
        <v>x</v>
      </c>
      <c r="GT69" s="112" t="str">
        <f>HYPERLINK("http://www.medical-tribune.de/fileadmin/PDF/Migraene_russ.pdf","x")</f>
        <v>x</v>
      </c>
      <c r="GU69" s="112" t="str">
        <f>HYPERLINK("http://www.medical-tribune.de/fileadmin/PDF/Rueckenschmerzen_russisch.pdf","x")</f>
        <v>x</v>
      </c>
      <c r="GV69" s="112" t="str">
        <f>HYPERLINK("http://www.medical-tribune.de/fileadmin/PDF/Schlafapnoe_russisch.pdf","x")</f>
        <v>x</v>
      </c>
      <c r="GW69" s="112" t="str">
        <f>HYPERLINK("http://www.medical-tribune.de/fileadmin/PDF/Schlafstoerungen_russisch.pdf","x")</f>
        <v>x</v>
      </c>
      <c r="GX69" s="112" t="str">
        <f>HYPERLINK("http://www.medical-tribune.de/fileadmin/PDF/Schwindel_russisch.pdf","x")</f>
        <v>x</v>
      </c>
      <c r="GY69" s="112" t="str">
        <f>HYPERLINK("http://www.medical-tribune.de/fileadmin/PDF/Sodbrennen_russisch.pdf","x")</f>
        <v>x</v>
      </c>
      <c r="GZ69" s="112" t="str">
        <f>HYPERLINK("http://www.medical-tribune.de/fileadmin/PDF/Sportverletzungen_russisch.pdf","x")</f>
        <v>x</v>
      </c>
      <c r="HA69" s="112" t="str">
        <f>HYPERLINK("http://www.medical-tribune.de/fileadmin/PDF/Thrombose_russisch.pdf","x")</f>
        <v>x</v>
      </c>
      <c r="HB69" s="112" t="str">
        <f>HYPERLINK("http://www.medical-tribune.de/fileadmin/PDF/Verstopfung_russisch.pdf","x")</f>
        <v>x</v>
      </c>
      <c r="HC69" s="112" t="str">
        <f t="shared" si="16"/>
        <v>x</v>
      </c>
      <c r="HD69" s="111"/>
      <c r="HE69" s="111"/>
      <c r="HF69" s="111"/>
      <c r="HG69" s="111"/>
      <c r="HH69" s="111"/>
      <c r="HI69" s="112" t="str">
        <f>HYPERLINK("http://www.bvkm.de/fileadmin/web_data/Behinderung_und_Migation_russisch_2014.pdf","x")</f>
        <v>x</v>
      </c>
      <c r="HJ69" s="111"/>
      <c r="HK69" s="112"/>
      <c r="HL69" s="112" t="str">
        <f>HYPERLINK("http://www.ethno-medizinisches-zentrum.de/images/PDF-Files/lf_depression_rus.pdf","x")</f>
        <v>x</v>
      </c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 t="str">
        <f>HYPERLINK("http://www.medical-tribune.de/fileadmin/PDF/RestlessLegs_russ.pdf","x")</f>
        <v>x</v>
      </c>
      <c r="HX69" s="112" t="str">
        <f>HYPERLINK("http://www.bkk-psychisch-gesund.de/fileadmin/user_upload/bkk-psychisch-gesund.de/PDFs/Migrantenwegweiser_Psychotherpie_russisch.pdf","x")</f>
        <v>x</v>
      </c>
      <c r="HY69" s="112" t="str">
        <f t="shared" si="17"/>
        <v>x</v>
      </c>
      <c r="HZ69" s="112" t="str">
        <f t="shared" si="18"/>
        <v>x</v>
      </c>
      <c r="IA69" s="112"/>
      <c r="IB69" s="112"/>
      <c r="IC69" s="112"/>
      <c r="ID69" s="112"/>
      <c r="IE69" s="112"/>
      <c r="IF69" s="112"/>
      <c r="IG69" s="112"/>
      <c r="IH69" s="112" t="str">
        <f>HYPERLINK("http://www.ethno-medizinisches-zentrum.de/images/PDF-Files/lf_mediensucht_ru_geschutzt.pdf","x")</f>
        <v>x</v>
      </c>
      <c r="II69" s="112" t="str">
        <f>HYPERLINK("http://www.caritas.de/hilfeundberatung/onlineberatung/suchtberatung/haeufiggestelltefragensucht/haeufiggestelltefragen-sucht","x")</f>
        <v>x</v>
      </c>
      <c r="IJ69" s="112" t="str">
        <f>HYPERLINK("http://www.bzga.de/infomaterialien/suchtvorbeugung/","x")</f>
        <v>x</v>
      </c>
      <c r="IK69" s="112" t="str">
        <f>HYPERLINK("http://www.bamf.de/SharedDocs/Anlagen/RU/Publikationen/Flyer/Lassen-Sie-Sich-Beraten/lassen-sie-sich-beraten.pdf?__blob=publicationFile","x")</f>
        <v>x</v>
      </c>
      <c r="IL69" s="112" t="str">
        <f>HYPERLINK("http://www.bamf.de/SharedDocs/Anlagen/DE/Publikationen/Flyer/flyer-erstorientierung-asylsuchende_russisch.pdf?__blob=publicationFile","x")</f>
        <v>x</v>
      </c>
      <c r="IM69" s="111"/>
      <c r="IN69" s="112" t="str">
        <f>HYPERLINK("https://www.bamf.de/SharedDocs/Anlagen/RU/Publikationen/Broschueren/willkommen-in-deutschland-ru.pdf?__blob=publicationFile","x")</f>
        <v>x</v>
      </c>
      <c r="IO69" s="112"/>
      <c r="IP69" s="111"/>
      <c r="IQ69" s="112" t="str">
        <f>HYPERLINK("http://www.bamf.de/SharedDocs/Anlagen/RU/Publikationen/Flyer/Lernen-Sie-Deutsch/lernen-sie-deutsch.pdf?__blob=publicationFile","x")</f>
        <v>x</v>
      </c>
      <c r="IR69" s="112"/>
      <c r="IS69" s="111"/>
      <c r="IT69" s="111"/>
      <c r="IU69" s="111"/>
      <c r="IV69" s="112" t="str">
        <f>HYPERLINK("http://www.asyl.net/fileadmin/user_upload/infoblatt_anhoerung/Infoblatt_2015_russ_fin.pdf","x")</f>
        <v>x</v>
      </c>
      <c r="IW69" s="112"/>
      <c r="IX69" s="112" t="str">
        <f>HYPERLINK("http://www.berlin.de/labo/willkommen-in-berlin/service/downloads/artikel.273193.php","x")</f>
        <v>x</v>
      </c>
      <c r="IY69" s="112" t="str">
        <f>HYPERLINK("http://www.bamf.de/SharedDocs/Anlagen/RU/Publikationen/Broschueren/broschuere-eat-a4.pdf?__blob=publicationFile","x")</f>
        <v>x</v>
      </c>
      <c r="IZ69" s="111"/>
      <c r="JA69" s="112" t="str">
        <f>HYPERLINK("http://fluechtlingsrat-bw.de/informationen-fuer-fluechtlinge.html","x")</f>
        <v>x</v>
      </c>
      <c r="JB69" s="111"/>
      <c r="JC69" s="112"/>
      <c r="JD69" s="111"/>
      <c r="JE69" s="112"/>
      <c r="JF69" s="112"/>
      <c r="JG69" s="112" t="str">
        <f>HYPERLINK("http://www.bamf.de/SharedDocs/Anlagen/RU/Publikationen/Flyer/Ehegattennachzug/ehegattennachzug.pdf?__blob=publicationFile","x")</f>
        <v>x</v>
      </c>
      <c r="JH69" s="112"/>
      <c r="JI69" s="111"/>
      <c r="JJ69" s="112"/>
      <c r="JK69" s="112"/>
      <c r="JL69" s="112" t="str">
        <f>HYPERLINK("http://www.kub-berlin.org/formularprojekt/de/russisch-antraege-und-anlagen/","x")</f>
        <v>x</v>
      </c>
      <c r="JM69" s="112" t="str">
        <f>HYPERLINK("https://www.arbeitsagentur.de/web/content/DE/Formulare/Detail/index.htm?dfContentId=L6019022DSTBAI485740","x")</f>
        <v>x</v>
      </c>
      <c r="JN69" s="112"/>
      <c r="JO69" s="112"/>
      <c r="JP69" s="112"/>
      <c r="JQ69" s="112"/>
      <c r="JR69" s="112" t="str">
        <f>HYPERLINK("http://www.ibla-germany.de/merkblaetter.php","x")</f>
        <v>x</v>
      </c>
      <c r="JS69" s="112"/>
      <c r="JT69" s="112" t="str">
        <f>HYPERLINK("http://www.b-umf.de/images/willkommensbroschurerussisch-web.pdf","x")</f>
        <v>x</v>
      </c>
      <c r="JU69" s="111"/>
      <c r="JV69" s="111"/>
      <c r="JW69" s="112"/>
      <c r="JX69" s="112"/>
      <c r="JY69" s="112"/>
      <c r="JZ69" s="112"/>
      <c r="KA69" s="112"/>
      <c r="KB69" s="112" t="str">
        <f>HYPERLINK("http://www.refugeeguide.de/dl/RefugeeGuide_ru_1207.pdf","x")</f>
        <v>x</v>
      </c>
      <c r="KC69" s="111"/>
      <c r="KD69" s="112" t="str">
        <f>HYPERLINK("http://www.wedel.de/fileadmin/user_upload/media/pdf/Rathaus_und_Politik/20160118_PM_Broschuere.pdf","x")</f>
        <v>x</v>
      </c>
      <c r="KE69" s="112"/>
      <c r="KF69" s="112" t="str">
        <f>HYPERLINK("http://sab.landtag.sachsen.de/dokumente/landtagskurier/Grundwerte-A5-international_web_08012016.pdf","x")</f>
        <v>x</v>
      </c>
      <c r="KG69" s="112"/>
      <c r="KH69" s="112"/>
      <c r="KI69" s="112"/>
      <c r="KJ69" s="112"/>
      <c r="KK69" s="112"/>
      <c r="KL69" s="112"/>
      <c r="KM69" s="112"/>
      <c r="KN69" s="112"/>
      <c r="KO69" s="112"/>
      <c r="KP69" s="112"/>
      <c r="KQ69" s="112"/>
      <c r="KR69" s="112"/>
      <c r="KS69" s="112"/>
      <c r="KT69" s="112"/>
      <c r="KU69" s="112"/>
      <c r="KV69" s="112"/>
      <c r="KW69" s="112"/>
      <c r="KX69" s="112"/>
      <c r="KY69" s="112"/>
      <c r="KZ69" s="112"/>
      <c r="LA69" s="112"/>
      <c r="LB69" s="112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2" t="str">
        <f>HYPERLINK("http://www.rki.de/DE/Content/Infekt/IfSG/Belehrungsbogen/belehrungsbogen_lebensmittel_russisch.pdf?__blob=publicationFile","x")</f>
        <v>x</v>
      </c>
      <c r="ME69" s="111"/>
      <c r="MF69" s="111"/>
      <c r="MG69" s="111"/>
      <c r="MH69" s="111"/>
      <c r="MI69" s="112" t="str">
        <f>HYPERLINK("http://www.kindersicherheit.de/pdf/2012_poster_achtunggiftig_8sprachig.pdf","x")</f>
        <v>x</v>
      </c>
    </row>
    <row r="70" spans="1:347" x14ac:dyDescent="0.25">
      <c r="A70" s="102" t="s">
        <v>383</v>
      </c>
      <c r="B70" s="127" t="s">
        <v>4</v>
      </c>
      <c r="C70" s="102"/>
      <c r="D70" s="102"/>
      <c r="E70" s="102"/>
      <c r="F70" s="102"/>
      <c r="G70" s="102"/>
      <c r="H70" s="102"/>
      <c r="I70" s="102"/>
      <c r="J70" s="102"/>
      <c r="K70" s="103"/>
      <c r="L70" s="111"/>
      <c r="M70" s="111"/>
      <c r="N70" s="112" t="str">
        <f>HYPERLINK("http://www.ag-fluechtlingshilfe-wetterau.de/uploads/infos/170.pdf","x")</f>
        <v>x</v>
      </c>
      <c r="O70" s="112" t="str">
        <f>HYPERLINK("http://www.ag-fluechtlingshilfe-wetterau.de/uploads/infos/220.pdf","x")</f>
        <v>x</v>
      </c>
      <c r="P70" s="112" t="str">
        <f>HYPERLINK("http://www.awb-ahrweiler.de/admin/data/ddownload/Abfall%20Sonderhinweise-englisch_2014.pdf","x")</f>
        <v>x</v>
      </c>
      <c r="Q70" s="112" t="str">
        <f>HYPERLINK("http://www.ag-fluechtlingshilfe-wetterau.de/uploads/infos/221.pdf","x")</f>
        <v>x</v>
      </c>
      <c r="R70" s="112" t="str">
        <f>HYPERLINK("http://www.konto.org/download/merkblatt-basiskonto-asylbewerber-english.pdf","x")</f>
        <v>x</v>
      </c>
      <c r="S70" s="112"/>
      <c r="T70" s="112" t="str">
        <f>HYPERLINK("https://antworten.sparkasse.de/wp-content/uploads/2015/10/English.pdf","x")</f>
        <v>x</v>
      </c>
      <c r="U70" s="112" t="str">
        <f>HYPERLINK("http://www.ag-fluechtlingshilfe-wetterau.de/uploads/infos/191.pdf","x")</f>
        <v>x</v>
      </c>
      <c r="V70" s="112"/>
      <c r="W70" s="112"/>
      <c r="X7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7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70" s="112"/>
      <c r="AA70" s="112"/>
      <c r="AB70" s="112"/>
      <c r="AC70" s="112" t="str">
        <f>HYPERLINK("http://www.vzhh.de/vzhh/409638/vzhh_refugees_telephone_internet.pdf","x")</f>
        <v>x</v>
      </c>
      <c r="AD70" s="112" t="str">
        <f>HYPERLINK("http://www.vzhh.de/vzhh/410647/vzhh_refugees_rundfunk.pdf","x")</f>
        <v>x</v>
      </c>
      <c r="AE70" s="112" t="str">
        <f>HYPERLINK("http://www.vzhh.de/vzhh/411476/vzhh_refugees_rundfunk_befreiung.pdf","x")</f>
        <v>x</v>
      </c>
      <c r="AF70" s="112" t="str">
        <f>HYPERLINK("http://www.kub-berlin.org/formularprojekt/de/englisch-antraege-und-anlagen-uebersetzungshilfen/","x")</f>
        <v>x</v>
      </c>
      <c r="AG70" s="112" t="str">
        <f>HYPERLINK("http://asyl-in-moenchengladbach.de/wp-content/uploads/2015/11/100711-Flyer_GB.pdf","x")</f>
        <v>x</v>
      </c>
      <c r="AH70" s="112" t="str">
        <f>HYPERLINK("http://sghanstedt.elbnetz.com/ueber-uns/","x")</f>
        <v>x</v>
      </c>
      <c r="AI70" s="112" t="str">
        <f>HYPERLINK("https://www.adac.de/sp/stiftung/_mmm/pdf/SGE_FOL_Verkehrssicherheit_Fl%C3%BCchtlinge_A3_01_16_Internet_250277.pdf","x")</f>
        <v>x</v>
      </c>
      <c r="AJ70" s="112" t="str">
        <f>HYPERLINK("http://www.stadt-koeln.de/mediaasset/content/kvb_kinderleicht_und_spielend_einfach__englisch_.pdf","x")</f>
        <v>x</v>
      </c>
      <c r="AK70" s="112" t="str">
        <f>HYPERLINK("https://www.vrsinfo.de/fileadmin/Dateien/downloadcenter/Folder_MobilPassTicket_Refugees01012016.pdf","x")</f>
        <v>x</v>
      </c>
      <c r="AL70" s="112" t="str">
        <f>HYPERLINK("https://www.vrsinfo.de/fileadmin/Dateien/downloadcenter/Willkommen_im_VRS2016_Druck.pdf","x")</f>
        <v>x</v>
      </c>
      <c r="AM70" s="112"/>
      <c r="AN70" s="112" t="str">
        <f>HYPERLINK("https://www.deutschebahn.com/file/de/2191748/eYdgZpqGpp5sMJ2KMKtg2r8aE4Q/10123812/data/infos_fuer_fluechtlinge.pdf","x")</f>
        <v>x</v>
      </c>
      <c r="AO70" s="112"/>
      <c r="AP70" s="112"/>
      <c r="AQ70" s="112"/>
      <c r="AR70" s="112"/>
      <c r="AS70" s="112"/>
      <c r="AT70" s="112"/>
      <c r="AU70" s="112" t="str">
        <f>HYPERLINK("http://www.stadt-koeln.de/mediaasset/content/festkomitee_flyer_2016_d_gb.pdf","x")</f>
        <v>x</v>
      </c>
      <c r="AV70" s="113"/>
      <c r="AW70" s="114" t="str">
        <f t="shared" si="0"/>
        <v>x</v>
      </c>
      <c r="AX70" s="114" t="str">
        <f t="shared" si="1"/>
        <v>x</v>
      </c>
      <c r="AY70" s="112" t="str">
        <f>HYPERLINK("http://fi-lohmar-siegburg.de/data/documents/Findefix_arabisch-Bildwoerterbuch.pdf","x")</f>
        <v>x</v>
      </c>
      <c r="AZ70" s="111"/>
      <c r="BA70" s="112" t="str">
        <f t="shared" si="2"/>
        <v>x</v>
      </c>
      <c r="BB70" s="112" t="str">
        <f t="shared" si="3"/>
        <v>x</v>
      </c>
      <c r="BC70" s="111"/>
      <c r="BD70" s="111"/>
      <c r="BE70" s="112" t="str">
        <f>HYPERLINK("http://fi-lohmar-siegburg.de/data/documents/communicationboard-arabic-english.pdf","x")</f>
        <v>x</v>
      </c>
      <c r="BF70" s="112"/>
      <c r="BG70" s="111"/>
      <c r="BH70" s="112" t="str">
        <f>HYPERLINK("http://www.refugeephrasebook.de/pdf/germany150920.pdf","x")</f>
        <v>x</v>
      </c>
      <c r="BI70" s="112" t="str">
        <f>HYPERLINK("https://www.advanced-online.eu/downloads/RefugeePhrasebookCards_German-English.pdf","x")</f>
        <v>x</v>
      </c>
      <c r="BJ70" s="112" t="str">
        <f>HYPERLINK("http://www.klett-sprachen.de/download/8638/W100255_Refugees_Welcome_Wortschatz.pdf","x")</f>
        <v>x</v>
      </c>
      <c r="BK70" s="111"/>
      <c r="BL70" s="112" t="str">
        <f>HYPERLINK("http://www.bundessprachenamt.de/deutsch/wir_ueber_uns/nachrichten/2015/20151103/Verständigungshilfe_Englisch_26_11_2015.pdf","x")</f>
        <v>x</v>
      </c>
      <c r="BM70" s="112" t="str">
        <f>HYPERLINK("http://www.frnrw.de/images/Aus_den_Initiativen/Ehrenamtler/2015/Dictionary_x10_print-2.pdf","x")</f>
        <v>x</v>
      </c>
      <c r="BN70" s="112" t="str">
        <f>HYPERLINK("http://www.medbox.org/toolboxes/kleines-worterbuch-little-dictionary-deutsch-englisch-arabisch/preview","x")</f>
        <v>x</v>
      </c>
      <c r="BO70" s="112" t="str">
        <f>HYPERLINK("http://mylanguages.org/dari_phrases.php","x")</f>
        <v>x</v>
      </c>
      <c r="BP70" s="111"/>
      <c r="BQ70" s="111"/>
      <c r="BR70" s="111"/>
      <c r="BS70" s="112" t="str">
        <f t="shared" si="4"/>
        <v>x</v>
      </c>
      <c r="BT70" s="112"/>
      <c r="BU70" s="111"/>
      <c r="BV70" s="112" t="str">
        <f t="shared" si="5"/>
        <v>x</v>
      </c>
      <c r="BW70" s="112" t="str">
        <f>HYPERLINK("http://www.welcomegrooves.de/wp-content/uploads/2015/10/welcomegrooves_DE-ENGLISH1.pdf","x")</f>
        <v>x</v>
      </c>
      <c r="BX70" s="112"/>
      <c r="BY70" s="112"/>
      <c r="BZ70" s="112"/>
      <c r="CA70" s="112" t="str">
        <f t="shared" si="6"/>
        <v>x</v>
      </c>
      <c r="CB70" s="112" t="str">
        <f t="shared" si="7"/>
        <v>x</v>
      </c>
      <c r="CC70" s="112" t="str">
        <f t="shared" si="8"/>
        <v>x</v>
      </c>
      <c r="CD70" s="112"/>
      <c r="CE70" s="112"/>
      <c r="CF70" s="111"/>
      <c r="CG70" s="112" t="str">
        <f>HYPERLINK("http://www.braunschweig.de/leben/frauen/hilfe/Ohne-Gewalt-leben.pdf","x")</f>
        <v>x</v>
      </c>
      <c r="CH70" s="112" t="str">
        <f>HYPERLINK("http://mifkjf.rlp.de/fileadmin/mifkjf/Frauen/Gewalt_gegen_Frauen/Downloads/Broschueren_Flyer/Flyer_Gewalt_englisch.pdf","x")</f>
        <v>x</v>
      </c>
      <c r="CI70" s="112" t="str">
        <f>HYPERLINK("https://www.hilfetelefon.de/fileadmin/hilfetelefon_de/Materialien/Flyer/Infoflyer_Hilfetelefon_Gewalt_gegen_Frauen141105_b2.pdf","x")</f>
        <v>x</v>
      </c>
      <c r="CJ70" s="112" t="str">
        <f>HYPERLINK("https://www.hilfetelefon.de/fileadmin/hilfetelefon_de/Materialien/weitere_werbemittel/Klappflyer_Vorder-_und_Rueckseite_opt2.pdf","x")</f>
        <v>x</v>
      </c>
      <c r="CK70" s="112" t="str">
        <f t="shared" si="9"/>
        <v>x</v>
      </c>
      <c r="CL70" s="112" t="str">
        <f>HYPERLINK("http://www.frauenberatungsstelle.de/pdf/Migrantinnen-beraten-Migrantinnen.pdf","x")</f>
        <v>x</v>
      </c>
      <c r="CM70" s="112" t="str">
        <f>HYPERLINK("http://www.frauenleben.org/spezielle_beratungsangebote/sexualisierte_gewalt.htm","x")</f>
        <v>x</v>
      </c>
      <c r="CN70" s="112"/>
      <c r="CO70" s="112"/>
      <c r="CP70" s="112" t="str">
        <f>HYPERLINK("http://www.schwanger-und-viele-fragen.de/en/","x")</f>
        <v>x</v>
      </c>
      <c r="CQ70" s="112"/>
      <c r="CR7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70" s="112" t="str">
        <f>HYPERLINK("http://en.beststart.org/for_parents/are-you-looking-resources-languages-other-english-and-french","x")</f>
        <v>x</v>
      </c>
      <c r="CT70" s="112"/>
      <c r="CU70" s="112" t="str">
        <f>HYPERLINK("http://www.profamilia.de/fileadmin/publikationen/Erwachsene/mehrsprachig/Bro_Verhuetung_engl_2013.pdf","x")</f>
        <v>x</v>
      </c>
      <c r="CV70" s="112" t="str">
        <f>HYPERLINK("http://www.profamilia.de/fileadmin/publikationen/Erwachsene/mehrsprachig/Bro_Pille_danach_Faltblatt_140122_RZ.pdf","x")</f>
        <v>x</v>
      </c>
      <c r="CW70" s="112" t="str">
        <f>HYPERLINK("http://www.profamilia.de/fileadmin/publikationen/Reihe_Verhuetungsmethoden/Einleger_englisch.pdf","x")</f>
        <v>x</v>
      </c>
      <c r="CX70" s="112" t="str">
        <f>HYPERLINK("http://www.profamilia.de/fileadmin/publikationen/Reihe_Koerper_und_Sexualtitaet/Schwangerschaftsabbruch_englisch_2010.pdf","x")</f>
        <v>x</v>
      </c>
      <c r="CY70" s="112" t="str">
        <f>HYPERLINK("http://www.caritas-schwarzwald-alb-donau.de/68854.html","x")</f>
        <v>x</v>
      </c>
      <c r="CZ70" s="112" t="str">
        <f>HYPERLINK("http://www.dgfpi.de/tl_files/download/medien/unwissen-macht-en.pdf","x")</f>
        <v>x</v>
      </c>
      <c r="DA70" s="112"/>
      <c r="DB70" s="112"/>
      <c r="DC70" s="115" t="str">
        <f>HYPERLINK("http://www.kindersicherheit.de/pdf/2013_BAG_Tomi_and_Mila_Deutsch_English.pdf","x")</f>
        <v>x</v>
      </c>
      <c r="DD70" s="112"/>
      <c r="DE70" s="112"/>
      <c r="DF70" s="112" t="str">
        <f t="shared" si="10"/>
        <v>x</v>
      </c>
      <c r="DG70" s="115" t="str">
        <f t="shared" si="11"/>
        <v>x</v>
      </c>
      <c r="DH70" s="112" t="str">
        <f t="shared" si="12"/>
        <v>x</v>
      </c>
      <c r="DI70" s="112" t="str">
        <f t="shared" si="13"/>
        <v>x</v>
      </c>
      <c r="DJ70" s="112"/>
      <c r="DK70" s="112"/>
      <c r="DL70" s="112"/>
      <c r="DM70" s="112"/>
      <c r="DN70" s="112"/>
      <c r="DO70" s="112" t="str">
        <f>HYPERLINK("http://www.wdrmaus.de/sachgeschichten/maus-international/","x")</f>
        <v>x</v>
      </c>
      <c r="DP70" s="111"/>
      <c r="DQ70" s="111"/>
      <c r="DR70" s="112" t="str">
        <f>HYPERLINK("https://broschueren.nordrheinwestfalendirekt.de/broschuerenservice/msw/eng-das-schulsystem-in-nordrhein-westfalen-einfach-und-schnell-erklaert/1902","x")</f>
        <v>x</v>
      </c>
      <c r="DS70" s="112" t="str">
        <f>HYPERLINK("http://bildung.koeln.de/materialbibliothek/download.php?idx=8e2a9f658e9fa830ce17dc18f0fb0268","x")</f>
        <v>x</v>
      </c>
      <c r="DT70" s="112" t="str">
        <f>HYPERLINK("http://bildung.koeln.de/materialbibliothek/download.php?idx=90aff7e7259385cadb46c517317f1446","x")</f>
        <v>x</v>
      </c>
      <c r="DU70" s="112"/>
      <c r="DV70" s="112" t="str">
        <f>HYPERLINK("https://www.bmbf.de/pub/Kausa_Elternbroschuere_englisch.pdf","x")</f>
        <v>x</v>
      </c>
      <c r="DW70" s="112"/>
      <c r="DX70" s="112" t="str">
        <f>HYPERLINK("http://www.wissenschaft.nrw.de/studium/informieren/informationen-fuer-fluechtlinge-die-in-nrw-studieren-moechten/","x")</f>
        <v>x</v>
      </c>
      <c r="DY70" s="112" t="str">
        <f>HYPERLINK("http://www.bamf.de/SharedDocs/Anlagen/DE/Publikationen/Flyer/AnerkennungBerufsabschluss/berufliche_anerkennung_akademische-heilberufe_en.pdf?__blob=publicationFile","x")</f>
        <v>x</v>
      </c>
      <c r="DZ70" s="112" t="str">
        <f>HYPERLINK("http://www.bamf.de/SharedDocs/Anlagen/EN/Publikationen/Flyer/AnerkennungBerufsabschluss/anerkennung-berufsabschluss.pdf?__blob=publicationFile","x")</f>
        <v>x</v>
      </c>
      <c r="EA70" s="112" t="str">
        <f>HYPERLINK("http://www.bamf.de/SharedDocs/Anlagen/EN/Publikationen/Flyer/AnerkennungBerufsabschluss/anerkennung-berufsabschluss_ausland.pdf?__blob=publicationFile","x")</f>
        <v>x</v>
      </c>
      <c r="EB70" s="112" t="str">
        <f>HYPERLINK("http://www.bamf.de/SharedDocs/Anlagen/EN/Publikationen/Broschueren/willkommen-in-deutschland-info-blaue-karte-eu_en.pdf?__blob=publicationFile","x")</f>
        <v>x</v>
      </c>
      <c r="EC70" s="112" t="str">
        <f>HYPERLINK("http://www.bamf.de/SharedDocs/Anlagen/EN/Publikationen/Flyer/Berufsbezsprachf-ESF-BAMF/berufsbezsprachf-esf-bamf.pdf?__blob=publicationFile","x")</f>
        <v>x</v>
      </c>
      <c r="ED70" s="111"/>
      <c r="EE70" s="111"/>
      <c r="EF70" s="111"/>
      <c r="EG70" s="111"/>
      <c r="EH70" s="111"/>
      <c r="EI70" s="111"/>
      <c r="EJ70" s="112"/>
      <c r="EK70" s="112" t="str">
        <f>HYPERLINK("http://fluechtlingsrat-bw.de/files/Dateien/Dokumente/Materialbestellung/2014-12-flyer%20arbeitserlaubnis%20EN%20WEB.pdf","x")</f>
        <v>x</v>
      </c>
      <c r="EL70" s="112" t="str">
        <f>HYPERLINK("http://www.aponet.de/englisch/20151019-fuer-den-notfall-wichtige-rufnummern-im-ueberblick.html","x")</f>
        <v>x</v>
      </c>
      <c r="EM70" s="112" t="str">
        <f>HYPERLINK("http://www.kvs-sachsen.de/fileadmin/img/Mitglieder/Asylbewerber/Allg-Informationen/Anlage_1_Englisch_LEK.pdf","x")</f>
        <v>x</v>
      </c>
      <c r="EN70" s="112" t="str">
        <f>HYPERLINK("http://www.medizin-hilft-fluechtlingen.de/images/Dokumente/gSch/gSch_eng.pdf","x")</f>
        <v>x</v>
      </c>
      <c r="EO70" s="112" t="str">
        <f>HYPERLINK("http://www.aponet.de/englisch/medical-care-for-asylum-seekers.html","x")</f>
        <v>x</v>
      </c>
      <c r="EP70" s="117" t="str">
        <f>HYPERLINK("http://www.medi-bild.de/pdf/anamnese/Welche_Sprache.pdf","x")</f>
        <v>x</v>
      </c>
      <c r="EQ70" s="117" t="str">
        <f>HYPERLINK("http://www.armut-gesundheit.de/fileadmin/redakteur/dokumente/Anamnesebogen%20-%20englischnew.pdf","x")</f>
        <v>x</v>
      </c>
      <c r="ER70" s="112" t="str">
        <f>HYPERLINK("http://www.kvs-sachsen.de/fileadmin/img/Mitglieder/Asylbewerber/Allg-Informationen/Anlagen_2-1_2-2_Englisch_LEK.pdf","x")</f>
        <v>x</v>
      </c>
      <c r="ES70" s="111"/>
      <c r="ET70" s="111"/>
      <c r="EU70" s="112" t="str">
        <f>HYPERLINK("http://www.medizin-hilft-fluechtlingen.de/images/Dokumente/ein/ein_engl.pdf","x")</f>
        <v>x</v>
      </c>
      <c r="EV70" s="112" t="str">
        <f>HYPERLINK("http://www.adler-apotheke-hh.de/fileadmin/user_upload/PDF-Dateien/Dosierzettel_mehrsprachig_AUF_0_.pdf","x")</f>
        <v>x</v>
      </c>
      <c r="EW70" s="112" t="str">
        <f t="shared" si="14"/>
        <v>x</v>
      </c>
      <c r="EX70" s="112" t="str">
        <f>HYPERLINK("http://www.rki.de/DE/Content/Infekt/IfSG/Belehrungsbogen/belehrungsbogen_eltern_englisch.pdf?__blob=publicationFile","x")</f>
        <v>x</v>
      </c>
      <c r="EY70" s="112" t="str">
        <f>HYPERLINK("http://www.bzga.de/infomaterialien/?sid=236","x")</f>
        <v>x</v>
      </c>
      <c r="EZ70" s="112" t="str">
        <f>HYPERLINK("https://www.mh-hannover.de/fileadmin/mhh/bilder/aktuelles_presse/pressestelle/bilder/Pilzvergif_English.pdf","x")</f>
        <v>x</v>
      </c>
      <c r="FA70" s="112"/>
      <c r="FB70" s="112" t="str">
        <f>HYPERLINK("http://static.apotheken-umschau.de/media/gp/article_506373/bildwoerterbuch.pdf","x")</f>
        <v>x</v>
      </c>
      <c r="FC70" s="112" t="str">
        <f>HYPERLINK("https://www.studentenwerke.de/sites/default/files/gesundheitswoerterbuch.pdf","x")</f>
        <v>x</v>
      </c>
      <c r="FD70" s="112" t="str">
        <f t="shared" si="15"/>
        <v>x</v>
      </c>
      <c r="FE70" s="112" t="str">
        <f>HYPERLINK("http://sghanstedt.elbnetz.com/ueber-uns/","x")</f>
        <v>x</v>
      </c>
      <c r="FF70" s="112" t="str">
        <f>HYPERLINK("http://www.fuhlenhagen.com/pdf_dateien/uebertzungshilfe_aerzte_mehrsprachig.pdf","x")</f>
        <v>x</v>
      </c>
      <c r="FG70" s="112" t="str">
        <f>HYPERLINK("http://www.tipdoc.de/grafik/asyl/Gesundheitsheft_Asyl.pdf","x")</f>
        <v>x</v>
      </c>
      <c r="FH70" s="111"/>
      <c r="FI70" s="111"/>
      <c r="FJ70" s="112" t="str">
        <f>HYPERLINK("http://www.bundesgesundheitsministerium.de/fileadmin/dateien/Publikationen/Gesundheit/Broschueren/Ratgeber_Asylsuchende/Ratgeber_Asylsuchende_engl.pdf","x")</f>
        <v>x</v>
      </c>
      <c r="FK70" s="112" t="str">
        <f>HYPERLINK("http://www.rki.de/DE/Content/Infekt/Impfen/Materialien/Downloads-Impfkalender/Impfkalender_Englisch.pdf?__blob=publicationFile","x")</f>
        <v>x</v>
      </c>
      <c r="FL70" s="112" t="str">
        <f>HYPERLINK("http://www.ethno-medizinisches-zentrum.de/images/PDF-Files/impfwegweiser_englisch_2013_online.pdf","x")</f>
        <v>x</v>
      </c>
      <c r="FM70" s="112"/>
      <c r="FN70" s="112" t="str">
        <f>HYPERLINK("http://www.rki.de/DE/Content/Infekt/Impfen/Materialien/Glossar-Downloads/glossar-de-englisch.pdf?__blob=publicationFile","x")</f>
        <v>x</v>
      </c>
      <c r="FO70" s="112" t="str">
        <f>HYPERLINK("http://www.euro.who.int/__data/assets/pdf_file/0005/160754/VPDs_Signs-symptoms-complications.pdf?ua=1","x")</f>
        <v>x</v>
      </c>
      <c r="FP70" s="112" t="str">
        <f>HYPERLINK("http://www.rki.de/DE/Content/Infekt/Impfen/Materialien/Downloads-MMR/MMR-Impfinfo-englisch.pdf?__blob=publicationFile","x")</f>
        <v>x</v>
      </c>
      <c r="FQ70" s="112" t="str">
        <f>HYPERLINK("http://www.rki.de/DE/Content/InfAZ/P/Polio/Ausbruch_Syrien/Informationsblatt_Polio_Englisch.pdf?__blob=publicationFile","x")</f>
        <v>x</v>
      </c>
      <c r="FR70" s="112" t="str">
        <f>HYPERLINK("http://www.rki.de/DE/Content/Infekt/Impfen/Materialien/Downloads_HepA/Aufklaerung_HAV-Impfung_Englisch.pdf?__blob=publicationFile","x")</f>
        <v>x</v>
      </c>
      <c r="FS70" s="112" t="str">
        <f>HYPERLINK("http://www.rki.de/DE/Content/Infekt/Impfen/Materialien/Downloads_Pneumokokken/Aufklaerung_Pneumo-Impfung_Englisch.pdf?__blob=publicationFile","x")</f>
        <v>x</v>
      </c>
      <c r="FT70" s="112" t="str">
        <f>HYPERLINK("http://www.rki.de/DE/Content/Infekt/Impfen/Materialien/Downloads-DTaPIPVHibHepB/DTaPIPVHibHepB-englisch.pdf?__blob=publicationFile","x")</f>
        <v>x</v>
      </c>
      <c r="FU70" s="112" t="str">
        <f>HYPERLINK("http://www.rki.de/DE/Content/Infekt/Impfen/Materialien/Downloads-Varizellen/Varizellen-Impfinfo-englisch.pdf;jsessionid=65B697F4EE7EDA8A1ED9E2C4CD6C74EC.2_cid363?__blob=publicationFile","x")</f>
        <v>x</v>
      </c>
      <c r="FV70" s="112" t="str">
        <f>HYPERLINK("http://www.rki.de/DE/Content/Infekt/Impfen/Materialien/Downloads-Tdap-IPV/Tdap-IPV-englisch.pdf?__blob=publicationFile","x")</f>
        <v>x</v>
      </c>
      <c r="FW70" s="112" t="str">
        <f>HYPERLINK("http://www.rki.de/DE/Content/Infekt/Impfen/Materialien/Downloads-Influenza_nasal/Influenza_nasal-englisch.pdf?__blob=publicationFile","x")</f>
        <v>x</v>
      </c>
      <c r="FX70" s="111"/>
      <c r="FY70" s="112"/>
      <c r="FZ70" s="112"/>
      <c r="GA70" s="111"/>
      <c r="GB70" s="111"/>
      <c r="GC70" s="111"/>
      <c r="GD70" s="112" t="str">
        <f>HYPERLINK("http://www.ethno-medizinisches-zentrum.de/images/PDF-Files/lf_diabete_englisch.pdf","x")</f>
        <v>x</v>
      </c>
      <c r="GE70" s="111"/>
      <c r="GF70" s="111"/>
      <c r="GG70" s="111"/>
      <c r="GH70" s="112"/>
      <c r="GI70" s="111"/>
      <c r="GJ70" s="111"/>
      <c r="GK70" s="112" t="str">
        <f>HYPERLINK("http://www.tipdoc.de/bus/pdf/hiv/HIV%20ESP_Webseite.pdf","x")</f>
        <v>x</v>
      </c>
      <c r="GL70" s="111"/>
      <c r="GM70" s="112" t="str">
        <f>HYPERLINK("http://www.rki.de/DE/Content/Infekt/Impfen/Materialien/Downloads-Influenza/Influenza-englisch.pdf?__blob=publicationFile","x")</f>
        <v>x</v>
      </c>
      <c r="GN70" s="111"/>
      <c r="GO70" s="112" t="str">
        <f>HYPERLINK("http://www.aponet.de/englisch/20151111-so-unterscheiden-sich-grippe-und-erkaeltung.html","x")</f>
        <v>x</v>
      </c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2" t="str">
        <f t="shared" si="16"/>
        <v>x</v>
      </c>
      <c r="HD70" s="112" t="str">
        <f>HYPERLINK("https://www.zahnaerzte-wl.de/images/_PDF-suche/KZV_ZÄK/ENDSTAND_Ankreuzbogen_Ich_verstehe.pdf","x")</f>
        <v>x</v>
      </c>
      <c r="HE70" s="112" t="str">
        <f>HYPERLINK("https://www.zahnaerzte-wl.de/images/_PDF-suche/KZV_ZÄK/Anschreiben_Patienten_englisch.pdf","x")</f>
        <v>x</v>
      </c>
      <c r="HF70" s="112" t="str">
        <f>HYPERLINK("https://www.zahnaerzte-wl.de/images/_PDF-suche/KZV_ZÄK/Fragebogen_englisch.pdf","x")</f>
        <v>x</v>
      </c>
      <c r="HG70" s="112" t="str">
        <f>HYPERLINK("https://www.zahnaerzte-wl.de/images/_PDF-suche/KZV_ZÄK/Patientenerhebungsbogen_englisch.pdf","x")</f>
        <v>x</v>
      </c>
      <c r="HH70" s="112"/>
      <c r="HI70" s="112" t="str">
        <f>HYPERLINK("http://www.bvkm.de/fileadmin/web_data/Behinderung_und_Migration_englisch_2014.pdf","x")</f>
        <v>x</v>
      </c>
      <c r="HJ70" s="112"/>
      <c r="HK70" s="112" t="str">
        <f>HYPERLINK("http://www.psychenet.de/en/mental-health/knowledge/depression.html","x")</f>
        <v>x</v>
      </c>
      <c r="HL70" s="111"/>
      <c r="HM70" s="112" t="str">
        <f>HYPERLINK("http://www.psychenet.de/en/mental-health/knowledge/psychoses.html","x")</f>
        <v>x</v>
      </c>
      <c r="HN70" s="112" t="str">
        <f>HYPERLINK("http://www.psychenet.de/en/mental-health/knowledge/somatoform-disorders.html","x")</f>
        <v>x</v>
      </c>
      <c r="HO70" s="112" t="str">
        <f>HYPERLINK("http://www.psychenet.de/en/mental-health/knowledge/anorexia.html","x")</f>
        <v>x</v>
      </c>
      <c r="HP70" s="112" t="str">
        <f>HYPERLINK("http://www.psychenet.de/en/mental-health/knowledge/bulimia.html","x")</f>
        <v>x</v>
      </c>
      <c r="HQ70" s="112" t="str">
        <f>HYPERLINK("http://www.psychenet.de/en/mental-health/knowledge/bipolar-disorder.html","x")</f>
        <v>x</v>
      </c>
      <c r="HR70" s="112" t="str">
        <f>HYPERLINK("http://www.psychenet.de/en/mental-health/knowledge/panic-and-agoraphobia.html","x")</f>
        <v>x</v>
      </c>
      <c r="HS70" s="112" t="str">
        <f>HYPERLINK("http://www.psychenet.de/en/mental-health/knowledge/social-phobia.html","x")</f>
        <v>x</v>
      </c>
      <c r="HT70" s="112" t="str">
        <f>HYPERLINK("http://www.psychenet.de/en/mental-health/knowledge/generalized-anxiety-disorder.html","x")</f>
        <v>x</v>
      </c>
      <c r="HU70" s="112"/>
      <c r="HV70" s="112" t="str">
        <f>HYPERLINK("http://www.psychenet.de/en/mental-health/knowledge/information-and-support.html","x")</f>
        <v>x</v>
      </c>
      <c r="HW70" s="112"/>
      <c r="HX70" s="112" t="str">
        <f>HYPERLINK("http://www.bkk-psychisch-gesund.de/fileadmin/user_upload/Dokumente/Versicherte/Broschueren/Wegweiser_Psychotherapie_englisch.pdf","x")</f>
        <v>x</v>
      </c>
      <c r="HY70" s="112" t="str">
        <f t="shared" si="17"/>
        <v>x</v>
      </c>
      <c r="HZ70" s="112" t="str">
        <f t="shared" si="18"/>
        <v>x</v>
      </c>
      <c r="IA70" s="112" t="str">
        <f>HYPERLINK("http://peacefulheart.se/wp-content/uploads/2012/02/TTT_English_2013.pdf","x")</f>
        <v>x</v>
      </c>
      <c r="IB70" s="112"/>
      <c r="IC70" s="112"/>
      <c r="ID70" s="112" t="str">
        <f>HYPERLINK("http://www.susannestein.de/VIA-online/trauma-picture-book.pdf","x")</f>
        <v>x</v>
      </c>
      <c r="IE70" s="112" t="str">
        <f>HYPERLINK("http://www.psychenet.de/en/mental-health/knowledge/alcohol-in-adolescence.html","x")</f>
        <v>x</v>
      </c>
      <c r="IF70" s="112"/>
      <c r="IG70" s="112"/>
      <c r="IH70" s="111"/>
      <c r="II70" s="112" t="str">
        <f>HYPERLINK("http://www.caritas.de/hilfeundberatung/onlineberatung/suchtberatung/haeufiggestelltefragensucht/haeufiggestelltefragen-sucht","x")</f>
        <v>x</v>
      </c>
      <c r="IJ70" s="112" t="str">
        <f>HYPERLINK("http://www.dhs.de/fileadmin/user_upload/pdf/Broschueren/Ein_Angebot_an_alle-Englisch.pdf","x")</f>
        <v>x</v>
      </c>
      <c r="IK70" s="112" t="str">
        <f>HYPERLINK("http://www.bamf.de/SharedDocs/Anlagen/EN/Publikationen/Flyer/Lassen-Sie-Sich-Beraten/lassen-sie-sich-beraten.pdf?__blob=publicationFile","x")</f>
        <v>x</v>
      </c>
      <c r="IL70" s="115" t="str">
        <f>HYPERLINK("http://www.bamf.de/SharedDocs/Anlagen/EN/Publikationen/Flyer/flyer-erstorientierung-asylsuchende.pdf?__blob=publicationFile","x")</f>
        <v>x</v>
      </c>
      <c r="IM70" s="112" t="str">
        <f>HYPERLINK("http://www.frnrw.de/index.php/inhaltliche-themen/arbeitshilfen/item/3710-erstinfos-fuer-asylsuchende","x")</f>
        <v>x</v>
      </c>
      <c r="IN70" s="112" t="str">
        <f>HYPERLINK("http://www.bamf.de/SharedDocs/Anlagen/EN/Publikationen/Broschueren/willkommen-in-deutschland.pdf;jsessionid=2D72CB108E4AC02BBB9659E7D9A589B2.1_cid368?__blob=publicationFile","x")</f>
        <v>x</v>
      </c>
      <c r="IO70" s="112"/>
      <c r="IP70" s="112"/>
      <c r="IQ70" s="112" t="str">
        <f>HYPERLINK("http://www.bamf.de/SharedDocs/Anlagen/EN/Publikationen/Flyer/Lernen-Sie-Deutsch/lernen-sie-deutsch.pdf?__blob=publicationFile","x")</f>
        <v>x</v>
      </c>
      <c r="IR70" s="112" t="str">
        <f>HYPERLINK("http://www.asyl.net/fileadmin/user_upload/redaktion/Dokumente/Arbeitshilfen/150910_Wie_l%C3%A4uft_ein_Asylverfahren_ab_%C3%9Cberblickstext_Englisch.pdf","x")</f>
        <v>x</v>
      </c>
      <c r="IS70" s="111"/>
      <c r="IT70" s="112" t="str">
        <f>HYPERLINK("http://www.bamf.de/SharedDocs/Anlagen/EN/Publikationen/Flyer/ablauf-asylverfahren.pdf;jsessionid=DBD4307960D761935FCC3E0325D459A1.1_cid294?__blob=publicationFile","x")</f>
        <v>x</v>
      </c>
      <c r="IU70" s="111"/>
      <c r="IV70" s="112" t="str">
        <f>HYPERLINK("http://www.asyl.net/fileadmin/user_upload/infoblatt_anhoerung/Infoblatt_2015_en_fin.pdf","x")</f>
        <v>x</v>
      </c>
      <c r="IW70" s="112"/>
      <c r="IX70" s="112" t="str">
        <f>HYPERLINK("http://www.berlin.de/labo/willkommen-in-berlin/service/downloads/artikel.273193.php","x")</f>
        <v>x</v>
      </c>
      <c r="IY70" s="112" t="str">
        <f>HYPERLINK("http://www.bamf.de/SharedDocs/Anlagen/EN/Publikationen/Broschueren/broschuere-eat-a4.pdf?__blob=publicationFile","x")</f>
        <v>x</v>
      </c>
      <c r="IZ70" s="111"/>
      <c r="JA70" s="112" t="str">
        <f>HYPERLINK("http://fluechtlingsrat-bw.de/informationen-fuer-fluechtlinge.html","x")</f>
        <v>x</v>
      </c>
      <c r="JB70" s="111"/>
      <c r="JC70" s="112" t="str">
        <f>HYPERLINK("http://www.bamf.de/SharedDocs/Anlagen/EN/Publikationen/Flyer/20150223_ura2_en.pdf?__blob=publicationFile","x")</f>
        <v>x</v>
      </c>
      <c r="JD70" s="111"/>
      <c r="JE70" s="112"/>
      <c r="JF70" s="112"/>
      <c r="JG70" s="112" t="str">
        <f>HYPERLINK("http://www.bamf.de/SharedDocs/Anlagen/EN/Publikationen/Flyer/Ehegattennachzug/ehegattennachzug.pdf?__blob=publicationFile","x")</f>
        <v>x</v>
      </c>
      <c r="JH70" s="112" t="str">
        <f>HYPERLINK("https://familyreunion-syria.diplo.de/webportal/index.html#start","x")</f>
        <v>x</v>
      </c>
      <c r="JI70" s="112" t="str">
        <f>HYPERLINK("http://ec.europa.eu/dgs/home-affairs/what-we-do/networks/european_migration_network/docs/emn-glossary-en-version.pdf","x")</f>
        <v>x</v>
      </c>
      <c r="JJ70" s="112"/>
      <c r="JK70" s="112" t="str">
        <f>HYPERLINK("https://www.arbeitsagentur.de/web/wcm/idc/groups/public/documents/webdatei/mdaw/mjgz/~edisp/l6019022dstbai784628.pdf?_ba.sid=L6019022DSTBAI784625","x")</f>
        <v>x</v>
      </c>
      <c r="JL70" s="112" t="str">
        <f>HYPERLINK("http://www.kub-berlin.org/formularprojekt/de/englisch-antraege-und-anlagen-uebersetzungshilfen/","x")</f>
        <v>x</v>
      </c>
      <c r="JM70" s="112" t="str">
        <f>HYPERLINK("https://www.arbeitsagentur.de/web/content/DE/Formulare/Detail/index.htm?dfContentId=L6019022DSTBAI485740","x")</f>
        <v>x</v>
      </c>
      <c r="JN70" s="112"/>
      <c r="JO70" s="112"/>
      <c r="JP70" s="112"/>
      <c r="JQ70" s="112"/>
      <c r="JR70" s="112" t="str">
        <f>HYPERLINK("http://www.ibla-germany.de/merkblaetter.php","x")</f>
        <v>x</v>
      </c>
      <c r="JS70" s="112"/>
      <c r="JT70" s="112" t="str">
        <f>HYPERLINK("http://www.b-umf.de/images/willkommen/willkommensbroschureenglisch-web.pdf","x")</f>
        <v>x</v>
      </c>
      <c r="JU70" s="111"/>
      <c r="JV70" s="111"/>
      <c r="JW70" s="112"/>
      <c r="JX70" s="112" t="str">
        <f>HYPERLINK("https://www.arbeitsagentur.de/web/wcm/idc/groups/public/documents/webdatei/mdaw/mjgz/~edisp/l6019022dstbai784636.pdf?_ba.sid=L6019022DSTBAI784633","x")</f>
        <v>x</v>
      </c>
      <c r="JY70" s="112"/>
      <c r="JZ70" s="112"/>
      <c r="KA70" s="112"/>
      <c r="KB70" s="112" t="str">
        <f>HYPERLINK("http://www.refugeeguide.de/dl/RefugeeGuide_en_925.pdf","x")</f>
        <v>x</v>
      </c>
      <c r="KC70" s="112" t="str">
        <f>HYPERLINK("http://www.gesetze-im-internet.de/englisch_gg/basic_law_for_the_federal_republic_of_germany.pdf","x")</f>
        <v>x</v>
      </c>
      <c r="KD70" s="112" t="str">
        <f>HYPERLINK("http://www.wedel.de/fileadmin/user_upload/media/pdf/Rathaus_und_Politik/20160118_PM_Broschuere.pdf","x")</f>
        <v>x</v>
      </c>
      <c r="KE70" s="112" t="str">
        <f>HYPERLINK("http://www.frauenrechte.de/online/images/downloads/allgemein/TDF_Flyer_Women_Men.pdf","x")</f>
        <v>x</v>
      </c>
      <c r="KF70" s="112" t="str">
        <f>HYPERLINK("http://sab.landtag.sachsen.de/dokumente/landtagskurier/Grundwerte-A5-international_web_08012016.pdf","x")</f>
        <v>x</v>
      </c>
      <c r="KG70" s="112"/>
      <c r="KH70" s="112"/>
      <c r="KI70" s="112"/>
      <c r="KJ70" s="112"/>
      <c r="KK70" s="112"/>
      <c r="KL70" s="112"/>
      <c r="KM70" s="112"/>
      <c r="KN70" s="112"/>
      <c r="KO70" s="112"/>
      <c r="KP70" s="112"/>
      <c r="KQ70" s="112"/>
      <c r="KR70" s="112"/>
      <c r="KS70" s="112"/>
      <c r="KT70" s="112"/>
      <c r="KU70" s="112"/>
      <c r="KV70" s="112"/>
      <c r="KW70" s="112"/>
      <c r="KX70" s="112"/>
      <c r="KY70" s="112"/>
      <c r="KZ70" s="112"/>
      <c r="LA70" s="112"/>
      <c r="LB70" s="112"/>
      <c r="LC70" s="111"/>
      <c r="LD70" s="112"/>
      <c r="LE70" s="112"/>
      <c r="LF70" s="112"/>
      <c r="LG70" s="112"/>
      <c r="LH70" s="112"/>
      <c r="LI70" s="112"/>
      <c r="LJ70" s="112"/>
      <c r="LK70" s="112"/>
      <c r="LL70" s="112"/>
      <c r="LM70" s="112"/>
      <c r="LN70" s="112"/>
      <c r="LO70" s="112"/>
      <c r="LP70" s="112"/>
      <c r="LQ70" s="112"/>
      <c r="LR70" s="112"/>
      <c r="LS70" s="112"/>
      <c r="LT70" s="112"/>
      <c r="LU70" s="112"/>
      <c r="LV70" s="112"/>
      <c r="LW70" s="112"/>
      <c r="LX70" s="112"/>
      <c r="LY70" s="112"/>
      <c r="LZ70" s="112"/>
      <c r="MA70" s="112"/>
      <c r="MB70" s="112"/>
      <c r="MC70" s="111"/>
      <c r="MD70" s="112" t="str">
        <f>HYPERLINK("http://www.rki.de/DE/Content/Infekt/IfSG/Belehrungsbogen/belehrungsbogen_lebensmittel_englisch.pdf?__blob=publicationFile","x")</f>
        <v>x</v>
      </c>
      <c r="ME70" s="112"/>
      <c r="MF70" s="112" t="str">
        <f>HYPERLINK("http://www.gdv.de/wp-content/uploads/2016/01/Information_Brandschutz_Fluechtlingsheim_-Sicherheit_mehrsprachig.pdf","x")</f>
        <v>x</v>
      </c>
      <c r="MG70" s="112" t="str">
        <f>HYPERLINK("http://www.gdv.de/wp-content/uploads/2016/01/Information_Verhalten-im-Brandfall_mehrsprachig.pdf","x")</f>
        <v>x</v>
      </c>
      <c r="MH70" s="112" t="str">
        <f>HYPERLINK("http://www.aha-region.de/fileadmin/Download/pdf/aha_Plakat_Muelltrennung_en.pdf","x")</f>
        <v>x</v>
      </c>
      <c r="MI70" s="112" t="str">
        <f>HYPERLINK("http://www.kindersicherheit.de/pdf/2012_poster_achtunggiftig_8sprachig.pdf","x")</f>
        <v>x</v>
      </c>
    </row>
    <row r="71" spans="1:347" x14ac:dyDescent="0.25">
      <c r="A71" s="102" t="s">
        <v>383</v>
      </c>
      <c r="B71" s="127" t="s">
        <v>475</v>
      </c>
      <c r="C71" s="102"/>
      <c r="D71" s="102"/>
      <c r="E71" s="102"/>
      <c r="F71" s="102"/>
      <c r="G71" s="102"/>
      <c r="H71" s="102"/>
      <c r="I71" s="102"/>
      <c r="J71" s="102"/>
      <c r="K71" s="103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3"/>
      <c r="AW71" s="114" t="str">
        <f t="shared" si="0"/>
        <v>x</v>
      </c>
      <c r="AX71" s="114" t="str">
        <f t="shared" si="1"/>
        <v>x</v>
      </c>
      <c r="AY71" s="111"/>
      <c r="AZ71" s="111"/>
      <c r="BA71" s="112" t="str">
        <f t="shared" si="2"/>
        <v>x</v>
      </c>
      <c r="BB71" s="112" t="str">
        <f t="shared" si="3"/>
        <v>x</v>
      </c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2" t="str">
        <f t="shared" si="4"/>
        <v>x</v>
      </c>
      <c r="BT71" s="112"/>
      <c r="BU71" s="111"/>
      <c r="BV71" s="112" t="str">
        <f t="shared" si="5"/>
        <v>x</v>
      </c>
      <c r="BW71" s="112" t="str">
        <f>HYPERLINK("http://www.welcomegrooves.de/wp-content/uploads/2015/11/welcomegrooves_DE-TWI.pdf","x")</f>
        <v>x</v>
      </c>
      <c r="BX71" s="112"/>
      <c r="BY71" s="112"/>
      <c r="BZ71" s="112"/>
      <c r="CA71" s="112" t="str">
        <f t="shared" si="6"/>
        <v>x</v>
      </c>
      <c r="CB71" s="112" t="str">
        <f t="shared" si="7"/>
        <v>x</v>
      </c>
      <c r="CC71" s="112" t="str">
        <f t="shared" si="8"/>
        <v>x</v>
      </c>
      <c r="CD71" s="112"/>
      <c r="CE71" s="112"/>
      <c r="CF71" s="111"/>
      <c r="CG71" s="111"/>
      <c r="CH71" s="111"/>
      <c r="CI71" s="111"/>
      <c r="CJ71" s="111"/>
      <c r="CK71" s="112" t="str">
        <f t="shared" si="9"/>
        <v>x</v>
      </c>
      <c r="CL71" s="112"/>
      <c r="CM71" s="112"/>
      <c r="CN71" s="112"/>
      <c r="CO71" s="112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2"/>
      <c r="DA71" s="112"/>
      <c r="DB71" s="112"/>
      <c r="DC71" s="115"/>
      <c r="DD71" s="112"/>
      <c r="DE71" s="112"/>
      <c r="DF71" s="112" t="str">
        <f t="shared" si="10"/>
        <v>x</v>
      </c>
      <c r="DG71" s="115" t="str">
        <f t="shared" si="11"/>
        <v>x</v>
      </c>
      <c r="DH71" s="112" t="str">
        <f t="shared" si="12"/>
        <v>x</v>
      </c>
      <c r="DI71" s="112" t="str">
        <f t="shared" si="13"/>
        <v>x</v>
      </c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7"/>
      <c r="EQ71" s="117"/>
      <c r="ER71" s="111"/>
      <c r="ES71" s="111"/>
      <c r="ET71" s="111"/>
      <c r="EU71" s="111"/>
      <c r="EV71" s="111"/>
      <c r="EW71" s="112" t="str">
        <f t="shared" si="14"/>
        <v>x</v>
      </c>
      <c r="EX71" s="111"/>
      <c r="EY71" s="111"/>
      <c r="EZ71" s="111"/>
      <c r="FA71" s="111"/>
      <c r="FB71" s="111"/>
      <c r="FC71" s="111"/>
      <c r="FD71" s="112" t="str">
        <f t="shared" si="15"/>
        <v>x</v>
      </c>
      <c r="FE71" s="112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2" t="str">
        <f t="shared" si="16"/>
        <v>x</v>
      </c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2" t="str">
        <f t="shared" si="17"/>
        <v>x</v>
      </c>
      <c r="HZ71" s="112" t="str">
        <f t="shared" si="18"/>
        <v>x</v>
      </c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  <c r="IY71" s="111"/>
      <c r="IZ71" s="111"/>
      <c r="JA71" s="111"/>
      <c r="JB71" s="111"/>
      <c r="JC71" s="111"/>
      <c r="JD71" s="111"/>
      <c r="JE71" s="111"/>
      <c r="JF71" s="111"/>
      <c r="JG71" s="111"/>
      <c r="JH71" s="111"/>
      <c r="JI71" s="111"/>
      <c r="JJ71" s="111"/>
      <c r="JK71" s="111"/>
      <c r="JL71" s="111"/>
      <c r="JM71" s="111"/>
      <c r="JN71" s="111"/>
      <c r="JO71" s="111"/>
      <c r="JP71" s="111"/>
      <c r="JQ71" s="111"/>
      <c r="JR71" s="111"/>
      <c r="JS71" s="111"/>
      <c r="JT71" s="111"/>
      <c r="JU71" s="111"/>
      <c r="JV71" s="111"/>
      <c r="JW71" s="111"/>
      <c r="JX71" s="111"/>
      <c r="JY71" s="111"/>
      <c r="JZ71" s="111"/>
      <c r="KA71" s="111"/>
      <c r="KB71" s="111"/>
      <c r="KC71" s="111"/>
      <c r="KD71" s="111"/>
      <c r="KE71" s="111"/>
      <c r="KF71" s="111"/>
      <c r="KG71" s="111"/>
      <c r="KH71" s="111"/>
      <c r="KI71" s="111"/>
      <c r="KJ71" s="111"/>
      <c r="KK71" s="111"/>
      <c r="KL71" s="111"/>
      <c r="KM71" s="111"/>
      <c r="KN71" s="111"/>
      <c r="KO71" s="111"/>
      <c r="KP71" s="111"/>
      <c r="KQ71" s="111"/>
      <c r="KR71" s="111"/>
      <c r="KS71" s="111"/>
      <c r="KT71" s="111"/>
      <c r="KU71" s="111"/>
      <c r="KV71" s="111"/>
      <c r="KW71" s="111"/>
      <c r="KX71" s="111"/>
      <c r="KY71" s="111"/>
      <c r="KZ71" s="111"/>
      <c r="LA71" s="111"/>
      <c r="LB71" s="111"/>
      <c r="LC71" s="111"/>
      <c r="LD71" s="111"/>
      <c r="LE71" s="111"/>
      <c r="LF71" s="111"/>
      <c r="LG71" s="111"/>
      <c r="LH71" s="111"/>
      <c r="LI71" s="111"/>
      <c r="LJ71" s="111"/>
      <c r="LK71" s="111"/>
      <c r="LL71" s="111"/>
      <c r="LM71" s="111"/>
      <c r="LN71" s="111"/>
      <c r="LO71" s="111"/>
      <c r="LP71" s="111"/>
      <c r="LQ71" s="111"/>
      <c r="LR71" s="111"/>
      <c r="LS71" s="111"/>
      <c r="LT71" s="111"/>
      <c r="LU71" s="111"/>
      <c r="LV71" s="111"/>
      <c r="LW71" s="111"/>
      <c r="LX71" s="111"/>
      <c r="LY71" s="111"/>
      <c r="LZ71" s="111"/>
      <c r="MA71" s="111"/>
      <c r="MB71" s="111"/>
      <c r="MC71" s="111"/>
      <c r="MD71" s="111"/>
      <c r="ME71" s="111"/>
      <c r="MF71" s="111"/>
      <c r="MG71" s="111"/>
      <c r="MH71" s="111"/>
      <c r="MI71" s="111"/>
    </row>
    <row r="72" spans="1:347" x14ac:dyDescent="0.25">
      <c r="A72" s="102" t="s">
        <v>89</v>
      </c>
      <c r="B72" s="127" t="s">
        <v>106</v>
      </c>
      <c r="C72" s="102"/>
      <c r="D72" s="102"/>
      <c r="E72" s="102"/>
      <c r="F72" s="102"/>
      <c r="G72" s="102"/>
      <c r="H72" s="102"/>
      <c r="I72" s="102"/>
      <c r="J72" s="102"/>
      <c r="K72" s="103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2"/>
      <c r="AP72" s="112"/>
      <c r="AQ72" s="112"/>
      <c r="AR72" s="112"/>
      <c r="AS72" s="112"/>
      <c r="AT72" s="112"/>
      <c r="AU72" s="112"/>
      <c r="AV72" s="113"/>
      <c r="AW72" s="114" t="str">
        <f t="shared" si="0"/>
        <v>x</v>
      </c>
      <c r="AX72" s="114" t="str">
        <f t="shared" si="1"/>
        <v>x</v>
      </c>
      <c r="AY72" s="111"/>
      <c r="AZ72" s="111"/>
      <c r="BA72" s="112" t="str">
        <f t="shared" si="2"/>
        <v>x</v>
      </c>
      <c r="BB72" s="112" t="str">
        <f t="shared" si="3"/>
        <v>x</v>
      </c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2" t="str">
        <f t="shared" si="4"/>
        <v>x</v>
      </c>
      <c r="BT72" s="112"/>
      <c r="BU72" s="111"/>
      <c r="BV72" s="112" t="str">
        <f t="shared" si="5"/>
        <v>x</v>
      </c>
      <c r="BW72" s="112" t="str">
        <f>HYPERLINK("http://www.welcomegrooves.de/wp-content/uploads/2015/11/welcomegrooves_DE-GRIECHISCH.pdf","x")</f>
        <v>x</v>
      </c>
      <c r="BX72" s="112"/>
      <c r="BY72" s="112"/>
      <c r="BZ72" s="112"/>
      <c r="CA72" s="112" t="str">
        <f t="shared" si="6"/>
        <v>x</v>
      </c>
      <c r="CB72" s="112" t="str">
        <f t="shared" si="7"/>
        <v>x</v>
      </c>
      <c r="CC72" s="112" t="str">
        <f t="shared" si="8"/>
        <v>x</v>
      </c>
      <c r="CD72" s="112"/>
      <c r="CE72" s="112"/>
      <c r="CF72" s="111"/>
      <c r="CG72" s="111"/>
      <c r="CH72" s="111"/>
      <c r="CI72" s="111"/>
      <c r="CJ72" s="111"/>
      <c r="CK72" s="112" t="str">
        <f t="shared" si="9"/>
        <v>x</v>
      </c>
      <c r="CL72" s="112"/>
      <c r="CM72" s="112"/>
      <c r="CN72" s="112"/>
      <c r="CO72" s="112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2"/>
      <c r="DA72" s="112"/>
      <c r="DB72" s="112"/>
      <c r="DC72" s="115"/>
      <c r="DD72" s="112"/>
      <c r="DE72" s="112"/>
      <c r="DF72" s="112" t="str">
        <f t="shared" si="10"/>
        <v>x</v>
      </c>
      <c r="DG72" s="115" t="str">
        <f t="shared" si="11"/>
        <v>x</v>
      </c>
      <c r="DH72" s="112" t="str">
        <f t="shared" si="12"/>
        <v>x</v>
      </c>
      <c r="DI72" s="112" t="str">
        <f t="shared" si="13"/>
        <v>x</v>
      </c>
      <c r="DJ72" s="111"/>
      <c r="DK72" s="111"/>
      <c r="DL72" s="111"/>
      <c r="DM72" s="111"/>
      <c r="DN72" s="111"/>
      <c r="DO72" s="111"/>
      <c r="DP72" s="111"/>
      <c r="DQ72" s="111"/>
      <c r="DR72" s="111"/>
      <c r="DS72" s="112" t="str">
        <f>HYPERLINK("http://bildung.koeln.de/materialbibliothek/download.php?idx=d35570d7126defc916713321f0977622","x")</f>
        <v>x</v>
      </c>
      <c r="DT72" s="112" t="str">
        <f>HYPERLINK("http://bildung.koeln.de/materialbibliothek/download.php?idx=bde72be3f1bc4c51a4b0bcfe4a4187c4","x")</f>
        <v>x</v>
      </c>
      <c r="DU72" s="112"/>
      <c r="DV72" s="112" t="str">
        <f>HYPERLINK("https://www.bmbf.de/pub/BMBF_Kausa_Elternbroschuere_griechisch.pdf","x")</f>
        <v>x</v>
      </c>
      <c r="DW72" s="111"/>
      <c r="DX72" s="111"/>
      <c r="DY72" s="111"/>
      <c r="DZ72" s="111"/>
      <c r="EA72" s="112" t="str">
        <f>HYPERLINK("http://www.bamf.de/SharedDocs/Anlagen/DE/Publikationen/Flyer/AnerkennungBerufsabschluss/anerkennung-berufsabschluss_ausland_el.pdf?__blob=publicationFile","x")</f>
        <v>x</v>
      </c>
      <c r="EB72" s="112"/>
      <c r="EC72" s="112" t="str">
        <f>HYPERLINK("http://www.bamf.de/SharedDocs/Anlagen/DE/Publikationen/Flyer/Berufsbezsprachf-ESF-BAMF/berufsbezsprachf-esf-bamf_gr.pdf?__blob=publicationFile","x")</f>
        <v>x</v>
      </c>
      <c r="ED72" s="111"/>
      <c r="EE72" s="111"/>
      <c r="EF72" s="111"/>
      <c r="EG72" s="111"/>
      <c r="EH72" s="111"/>
      <c r="EI72" s="111"/>
      <c r="EJ72" s="112"/>
      <c r="EK72" s="112"/>
      <c r="EL72" s="111"/>
      <c r="EM72" s="111"/>
      <c r="EN72" s="111"/>
      <c r="EO72" s="111"/>
      <c r="EP72" s="117" t="str">
        <f>HYPERLINK("http://www.medi-bild.de/pdf/anamnese/Welche_Sprache.pdf","x")</f>
        <v>x</v>
      </c>
      <c r="EQ72" s="117" t="str">
        <f>HYPERLINK("http://www.medknowledge.de/migration/tipdoc/anamnesebogen/tipdoc_Anamnese_greek.pdf","x")</f>
        <v>x</v>
      </c>
      <c r="ER72" s="111"/>
      <c r="ES72" s="111"/>
      <c r="ET72" s="111"/>
      <c r="EU72" s="111"/>
      <c r="EV72" s="111"/>
      <c r="EW72" s="112" t="str">
        <f t="shared" si="14"/>
        <v>x</v>
      </c>
      <c r="EX72" s="111"/>
      <c r="EY72" s="111"/>
      <c r="EZ72" s="111"/>
      <c r="FA72" s="111"/>
      <c r="FB72" s="111"/>
      <c r="FC72" s="111"/>
      <c r="FD72" s="112" t="str">
        <f t="shared" si="15"/>
        <v>x</v>
      </c>
      <c r="FE72" s="112" t="str">
        <f>HYPERLINK("http://sghanstedt.elbnetz.com/ueber-uns/","x")</f>
        <v>x</v>
      </c>
      <c r="FF72" s="111"/>
      <c r="FG72" s="111"/>
      <c r="FH72" s="111"/>
      <c r="FI72" s="111"/>
      <c r="FJ72" s="111"/>
      <c r="FK72" s="111"/>
      <c r="FL72" s="112" t="str">
        <f>HYPERLINK("http://www.ethno-medizinisches-zentrum.de/images/PDF-Files/impfwegweiser_griechisch_2013_online.pdf","x")</f>
        <v>x</v>
      </c>
      <c r="FM72" s="112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2" t="str">
        <f t="shared" si="16"/>
        <v>x</v>
      </c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2" t="str">
        <f t="shared" si="17"/>
        <v>x</v>
      </c>
      <c r="HZ72" s="112" t="str">
        <f t="shared" si="18"/>
        <v>x</v>
      </c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2" t="str">
        <f>HYPERLINK("http://www.bamf.de/SharedDocs/Anlagen/DE/Publikationen/Flyer/Lassen-Sie-Sich-Beraten/lassen-sie-sich-beraten_el.pdf?__blob=publicationFile","x")</f>
        <v>x</v>
      </c>
      <c r="IL72" s="111"/>
      <c r="IM72" s="111"/>
      <c r="IN72" s="112" t="str">
        <f>HYPERLINK("https://www.bamf.de/SharedDocs/Anlagen/DE/Publikationen/Broschueren/willkommen-in-deutschland_gr.pdf?__blob=publicationFile","x")</f>
        <v>x</v>
      </c>
      <c r="IO72" s="112"/>
      <c r="IP72" s="111"/>
      <c r="IQ72" s="112" t="str">
        <f>HYPERLINK("http://www.bamf.de/SharedDocs/Anlagen/DE/Publikationen/Flyer/Lernen-Sie-Deutsch/lernen-sie-deutsch_gr.pdf?__blob=publicationFile","x")</f>
        <v>x</v>
      </c>
      <c r="IR72" s="112"/>
      <c r="IS72" s="111"/>
      <c r="IT72" s="111"/>
      <c r="IU72" s="111"/>
      <c r="IV72" s="112"/>
      <c r="IW72" s="112"/>
      <c r="IX72" s="112" t="str">
        <f>HYPERLINK("http://www.berlin.de/labo/willkommen-in-berlin/service/downloads/artikel.273193.php","x")</f>
        <v>x</v>
      </c>
      <c r="IY72" s="112"/>
      <c r="IZ72" s="111"/>
      <c r="JA72" s="111"/>
      <c r="JB72" s="111"/>
      <c r="JC72" s="112"/>
      <c r="JD72" s="111"/>
      <c r="JE72" s="112"/>
      <c r="JF72" s="112"/>
      <c r="JG72" s="112"/>
      <c r="JH72" s="112"/>
      <c r="JI72" s="111"/>
      <c r="JJ72" s="112"/>
      <c r="JK72" s="112"/>
      <c r="JL72" s="112"/>
      <c r="JM72" s="112" t="str">
        <f>HYPERLINK("https://www.arbeitsagentur.de/web/content/DE/Formulare/Detail/index.htm?dfContentId=L6019022DSTBAI485740","x")</f>
        <v>x</v>
      </c>
      <c r="JN72" s="112"/>
      <c r="JO72" s="112"/>
      <c r="JP72" s="112"/>
      <c r="JQ72" s="112"/>
      <c r="JR72" s="112" t="str">
        <f>HYPERLINK("http://www.ibla-germany.de/merkblaetter.php","x")</f>
        <v>x</v>
      </c>
      <c r="JS72" s="112"/>
      <c r="JT72" s="111"/>
      <c r="JU72" s="111"/>
      <c r="JV72" s="111"/>
      <c r="JW72" s="112"/>
      <c r="JX72" s="112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  <c r="MI72" s="111"/>
    </row>
    <row r="73" spans="1:347" x14ac:dyDescent="0.25">
      <c r="A73" s="102" t="s">
        <v>380</v>
      </c>
      <c r="B73" s="127" t="s">
        <v>4</v>
      </c>
      <c r="C73" s="102"/>
      <c r="D73" s="102"/>
      <c r="E73" s="102"/>
      <c r="F73" s="102"/>
      <c r="G73" s="102"/>
      <c r="H73" s="102"/>
      <c r="I73" s="102"/>
      <c r="J73" s="102"/>
      <c r="K73" s="103"/>
      <c r="L73" s="111"/>
      <c r="M73" s="111"/>
      <c r="N73" s="112" t="str">
        <f>HYPERLINK("http://www.ag-fluechtlingshilfe-wetterau.de/uploads/infos/170.pdf","x")</f>
        <v>x</v>
      </c>
      <c r="O73" s="112" t="str">
        <f>HYPERLINK("http://www.ag-fluechtlingshilfe-wetterau.de/uploads/infos/220.pdf","x")</f>
        <v>x</v>
      </c>
      <c r="P73" s="112" t="str">
        <f>HYPERLINK("http://www.awb-ahrweiler.de/admin/data/ddownload/Abfall%20Sonderhinweise-englisch_2014.pdf","x")</f>
        <v>x</v>
      </c>
      <c r="Q73" s="112" t="str">
        <f>HYPERLINK("http://www.ag-fluechtlingshilfe-wetterau.de/uploads/infos/221.pdf","x")</f>
        <v>x</v>
      </c>
      <c r="R73" s="112" t="str">
        <f>HYPERLINK("http://www.konto.org/download/merkblatt-basiskonto-asylbewerber-english.pdf","x")</f>
        <v>x</v>
      </c>
      <c r="S73" s="112"/>
      <c r="T73" s="112" t="str">
        <f>HYPERLINK("https://antworten.sparkasse.de/wp-content/uploads/2015/10/English.pdf","x")</f>
        <v>x</v>
      </c>
      <c r="U73" s="112" t="str">
        <f>HYPERLINK("http://www.ag-fluechtlingshilfe-wetterau.de/uploads/infos/191.pdf","x")</f>
        <v>x</v>
      </c>
      <c r="V73" s="112"/>
      <c r="W73" s="112"/>
      <c r="X7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7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73" s="112"/>
      <c r="AA73" s="112"/>
      <c r="AB73" s="112"/>
      <c r="AC73" s="112" t="str">
        <f>HYPERLINK("http://www.vzhh.de/vzhh/409638/vzhh_refugees_telephone_internet.pdf","x")</f>
        <v>x</v>
      </c>
      <c r="AD73" s="112" t="str">
        <f>HYPERLINK("http://www.vzhh.de/vzhh/410647/vzhh_refugees_rundfunk.pdf","x")</f>
        <v>x</v>
      </c>
      <c r="AE73" s="112" t="str">
        <f>HYPERLINK("http://www.vzhh.de/vzhh/411476/vzhh_refugees_rundfunk_befreiung.pdf","x")</f>
        <v>x</v>
      </c>
      <c r="AF73" s="112" t="str">
        <f>HYPERLINK("http://www.kub-berlin.org/formularprojekt/de/englisch-antraege-und-anlagen-uebersetzungshilfen/","x")</f>
        <v>x</v>
      </c>
      <c r="AG73" s="112" t="str">
        <f>HYPERLINK("http://asyl-in-moenchengladbach.de/wp-content/uploads/2015/11/100711-Flyer_GB.pdf","x")</f>
        <v>x</v>
      </c>
      <c r="AH73" s="112" t="str">
        <f>HYPERLINK("http://sghanstedt.elbnetz.com/ueber-uns/","x")</f>
        <v>x</v>
      </c>
      <c r="AI73" s="112" t="str">
        <f>HYPERLINK("https://www.adac.de/sp/stiftung/_mmm/pdf/SGE_FOL_Verkehrssicherheit_Fl%C3%BCchtlinge_A3_01_16_Internet_250277.pdf","x")</f>
        <v>x</v>
      </c>
      <c r="AJ73" s="112" t="str">
        <f>HYPERLINK("http://www.stadt-koeln.de/mediaasset/content/kvb_kinderleicht_und_spielend_einfach__englisch_.pdf","x")</f>
        <v>x</v>
      </c>
      <c r="AK73" s="112" t="str">
        <f>HYPERLINK("https://www.vrsinfo.de/fileadmin/Dateien/downloadcenter/Folder_MobilPassTicket_Refugees01012016.pdf","x")</f>
        <v>x</v>
      </c>
      <c r="AL73" s="112" t="str">
        <f>HYPERLINK("https://www.vrsinfo.de/fileadmin/Dateien/downloadcenter/Willkommen_im_VRS2016_Druck.pdf","x")</f>
        <v>x</v>
      </c>
      <c r="AM73" s="112"/>
      <c r="AN73" s="112" t="str">
        <f>HYPERLINK("https://www.deutschebahn.com/file/de/2191748/eYdgZpqGpp5sMJ2KMKtg2r8aE4Q/10123812/data/infos_fuer_fluechtlinge.pdf","x")</f>
        <v>x</v>
      </c>
      <c r="AO73" s="112"/>
      <c r="AP73" s="112"/>
      <c r="AQ73" s="112"/>
      <c r="AR73" s="112"/>
      <c r="AS73" s="112"/>
      <c r="AT73" s="112"/>
      <c r="AU73" s="112" t="str">
        <f>HYPERLINK("http://www.stadt-koeln.de/mediaasset/content/festkomitee_flyer_2016_d_gb.pdf","x")</f>
        <v>x</v>
      </c>
      <c r="AV73" s="113"/>
      <c r="AW73" s="114" t="str">
        <f t="shared" si="0"/>
        <v>x</v>
      </c>
      <c r="AX73" s="114" t="str">
        <f t="shared" si="1"/>
        <v>x</v>
      </c>
      <c r="AY73" s="112" t="str">
        <f>HYPERLINK("http://fi-lohmar-siegburg.de/data/documents/Findefix_arabisch-Bildwoerterbuch.pdf","x")</f>
        <v>x</v>
      </c>
      <c r="AZ73" s="111"/>
      <c r="BA73" s="112" t="str">
        <f t="shared" si="2"/>
        <v>x</v>
      </c>
      <c r="BB73" s="112" t="str">
        <f t="shared" si="3"/>
        <v>x</v>
      </c>
      <c r="BC73" s="111"/>
      <c r="BD73" s="111"/>
      <c r="BE73" s="112" t="str">
        <f>HYPERLINK("http://fi-lohmar-siegburg.de/data/documents/communicationboard-arabic-english.pdf","x")</f>
        <v>x</v>
      </c>
      <c r="BF73" s="112"/>
      <c r="BG73" s="111"/>
      <c r="BH73" s="112" t="str">
        <f>HYPERLINK("http://www.refugeephrasebook.de/pdf/germany150920.pdf","x")</f>
        <v>x</v>
      </c>
      <c r="BI73" s="112" t="str">
        <f>HYPERLINK("https://www.advanced-online.eu/downloads/RefugeePhrasebookCards_German-English.pdf","x")</f>
        <v>x</v>
      </c>
      <c r="BJ73" s="112" t="str">
        <f>HYPERLINK("http://www.klett-sprachen.de/download/8638/W100255_Refugees_Welcome_Wortschatz.pdf","x")</f>
        <v>x</v>
      </c>
      <c r="BK73" s="111"/>
      <c r="BL73" s="112" t="str">
        <f>HYPERLINK("http://www.bundessprachenamt.de/deutsch/wir_ueber_uns/nachrichten/2015/20151103/Verständigungshilfe_Englisch_26_11_2015.pdf","x")</f>
        <v>x</v>
      </c>
      <c r="BM73" s="112" t="str">
        <f>HYPERLINK("http://www.frnrw.de/images/Aus_den_Initiativen/Ehrenamtler/2015/Dictionary_x10_print-2.pdf","x")</f>
        <v>x</v>
      </c>
      <c r="BN73" s="112" t="str">
        <f>HYPERLINK("http://www.medbox.org/toolboxes/kleines-worterbuch-little-dictionary-deutsch-englisch-arabisch/preview","x")</f>
        <v>x</v>
      </c>
      <c r="BO73" s="112" t="str">
        <f>HYPERLINK("http://mylanguages.org/dari_phrases.php","x")</f>
        <v>x</v>
      </c>
      <c r="BP73" s="111"/>
      <c r="BQ73" s="111"/>
      <c r="BR73" s="111"/>
      <c r="BS73" s="112" t="str">
        <f t="shared" si="4"/>
        <v>x</v>
      </c>
      <c r="BT73" s="112"/>
      <c r="BU73" s="111"/>
      <c r="BV73" s="112" t="str">
        <f t="shared" si="5"/>
        <v>x</v>
      </c>
      <c r="BW73" s="112" t="str">
        <f>HYPERLINK("http://www.welcomegrooves.de/wp-content/uploads/2015/10/welcomegrooves_DE-ENGLISH1.pdf","x")</f>
        <v>x</v>
      </c>
      <c r="BX73" s="112"/>
      <c r="BY73" s="112"/>
      <c r="BZ73" s="112"/>
      <c r="CA73" s="112" t="str">
        <f t="shared" si="6"/>
        <v>x</v>
      </c>
      <c r="CB73" s="112" t="str">
        <f t="shared" si="7"/>
        <v>x</v>
      </c>
      <c r="CC73" s="112" t="str">
        <f t="shared" si="8"/>
        <v>x</v>
      </c>
      <c r="CD73" s="112"/>
      <c r="CE73" s="112"/>
      <c r="CF73" s="111"/>
      <c r="CG73" s="112" t="str">
        <f>HYPERLINK("http://www.braunschweig.de/leben/frauen/hilfe/Ohne-Gewalt-leben.pdf","x")</f>
        <v>x</v>
      </c>
      <c r="CH73" s="112" t="str">
        <f>HYPERLINK("http://mifkjf.rlp.de/fileadmin/mifkjf/Frauen/Gewalt_gegen_Frauen/Downloads/Broschueren_Flyer/Flyer_Gewalt_englisch.pdf","x")</f>
        <v>x</v>
      </c>
      <c r="CI73" s="112" t="str">
        <f>HYPERLINK("https://www.hilfetelefon.de/fileadmin/hilfetelefon_de/Materialien/Flyer/Infoflyer_Hilfetelefon_Gewalt_gegen_Frauen141105_b2.pdf","x")</f>
        <v>x</v>
      </c>
      <c r="CJ73" s="112" t="str">
        <f>HYPERLINK("https://www.hilfetelefon.de/fileadmin/hilfetelefon_de/Materialien/weitere_werbemittel/Klappflyer_Vorder-_und_Rueckseite_opt2.pdf","x")</f>
        <v>x</v>
      </c>
      <c r="CK73" s="112" t="str">
        <f t="shared" si="9"/>
        <v>x</v>
      </c>
      <c r="CL73" s="112" t="str">
        <f>HYPERLINK("http://www.frauenberatungsstelle.de/pdf/Migrantinnen-beraten-Migrantinnen.pdf","x")</f>
        <v>x</v>
      </c>
      <c r="CM73" s="112" t="str">
        <f>HYPERLINK("http://www.frauenleben.org/spezielle_beratungsangebote/sexualisierte_gewalt.htm","x")</f>
        <v>x</v>
      </c>
      <c r="CN73" s="112"/>
      <c r="CO73" s="112"/>
      <c r="CP73" s="112" t="str">
        <f>HYPERLINK("http://www.schwanger-und-viele-fragen.de/en/","x")</f>
        <v>x</v>
      </c>
      <c r="CQ73" s="112"/>
      <c r="CR7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73" s="112" t="str">
        <f>HYPERLINK("http://en.beststart.org/for_parents/are-you-looking-resources-languages-other-english-and-french","x")</f>
        <v>x</v>
      </c>
      <c r="CT73" s="112"/>
      <c r="CU73" s="112" t="str">
        <f>HYPERLINK("http://www.profamilia.de/fileadmin/publikationen/Erwachsene/mehrsprachig/Bro_Verhuetung_engl_2013.pdf","x")</f>
        <v>x</v>
      </c>
      <c r="CV73" s="112" t="str">
        <f>HYPERLINK("http://www.profamilia.de/fileadmin/publikationen/Erwachsene/mehrsprachig/Bro_Pille_danach_Faltblatt_140122_RZ.pdf","x")</f>
        <v>x</v>
      </c>
      <c r="CW73" s="112" t="str">
        <f>HYPERLINK("http://www.profamilia.de/fileadmin/publikationen/Reihe_Verhuetungsmethoden/Einleger_englisch.pdf","x")</f>
        <v>x</v>
      </c>
      <c r="CX73" s="112" t="str">
        <f>HYPERLINK("http://www.profamilia.de/fileadmin/publikationen/Reihe_Koerper_und_Sexualtitaet/Schwangerschaftsabbruch_englisch_2010.pdf","x")</f>
        <v>x</v>
      </c>
      <c r="CY73" s="112" t="str">
        <f>HYPERLINK("http://www.caritas-schwarzwald-alb-donau.de/68854.html","x")</f>
        <v>x</v>
      </c>
      <c r="CZ73" s="112" t="str">
        <f>HYPERLINK("http://www.dgfpi.de/tl_files/download/medien/unwissen-macht-en.pdf","x")</f>
        <v>x</v>
      </c>
      <c r="DA73" s="112"/>
      <c r="DB73" s="112"/>
      <c r="DC73" s="115" t="str">
        <f>HYPERLINK("http://www.kindersicherheit.de/pdf/2013_BAG_Tomi_and_Mila_Deutsch_English.pdf","x")</f>
        <v>x</v>
      </c>
      <c r="DD73" s="112"/>
      <c r="DE73" s="112"/>
      <c r="DF73" s="112" t="str">
        <f t="shared" si="10"/>
        <v>x</v>
      </c>
      <c r="DG73" s="115" t="str">
        <f t="shared" si="11"/>
        <v>x</v>
      </c>
      <c r="DH73" s="112" t="str">
        <f t="shared" si="12"/>
        <v>x</v>
      </c>
      <c r="DI73" s="112" t="str">
        <f t="shared" si="13"/>
        <v>x</v>
      </c>
      <c r="DJ73" s="112"/>
      <c r="DK73" s="112"/>
      <c r="DL73" s="112"/>
      <c r="DM73" s="112"/>
      <c r="DN73" s="112"/>
      <c r="DO73" s="112" t="str">
        <f>HYPERLINK("http://www.wdrmaus.de/sachgeschichten/maus-international/","x")</f>
        <v>x</v>
      </c>
      <c r="DP73" s="111"/>
      <c r="DQ73" s="111"/>
      <c r="DR73" s="112" t="str">
        <f>HYPERLINK("https://broschueren.nordrheinwestfalendirekt.de/broschuerenservice/msw/eng-das-schulsystem-in-nordrhein-westfalen-einfach-und-schnell-erklaert/1902","x")</f>
        <v>x</v>
      </c>
      <c r="DS73" s="112" t="str">
        <f>HYPERLINK("http://bildung.koeln.de/materialbibliothek/download.php?idx=8e2a9f658e9fa830ce17dc18f0fb0268","x")</f>
        <v>x</v>
      </c>
      <c r="DT73" s="112" t="str">
        <f>HYPERLINK("http://bildung.koeln.de/materialbibliothek/download.php?idx=90aff7e7259385cadb46c517317f1446","x")</f>
        <v>x</v>
      </c>
      <c r="DU73" s="112"/>
      <c r="DV73" s="112" t="str">
        <f>HYPERLINK("https://www.bmbf.de/pub/Kausa_Elternbroschuere_englisch.pdf","x")</f>
        <v>x</v>
      </c>
      <c r="DW73" s="112"/>
      <c r="DX73" s="112" t="str">
        <f>HYPERLINK("http://www.wissenschaft.nrw.de/studium/informieren/informationen-fuer-fluechtlinge-die-in-nrw-studieren-moechten/","x")</f>
        <v>x</v>
      </c>
      <c r="DY73" s="112" t="str">
        <f>HYPERLINK("http://www.bamf.de/SharedDocs/Anlagen/DE/Publikationen/Flyer/AnerkennungBerufsabschluss/berufliche_anerkennung_akademische-heilberufe_en.pdf?__blob=publicationFile","x")</f>
        <v>x</v>
      </c>
      <c r="DZ73" s="112" t="str">
        <f>HYPERLINK("http://www.bamf.de/SharedDocs/Anlagen/EN/Publikationen/Flyer/AnerkennungBerufsabschluss/anerkennung-berufsabschluss.pdf?__blob=publicationFile","x")</f>
        <v>x</v>
      </c>
      <c r="EA73" s="112" t="str">
        <f>HYPERLINK("http://www.bamf.de/SharedDocs/Anlagen/EN/Publikationen/Flyer/AnerkennungBerufsabschluss/anerkennung-berufsabschluss_ausland.pdf?__blob=publicationFile","x")</f>
        <v>x</v>
      </c>
      <c r="EB73" s="112" t="str">
        <f>HYPERLINK("http://www.bamf.de/SharedDocs/Anlagen/EN/Publikationen/Broschueren/willkommen-in-deutschland-info-blaue-karte-eu_en.pdf?__blob=publicationFile","x")</f>
        <v>x</v>
      </c>
      <c r="EC73" s="112" t="str">
        <f>HYPERLINK("http://www.bamf.de/SharedDocs/Anlagen/EN/Publikationen/Flyer/Berufsbezsprachf-ESF-BAMF/berufsbezsprachf-esf-bamf.pdf?__blob=publicationFile","x")</f>
        <v>x</v>
      </c>
      <c r="ED73" s="111"/>
      <c r="EE73" s="111"/>
      <c r="EF73" s="111"/>
      <c r="EG73" s="111"/>
      <c r="EH73" s="111"/>
      <c r="EI73" s="111"/>
      <c r="EJ73" s="112"/>
      <c r="EK73" s="112" t="str">
        <f>HYPERLINK("http://fluechtlingsrat-bw.de/files/Dateien/Dokumente/Materialbestellung/2014-12-flyer%20arbeitserlaubnis%20EN%20WEB.pdf","x")</f>
        <v>x</v>
      </c>
      <c r="EL73" s="112" t="str">
        <f>HYPERLINK("http://www.aponet.de/englisch/20151019-fuer-den-notfall-wichtige-rufnummern-im-ueberblick.html","x")</f>
        <v>x</v>
      </c>
      <c r="EM73" s="112" t="str">
        <f>HYPERLINK("http://www.kvs-sachsen.de/fileadmin/img/Mitglieder/Asylbewerber/Allg-Informationen/Anlage_1_Englisch_LEK.pdf","x")</f>
        <v>x</v>
      </c>
      <c r="EN73" s="112" t="str">
        <f>HYPERLINK("http://www.medizin-hilft-fluechtlingen.de/images/Dokumente/gSch/gSch_eng.pdf","x")</f>
        <v>x</v>
      </c>
      <c r="EO73" s="112" t="str">
        <f>HYPERLINK("http://www.aponet.de/englisch/medical-care-for-asylum-seekers.html","x")</f>
        <v>x</v>
      </c>
      <c r="EP73" s="117" t="str">
        <f>HYPERLINK("http://www.medi-bild.de/pdf/anamnese/Welche_Sprache.pdf","x")</f>
        <v>x</v>
      </c>
      <c r="EQ73" s="117" t="str">
        <f>HYPERLINK("http://www.armut-gesundheit.de/fileadmin/redakteur/dokumente/Anamnesebogen%20-%20englischnew.pdf","x")</f>
        <v>x</v>
      </c>
      <c r="ER73" s="112" t="str">
        <f>HYPERLINK("http://www.kvs-sachsen.de/fileadmin/img/Mitglieder/Asylbewerber/Allg-Informationen/Anlagen_2-1_2-2_Englisch_LEK.pdf","x")</f>
        <v>x</v>
      </c>
      <c r="ES73" s="111"/>
      <c r="ET73" s="111"/>
      <c r="EU73" s="112" t="str">
        <f>HYPERLINK("http://www.medizin-hilft-fluechtlingen.de/images/Dokumente/ein/ein_engl.pdf","x")</f>
        <v>x</v>
      </c>
      <c r="EV73" s="112" t="str">
        <f>HYPERLINK("http://www.adler-apotheke-hh.de/fileadmin/user_upload/PDF-Dateien/Dosierzettel_mehrsprachig_AUF_0_.pdf","x")</f>
        <v>x</v>
      </c>
      <c r="EW73" s="112" t="str">
        <f t="shared" si="14"/>
        <v>x</v>
      </c>
      <c r="EX73" s="112" t="str">
        <f>HYPERLINK("http://www.rki.de/DE/Content/Infekt/IfSG/Belehrungsbogen/belehrungsbogen_eltern_englisch.pdf?__blob=publicationFile","x")</f>
        <v>x</v>
      </c>
      <c r="EY73" s="112" t="str">
        <f>HYPERLINK("http://www.bzga.de/infomaterialien/?sid=236","x")</f>
        <v>x</v>
      </c>
      <c r="EZ73" s="112" t="str">
        <f>HYPERLINK("https://www.mh-hannover.de/fileadmin/mhh/bilder/aktuelles_presse/pressestelle/bilder/Pilzvergif_English.pdf","x")</f>
        <v>x</v>
      </c>
      <c r="FA73" s="112"/>
      <c r="FB73" s="112" t="str">
        <f>HYPERLINK("http://static.apotheken-umschau.de/media/gp/article_506373/bildwoerterbuch.pdf","x")</f>
        <v>x</v>
      </c>
      <c r="FC73" s="112" t="str">
        <f>HYPERLINK("https://www.studentenwerke.de/sites/default/files/gesundheitswoerterbuch.pdf","x")</f>
        <v>x</v>
      </c>
      <c r="FD73" s="112" t="str">
        <f t="shared" si="15"/>
        <v>x</v>
      </c>
      <c r="FE73" s="112" t="str">
        <f>HYPERLINK("http://sghanstedt.elbnetz.com/ueber-uns/","x")</f>
        <v>x</v>
      </c>
      <c r="FF73" s="112" t="str">
        <f>HYPERLINK("http://www.fuhlenhagen.com/pdf_dateien/uebertzungshilfe_aerzte_mehrsprachig.pdf","x")</f>
        <v>x</v>
      </c>
      <c r="FG73" s="112" t="str">
        <f>HYPERLINK("http://www.tipdoc.de/grafik/asyl/Gesundheitsheft_Asyl.pdf","x")</f>
        <v>x</v>
      </c>
      <c r="FH73" s="111"/>
      <c r="FI73" s="111"/>
      <c r="FJ73" s="112" t="str">
        <f>HYPERLINK("http://www.bundesgesundheitsministerium.de/fileadmin/dateien/Publikationen/Gesundheit/Broschueren/Ratgeber_Asylsuchende/Ratgeber_Asylsuchende_engl.pdf","x")</f>
        <v>x</v>
      </c>
      <c r="FK73" s="112" t="str">
        <f>HYPERLINK("http://www.rki.de/DE/Content/Infekt/Impfen/Materialien/Downloads-Impfkalender/Impfkalender_Englisch.pdf?__blob=publicationFile","x")</f>
        <v>x</v>
      </c>
      <c r="FL73" s="112" t="str">
        <f>HYPERLINK("http://www.ethno-medizinisches-zentrum.de/images/PDF-Files/impfwegweiser_englisch_2013_online.pdf","x")</f>
        <v>x</v>
      </c>
      <c r="FM73" s="112"/>
      <c r="FN73" s="112" t="str">
        <f>HYPERLINK("http://www.rki.de/DE/Content/Infekt/Impfen/Materialien/Glossar-Downloads/glossar-de-englisch.pdf?__blob=publicationFile","x")</f>
        <v>x</v>
      </c>
      <c r="FO73" s="112" t="str">
        <f>HYPERLINK("http://www.euro.who.int/__data/assets/pdf_file/0005/160754/VPDs_Signs-symptoms-complications.pdf?ua=1","x")</f>
        <v>x</v>
      </c>
      <c r="FP73" s="112" t="str">
        <f>HYPERLINK("http://www.rki.de/DE/Content/Infekt/Impfen/Materialien/Downloads-MMR/MMR-Impfinfo-englisch.pdf?__blob=publicationFile","x")</f>
        <v>x</v>
      </c>
      <c r="FQ73" s="112" t="str">
        <f>HYPERLINK("http://www.rki.de/DE/Content/InfAZ/P/Polio/Ausbruch_Syrien/Informationsblatt_Polio_Englisch.pdf?__blob=publicationFile","x")</f>
        <v>x</v>
      </c>
      <c r="FR73" s="112" t="str">
        <f>HYPERLINK("http://www.rki.de/DE/Content/Infekt/Impfen/Materialien/Downloads_HepA/Aufklaerung_HAV-Impfung_Englisch.pdf?__blob=publicationFile","x")</f>
        <v>x</v>
      </c>
      <c r="FS73" s="112" t="str">
        <f>HYPERLINK("http://www.rki.de/DE/Content/Infekt/Impfen/Materialien/Downloads_Pneumokokken/Aufklaerung_Pneumo-Impfung_Englisch.pdf?__blob=publicationFile","x")</f>
        <v>x</v>
      </c>
      <c r="FT73" s="112" t="str">
        <f>HYPERLINK("http://www.rki.de/DE/Content/Infekt/Impfen/Materialien/Downloads-DTaPIPVHibHepB/DTaPIPVHibHepB-englisch.pdf?__blob=publicationFile","x")</f>
        <v>x</v>
      </c>
      <c r="FU73" s="112" t="str">
        <f>HYPERLINK("http://www.rki.de/DE/Content/Infekt/Impfen/Materialien/Downloads-Varizellen/Varizellen-Impfinfo-englisch.pdf;jsessionid=65B697F4EE7EDA8A1ED9E2C4CD6C74EC.2_cid363?__blob=publicationFile","x")</f>
        <v>x</v>
      </c>
      <c r="FV73" s="112" t="str">
        <f>HYPERLINK("http://www.rki.de/DE/Content/Infekt/Impfen/Materialien/Downloads-Tdap-IPV/Tdap-IPV-englisch.pdf?__blob=publicationFile","x")</f>
        <v>x</v>
      </c>
      <c r="FW73" s="112" t="str">
        <f>HYPERLINK("http://www.rki.de/DE/Content/Infekt/Impfen/Materialien/Downloads-Influenza_nasal/Influenza_nasal-englisch.pdf?__blob=publicationFile","x")</f>
        <v>x</v>
      </c>
      <c r="FX73" s="111"/>
      <c r="FY73" s="112"/>
      <c r="FZ73" s="112"/>
      <c r="GA73" s="111"/>
      <c r="GB73" s="111"/>
      <c r="GC73" s="111"/>
      <c r="GD73" s="112" t="str">
        <f>HYPERLINK("http://www.ethno-medizinisches-zentrum.de/images/PDF-Files/lf_diabete_englisch.pdf","x")</f>
        <v>x</v>
      </c>
      <c r="GE73" s="111"/>
      <c r="GF73" s="111"/>
      <c r="GG73" s="111"/>
      <c r="GH73" s="112"/>
      <c r="GI73" s="111"/>
      <c r="GJ73" s="111"/>
      <c r="GK73" s="112" t="str">
        <f>HYPERLINK("http://www.tipdoc.de/bus/pdf/hiv/HIV%20ESP_Webseite.pdf","x")</f>
        <v>x</v>
      </c>
      <c r="GL73" s="111"/>
      <c r="GM73" s="112" t="str">
        <f>HYPERLINK("http://www.rki.de/DE/Content/Infekt/Impfen/Materialien/Downloads-Influenza/Influenza-englisch.pdf?__blob=publicationFile","x")</f>
        <v>x</v>
      </c>
      <c r="GN73" s="111"/>
      <c r="GO73" s="112" t="str">
        <f>HYPERLINK("http://www.aponet.de/englisch/20151111-so-unterscheiden-sich-grippe-und-erkaeltung.html","x")</f>
        <v>x</v>
      </c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2" t="str">
        <f t="shared" si="16"/>
        <v>x</v>
      </c>
      <c r="HD73" s="112" t="str">
        <f>HYPERLINK("https://www.zahnaerzte-wl.de/images/_PDF-suche/KZV_ZÄK/ENDSTAND_Ankreuzbogen_Ich_verstehe.pdf","x")</f>
        <v>x</v>
      </c>
      <c r="HE73" s="112" t="str">
        <f>HYPERLINK("https://www.zahnaerzte-wl.de/images/_PDF-suche/KZV_ZÄK/Anschreiben_Patienten_englisch.pdf","x")</f>
        <v>x</v>
      </c>
      <c r="HF73" s="112" t="str">
        <f>HYPERLINK("https://www.zahnaerzte-wl.de/images/_PDF-suche/KZV_ZÄK/Fragebogen_englisch.pdf","x")</f>
        <v>x</v>
      </c>
      <c r="HG73" s="112" t="str">
        <f>HYPERLINK("https://www.zahnaerzte-wl.de/images/_PDF-suche/KZV_ZÄK/Patientenerhebungsbogen_englisch.pdf","x")</f>
        <v>x</v>
      </c>
      <c r="HH73" s="112"/>
      <c r="HI73" s="112" t="str">
        <f>HYPERLINK("http://www.bvkm.de/fileadmin/web_data/Behinderung_und_Migration_englisch_2014.pdf","x")</f>
        <v>x</v>
      </c>
      <c r="HJ73" s="112"/>
      <c r="HK73" s="112" t="str">
        <f>HYPERLINK("http://www.psychenet.de/en/mental-health/knowledge/depression.html","x")</f>
        <v>x</v>
      </c>
      <c r="HL73" s="111"/>
      <c r="HM73" s="112" t="str">
        <f>HYPERLINK("http://www.psychenet.de/en/mental-health/knowledge/psychoses.html","x")</f>
        <v>x</v>
      </c>
      <c r="HN73" s="112" t="str">
        <f>HYPERLINK("http://www.psychenet.de/en/mental-health/knowledge/somatoform-disorders.html","x")</f>
        <v>x</v>
      </c>
      <c r="HO73" s="112" t="str">
        <f>HYPERLINK("http://www.psychenet.de/en/mental-health/knowledge/anorexia.html","x")</f>
        <v>x</v>
      </c>
      <c r="HP73" s="112" t="str">
        <f>HYPERLINK("http://www.psychenet.de/en/mental-health/knowledge/bulimia.html","x")</f>
        <v>x</v>
      </c>
      <c r="HQ73" s="112" t="str">
        <f>HYPERLINK("http://www.psychenet.de/en/mental-health/knowledge/bipolar-disorder.html","x")</f>
        <v>x</v>
      </c>
      <c r="HR73" s="112" t="str">
        <f>HYPERLINK("http://www.psychenet.de/en/mental-health/knowledge/panic-and-agoraphobia.html","x")</f>
        <v>x</v>
      </c>
      <c r="HS73" s="112" t="str">
        <f>HYPERLINK("http://www.psychenet.de/en/mental-health/knowledge/social-phobia.html","x")</f>
        <v>x</v>
      </c>
      <c r="HT73" s="112" t="str">
        <f>HYPERLINK("http://www.psychenet.de/en/mental-health/knowledge/generalized-anxiety-disorder.html","x")</f>
        <v>x</v>
      </c>
      <c r="HU73" s="112"/>
      <c r="HV73" s="112" t="str">
        <f>HYPERLINK("http://www.psychenet.de/en/mental-health/knowledge/information-and-support.html","x")</f>
        <v>x</v>
      </c>
      <c r="HW73" s="112"/>
      <c r="HX73" s="112" t="str">
        <f>HYPERLINK("http://www.bkk-psychisch-gesund.de/fileadmin/user_upload/Dokumente/Versicherte/Broschueren/Wegweiser_Psychotherapie_englisch.pdf","x")</f>
        <v>x</v>
      </c>
      <c r="HY73" s="112" t="str">
        <f t="shared" si="17"/>
        <v>x</v>
      </c>
      <c r="HZ73" s="112" t="str">
        <f t="shared" si="18"/>
        <v>x</v>
      </c>
      <c r="IA73" s="112" t="str">
        <f>HYPERLINK("http://peacefulheart.se/wp-content/uploads/2012/02/TTT_English_2013.pdf","x")</f>
        <v>x</v>
      </c>
      <c r="IB73" s="112"/>
      <c r="IC73" s="112"/>
      <c r="ID73" s="112" t="str">
        <f>HYPERLINK("http://www.susannestein.de/VIA-online/trauma-picture-book.pdf","x")</f>
        <v>x</v>
      </c>
      <c r="IE73" s="112" t="str">
        <f>HYPERLINK("http://www.psychenet.de/en/mental-health/knowledge/alcohol-in-adolescence.html","x")</f>
        <v>x</v>
      </c>
      <c r="IF73" s="112"/>
      <c r="IG73" s="112"/>
      <c r="IH73" s="111"/>
      <c r="II73" s="112" t="str">
        <f>HYPERLINK("http://www.caritas.de/hilfeundberatung/onlineberatung/suchtberatung/haeufiggestelltefragensucht/haeufiggestelltefragen-sucht","x")</f>
        <v>x</v>
      </c>
      <c r="IJ73" s="112" t="str">
        <f>HYPERLINK("http://www.dhs.de/fileadmin/user_upload/pdf/Broschueren/Ein_Angebot_an_alle-Englisch.pdf","x")</f>
        <v>x</v>
      </c>
      <c r="IK73" s="112" t="str">
        <f>HYPERLINK("http://www.bamf.de/SharedDocs/Anlagen/EN/Publikationen/Flyer/Lassen-Sie-Sich-Beraten/lassen-sie-sich-beraten.pdf?__blob=publicationFile","x")</f>
        <v>x</v>
      </c>
      <c r="IL73" s="115" t="str">
        <f>HYPERLINK("http://www.bamf.de/SharedDocs/Anlagen/EN/Publikationen/Flyer/flyer-erstorientierung-asylsuchende.pdf?__blob=publicationFile","x")</f>
        <v>x</v>
      </c>
      <c r="IM73" s="112" t="str">
        <f>HYPERLINK("http://www.frnrw.de/index.php/inhaltliche-themen/arbeitshilfen/item/3710-erstinfos-fuer-asylsuchende","x")</f>
        <v>x</v>
      </c>
      <c r="IN73" s="112" t="str">
        <f>HYPERLINK("http://www.bamf.de/SharedDocs/Anlagen/EN/Publikationen/Broschueren/willkommen-in-deutschland.pdf;jsessionid=2D72CB108E4AC02BBB9659E7D9A589B2.1_cid368?__blob=publicationFile","x")</f>
        <v>x</v>
      </c>
      <c r="IO73" s="112"/>
      <c r="IP73" s="112"/>
      <c r="IQ73" s="112" t="str">
        <f>HYPERLINK("http://www.bamf.de/SharedDocs/Anlagen/EN/Publikationen/Flyer/Lernen-Sie-Deutsch/lernen-sie-deutsch.pdf?__blob=publicationFile","x")</f>
        <v>x</v>
      </c>
      <c r="IR73" s="112" t="str">
        <f>HYPERLINK("http://www.asyl.net/fileadmin/user_upload/redaktion/Dokumente/Arbeitshilfen/150910_Wie_l%C3%A4uft_ein_Asylverfahren_ab_%C3%9Cberblickstext_Englisch.pdf","x")</f>
        <v>x</v>
      </c>
      <c r="IS73" s="111"/>
      <c r="IT73" s="112" t="str">
        <f>HYPERLINK("http://www.bamf.de/SharedDocs/Anlagen/EN/Publikationen/Flyer/ablauf-asylverfahren.pdf;jsessionid=DBD4307960D761935FCC3E0325D459A1.1_cid294?__blob=publicationFile","x")</f>
        <v>x</v>
      </c>
      <c r="IU73" s="111"/>
      <c r="IV73" s="112" t="str">
        <f>HYPERLINK("http://www.asyl.net/fileadmin/user_upload/infoblatt_anhoerung/Infoblatt_2015_en_fin.pdf","x")</f>
        <v>x</v>
      </c>
      <c r="IW73" s="112"/>
      <c r="IX73" s="112" t="str">
        <f>HYPERLINK("http://www.berlin.de/labo/willkommen-in-berlin/service/downloads/artikel.273193.php","x")</f>
        <v>x</v>
      </c>
      <c r="IY73" s="112" t="str">
        <f>HYPERLINK("http://www.bamf.de/SharedDocs/Anlagen/EN/Publikationen/Broschueren/broschuere-eat-a4.pdf?__blob=publicationFile","x")</f>
        <v>x</v>
      </c>
      <c r="IZ73" s="111"/>
      <c r="JA73" s="112" t="str">
        <f>HYPERLINK("http://fluechtlingsrat-bw.de/informationen-fuer-fluechtlinge.html","x")</f>
        <v>x</v>
      </c>
      <c r="JB73" s="111"/>
      <c r="JC73" s="112" t="str">
        <f>HYPERLINK("http://www.bamf.de/SharedDocs/Anlagen/EN/Publikationen/Flyer/20150223_ura2_en.pdf?__blob=publicationFile","x")</f>
        <v>x</v>
      </c>
      <c r="JD73" s="111"/>
      <c r="JE73" s="112"/>
      <c r="JF73" s="112"/>
      <c r="JG73" s="112" t="str">
        <f>HYPERLINK("http://www.bamf.de/SharedDocs/Anlagen/EN/Publikationen/Flyer/Ehegattennachzug/ehegattennachzug.pdf?__blob=publicationFile","x")</f>
        <v>x</v>
      </c>
      <c r="JH73" s="112" t="str">
        <f>HYPERLINK("https://familyreunion-syria.diplo.de/webportal/index.html#start","x")</f>
        <v>x</v>
      </c>
      <c r="JI73" s="112" t="str">
        <f>HYPERLINK("http://ec.europa.eu/dgs/home-affairs/what-we-do/networks/european_migration_network/docs/emn-glossary-en-version.pdf","x")</f>
        <v>x</v>
      </c>
      <c r="JJ73" s="112"/>
      <c r="JK73" s="112" t="str">
        <f>HYPERLINK("https://www.arbeitsagentur.de/web/wcm/idc/groups/public/documents/webdatei/mdaw/mjgz/~edisp/l6019022dstbai784628.pdf?_ba.sid=L6019022DSTBAI784625","x")</f>
        <v>x</v>
      </c>
      <c r="JL73" s="112" t="str">
        <f>HYPERLINK("http://www.kub-berlin.org/formularprojekt/de/englisch-antraege-und-anlagen-uebersetzungshilfen/","x")</f>
        <v>x</v>
      </c>
      <c r="JM73" s="112" t="str">
        <f>HYPERLINK("https://www.arbeitsagentur.de/web/content/DE/Formulare/Detail/index.htm?dfContentId=L6019022DSTBAI485740","x")</f>
        <v>x</v>
      </c>
      <c r="JN73" s="112"/>
      <c r="JO73" s="112"/>
      <c r="JP73" s="112"/>
      <c r="JQ73" s="112"/>
      <c r="JR73" s="112" t="str">
        <f>HYPERLINK("http://www.ibla-germany.de/merkblaetter.php","x")</f>
        <v>x</v>
      </c>
      <c r="JS73" s="112"/>
      <c r="JT73" s="112" t="str">
        <f>HYPERLINK("http://www.b-umf.de/images/willkommen/willkommensbroschureenglisch-web.pdf","x")</f>
        <v>x</v>
      </c>
      <c r="JU73" s="111"/>
      <c r="JV73" s="111"/>
      <c r="JW73" s="112"/>
      <c r="JX73" s="112" t="str">
        <f>HYPERLINK("https://www.arbeitsagentur.de/web/wcm/idc/groups/public/documents/webdatei/mdaw/mjgz/~edisp/l6019022dstbai784636.pdf?_ba.sid=L6019022DSTBAI784633","x")</f>
        <v>x</v>
      </c>
      <c r="JY73" s="112"/>
      <c r="JZ73" s="112" t="str">
        <f>HYPERLINK("http://www.dw.com/en/germany-from-a-to-z/a-18812923","x")</f>
        <v>x</v>
      </c>
      <c r="KA73" s="112"/>
      <c r="KB73" s="112" t="str">
        <f>HYPERLINK("http://www.refugeeguide.de/dl/RefugeeGuide_en_925.pdf","x")</f>
        <v>x</v>
      </c>
      <c r="KC73" s="112" t="str">
        <f>HYPERLINK("http://www.gesetze-im-internet.de/englisch_gg/basic_law_for_the_federal_republic_of_germany.pdf","x")</f>
        <v>x</v>
      </c>
      <c r="KD73" s="112" t="str">
        <f>HYPERLINK("http://www.wedel.de/fileadmin/user_upload/media/pdf/Rathaus_und_Politik/20160118_PM_Broschuere.pdf","x")</f>
        <v>x</v>
      </c>
      <c r="KE73" s="112" t="str">
        <f>HYPERLINK("http://www.frauenrechte.de/online/images/downloads/allgemein/TDF_Flyer_Women_Men.pdf","x")</f>
        <v>x</v>
      </c>
      <c r="KF73" s="112" t="str">
        <f>HYPERLINK("http://sab.landtag.sachsen.de/dokumente/landtagskurier/Grundwerte-A5-international_web_08012016.pdf","x")</f>
        <v>x</v>
      </c>
      <c r="KG73" s="112"/>
      <c r="KH73" s="112"/>
      <c r="KI73" s="112"/>
      <c r="KJ73" s="112"/>
      <c r="KK73" s="112"/>
      <c r="KL73" s="112"/>
      <c r="KM73" s="112"/>
      <c r="KN73" s="112"/>
      <c r="KO73" s="112"/>
      <c r="KP73" s="112"/>
      <c r="KQ73" s="112"/>
      <c r="KR73" s="112"/>
      <c r="KS73" s="112"/>
      <c r="KT73" s="112"/>
      <c r="KU73" s="112"/>
      <c r="KV73" s="112"/>
      <c r="KW73" s="112"/>
      <c r="KX73" s="112"/>
      <c r="KY73" s="112"/>
      <c r="KZ73" s="112"/>
      <c r="LA73" s="112"/>
      <c r="LB73" s="112"/>
      <c r="LC73" s="111"/>
      <c r="LD73" s="112"/>
      <c r="LE73" s="112"/>
      <c r="LF73" s="112"/>
      <c r="LG73" s="112"/>
      <c r="LH73" s="112"/>
      <c r="LI73" s="112"/>
      <c r="LJ73" s="112"/>
      <c r="LK73" s="112"/>
      <c r="LL73" s="112"/>
      <c r="LM73" s="112"/>
      <c r="LN73" s="112"/>
      <c r="LO73" s="112"/>
      <c r="LP73" s="112"/>
      <c r="LQ73" s="112"/>
      <c r="LR73" s="112"/>
      <c r="LS73" s="112"/>
      <c r="LT73" s="112"/>
      <c r="LU73" s="112"/>
      <c r="LV73" s="112"/>
      <c r="LW73" s="112"/>
      <c r="LX73" s="112"/>
      <c r="LY73" s="112"/>
      <c r="LZ73" s="112"/>
      <c r="MA73" s="112"/>
      <c r="MB73" s="112"/>
      <c r="MC73" s="111"/>
      <c r="MD73" s="112" t="str">
        <f>HYPERLINK("http://www.rki.de/DE/Content/Infekt/IfSG/Belehrungsbogen/belehrungsbogen_lebensmittel_englisch.pdf?__blob=publicationFile","x")</f>
        <v>x</v>
      </c>
      <c r="ME73" s="112"/>
      <c r="MF73" s="112" t="str">
        <f>HYPERLINK("http://www.gdv.de/wp-content/uploads/2016/01/Information_Brandschutz_Fluechtlingsheim_-Sicherheit_mehrsprachig.pdf","x")</f>
        <v>x</v>
      </c>
      <c r="MG73" s="112" t="str">
        <f>HYPERLINK("http://www.gdv.de/wp-content/uploads/2016/01/Information_Verhalten-im-Brandfall_mehrsprachig.pdf","x")</f>
        <v>x</v>
      </c>
      <c r="MH73" s="112" t="str">
        <f>HYPERLINK("http://www.aha-region.de/fileadmin/Download/pdf/aha_Plakat_Muelltrennung_en.pdf","x")</f>
        <v>x</v>
      </c>
      <c r="MI73" s="112" t="str">
        <f>HYPERLINK("http://www.kindersicherheit.de/pdf/2012_poster_achtunggiftig_8sprachig.pdf","x")</f>
        <v>x</v>
      </c>
    </row>
    <row r="74" spans="1:347" x14ac:dyDescent="0.25">
      <c r="A74" s="102" t="s">
        <v>75</v>
      </c>
      <c r="B74" s="127" t="s">
        <v>44</v>
      </c>
      <c r="C74" s="102"/>
      <c r="D74" s="102"/>
      <c r="E74" s="102"/>
      <c r="F74" s="102"/>
      <c r="G74" s="102"/>
      <c r="H74" s="102"/>
      <c r="I74" s="102"/>
      <c r="J74" s="102"/>
      <c r="K74" s="103"/>
      <c r="L74" s="111"/>
      <c r="M74" s="111"/>
      <c r="N74" s="112" t="str">
        <f>HYPERLINK("http://www.ag-fluechtlingshilfe-wetterau.de/uploads/infos/170.pdf","x")</f>
        <v>x</v>
      </c>
      <c r="O74" s="112"/>
      <c r="P74" s="112"/>
      <c r="Q74" s="112"/>
      <c r="R74" s="112"/>
      <c r="S74" s="112"/>
      <c r="T74" s="112"/>
      <c r="U74" s="112"/>
      <c r="V74" s="112"/>
      <c r="W74" s="111"/>
      <c r="X74" s="112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2"/>
      <c r="AP74" s="112"/>
      <c r="AQ74" s="112"/>
      <c r="AR74" s="112"/>
      <c r="AS74" s="112"/>
      <c r="AT74" s="112"/>
      <c r="AU74" s="112"/>
      <c r="AV74" s="113"/>
      <c r="AW74" s="114" t="str">
        <f t="shared" si="0"/>
        <v>x</v>
      </c>
      <c r="AX74" s="114" t="str">
        <f t="shared" si="1"/>
        <v>x</v>
      </c>
      <c r="AY74" s="111"/>
      <c r="AZ74" s="111"/>
      <c r="BA74" s="112" t="str">
        <f t="shared" si="2"/>
        <v>x</v>
      </c>
      <c r="BB74" s="112" t="str">
        <f t="shared" si="3"/>
        <v>x</v>
      </c>
      <c r="BC74" s="111"/>
      <c r="BD74" s="111"/>
      <c r="BE74" s="111"/>
      <c r="BF74" s="111"/>
      <c r="BG74" s="111"/>
      <c r="BH74" s="112" t="str">
        <f>HYPERLINK("http://www.refugeephrasebook.de/pdf/germany150920.pdf","x")</f>
        <v>x</v>
      </c>
      <c r="BI74" s="112" t="str">
        <f>HYPERLINK("https://www.advanced-online.eu/downloads/RefugeePhrasebookCards_German-Bosnian-Croatian-Serbian.pdf","x")</f>
        <v>x</v>
      </c>
      <c r="BJ74" s="111"/>
      <c r="BK74" s="111"/>
      <c r="BL74" s="112" t="str">
        <f>HYPERLINK("http://www.bundessprachenamt.de/deutsch/wir_ueber_uns/nachrichten/2015/20151103/Verständigungshilfe_Bosnisch_04_12_2015.pdf","x")</f>
        <v>x</v>
      </c>
      <c r="BM74" s="111"/>
      <c r="BN74" s="111"/>
      <c r="BO74" s="111"/>
      <c r="BP74" s="111"/>
      <c r="BQ74" s="111"/>
      <c r="BR74" s="111"/>
      <c r="BS74" s="112" t="str">
        <f t="shared" si="4"/>
        <v>x</v>
      </c>
      <c r="BT74" s="112"/>
      <c r="BU74" s="111"/>
      <c r="BV74" s="112" t="str">
        <f t="shared" si="5"/>
        <v>x</v>
      </c>
      <c r="BW74" s="112" t="str">
        <f>HYPERLINK("http://www.welcomegrooves.de/wp-content/uploads/2015/10/welcomegrooves_DE-BOSNISCH-SERBISCH_latein.pdf","x")</f>
        <v>x</v>
      </c>
      <c r="BX74" s="112"/>
      <c r="BY74" s="112"/>
      <c r="BZ74" s="112"/>
      <c r="CA74" s="112" t="str">
        <f t="shared" si="6"/>
        <v>x</v>
      </c>
      <c r="CB74" s="112" t="str">
        <f t="shared" si="7"/>
        <v>x</v>
      </c>
      <c r="CC74" s="112" t="str">
        <f t="shared" si="8"/>
        <v>x</v>
      </c>
      <c r="CD74" s="112"/>
      <c r="CE74" s="112"/>
      <c r="CF74" s="111"/>
      <c r="CG74" s="112" t="str">
        <f>HYPERLINK("http://www.braunschweig.de/leben/frauen/hilfe/Ohne-Gewalt-leben.pdf","x")</f>
        <v>x</v>
      </c>
      <c r="CH74" s="112"/>
      <c r="CI74" s="112"/>
      <c r="CJ74" s="112"/>
      <c r="CK74" s="112" t="str">
        <f t="shared" si="9"/>
        <v>x</v>
      </c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5"/>
      <c r="DD74" s="112"/>
      <c r="DE74" s="112"/>
      <c r="DF74" s="112" t="str">
        <f t="shared" si="10"/>
        <v>x</v>
      </c>
      <c r="DG74" s="115" t="str">
        <f t="shared" si="11"/>
        <v>x</v>
      </c>
      <c r="DH74" s="112" t="str">
        <f t="shared" si="12"/>
        <v>x</v>
      </c>
      <c r="DI74" s="112" t="str">
        <f t="shared" si="13"/>
        <v>x</v>
      </c>
      <c r="DJ74" s="112" t="str">
        <f>HYPERLINK("http://www.bibliomedia.ch/de/angebote/dokumente/Glossar_bosnisch.pdf","x")</f>
        <v>x</v>
      </c>
      <c r="DK74" s="112"/>
      <c r="DL74" s="112"/>
      <c r="DM74" s="112"/>
      <c r="DN74" s="112"/>
      <c r="DO74" s="112"/>
      <c r="DP74" s="111"/>
      <c r="DQ74" s="111"/>
      <c r="DR74" s="111"/>
      <c r="DS74" s="112" t="str">
        <f>HYPERLINK("http://bildung.koeln.de/materialbibliothek/download.php?idx=b4f04228ed86f03198250a7acd852a37","x")</f>
        <v>x</v>
      </c>
      <c r="DT74" s="112" t="str">
        <f>HYPERLINK("http://bildung.koeln.de/materialbibliothek/download.php?idx=a6b4538da040042ad863645437a8d288","x")</f>
        <v>x</v>
      </c>
      <c r="DU74" s="112"/>
      <c r="DV74" s="112" t="str">
        <f>HYPERLINK("https://www.bmbf.de/pub/Kausa_Elternbroschuere_bosn_kroat_serb.pdf","x")</f>
        <v>x</v>
      </c>
      <c r="DW74" s="111"/>
      <c r="DX74" s="111"/>
      <c r="DY74" s="111"/>
      <c r="DZ74" s="111"/>
      <c r="EA74" s="111"/>
      <c r="EB74" s="112"/>
      <c r="EC74" s="111"/>
      <c r="ED74" s="111"/>
      <c r="EE74" s="111"/>
      <c r="EF74" s="111"/>
      <c r="EG74" s="111"/>
      <c r="EH74" s="111"/>
      <c r="EI74" s="111"/>
      <c r="EJ74" s="112"/>
      <c r="EK74" s="112"/>
      <c r="EL74" s="111"/>
      <c r="EM74" s="112" t="str">
        <f>HYPERLINK("http://www.kvs-sachsen.de/fileadmin/img/Mitglieder/Asylbewerber/Allg-Informationen/Anlage_1_Bosnisch_LEK.pdf","x")</f>
        <v>x</v>
      </c>
      <c r="EN74" s="111"/>
      <c r="EO74" s="111"/>
      <c r="EP74" s="118"/>
      <c r="EQ74" s="118"/>
      <c r="ER74" s="112" t="str">
        <f>HYPERLINK("http://www.kvs-sachsen.de/fileadmin/img/Mitglieder/Asylbewerber/Allg-Informationen/Anlagen_2-1_2-2_Bosnisch_LEK.pdf","x")</f>
        <v>x</v>
      </c>
      <c r="ES74" s="112"/>
      <c r="ET74" s="112"/>
      <c r="EU74" s="111"/>
      <c r="EV74" s="111"/>
      <c r="EW74" s="112" t="str">
        <f t="shared" si="14"/>
        <v>x</v>
      </c>
      <c r="EX74" s="111"/>
      <c r="EY74" s="111"/>
      <c r="EZ74" s="111"/>
      <c r="FA74" s="111"/>
      <c r="FB74" s="111"/>
      <c r="FC74" s="111"/>
      <c r="FD74" s="112" t="str">
        <f t="shared" si="15"/>
        <v>x</v>
      </c>
      <c r="FE74" s="112" t="str">
        <f>HYPERLINK("http://sghanstedt.elbnetz.com/ueber-uns/","x")</f>
        <v>x</v>
      </c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2" t="str">
        <f t="shared" si="16"/>
        <v>x</v>
      </c>
      <c r="HD74" s="111"/>
      <c r="HE74" s="111"/>
      <c r="HF74" s="111"/>
      <c r="HG74" s="111"/>
      <c r="HH74" s="111"/>
      <c r="HI74" s="111"/>
      <c r="HJ74" s="111"/>
      <c r="HK74" s="112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2" t="str">
        <f t="shared" si="17"/>
        <v>x</v>
      </c>
      <c r="HZ74" s="112" t="str">
        <f t="shared" si="18"/>
        <v>x</v>
      </c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2"/>
      <c r="IL74" s="111"/>
      <c r="IM74" s="111"/>
      <c r="IN74" s="111"/>
      <c r="IO74" s="111"/>
      <c r="IP74" s="111"/>
      <c r="IQ74" s="112"/>
      <c r="IR74" s="112"/>
      <c r="IS74" s="111"/>
      <c r="IT74" s="111"/>
      <c r="IU74" s="111"/>
      <c r="IV74" s="112" t="str">
        <f>HYPERLINK("http://www.asyl.net/fileadmin/user_upload/infoblatt_anhoerung/Infoblatt_2015_bosn_fin.pdf","x")</f>
        <v>x</v>
      </c>
      <c r="IW74" s="112"/>
      <c r="IX74" s="112"/>
      <c r="IY74" s="112"/>
      <c r="IZ74" s="111"/>
      <c r="JA74" s="111"/>
      <c r="JB74" s="111"/>
      <c r="JC74" s="112"/>
      <c r="JD74" s="111"/>
      <c r="JE74" s="112"/>
      <c r="JF74" s="112"/>
      <c r="JG74" s="111"/>
      <c r="JH74" s="111"/>
      <c r="JI74" s="111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1"/>
      <c r="JU74" s="111"/>
      <c r="JV74" s="111"/>
      <c r="JW74" s="112"/>
      <c r="JX74" s="112"/>
      <c r="JY74" s="111"/>
      <c r="JZ74" s="111"/>
      <c r="KA74" s="111"/>
      <c r="KB74" s="111"/>
      <c r="KC74" s="111"/>
      <c r="KD74" s="111"/>
      <c r="KE74" s="111"/>
      <c r="KF74" s="111"/>
      <c r="KG74" s="111"/>
      <c r="KH74" s="111"/>
      <c r="KI74" s="111"/>
      <c r="KJ74" s="111"/>
      <c r="KK74" s="111"/>
      <c r="KL74" s="111"/>
      <c r="KM74" s="111"/>
      <c r="KN74" s="111"/>
      <c r="KO74" s="111"/>
      <c r="KP74" s="111"/>
      <c r="KQ74" s="111"/>
      <c r="KR74" s="111"/>
      <c r="KS74" s="111"/>
      <c r="KT74" s="111"/>
      <c r="KU74" s="111"/>
      <c r="KV74" s="111"/>
      <c r="KW74" s="111"/>
      <c r="KX74" s="111"/>
      <c r="KY74" s="111"/>
      <c r="KZ74" s="111"/>
      <c r="LA74" s="111"/>
      <c r="LB74" s="111"/>
      <c r="LC74" s="111"/>
      <c r="LD74" s="111"/>
      <c r="LE74" s="111"/>
      <c r="LF74" s="111"/>
      <c r="LG74" s="111"/>
      <c r="LH74" s="111"/>
      <c r="LI74" s="111"/>
      <c r="LJ74" s="111"/>
      <c r="LK74" s="111"/>
      <c r="LL74" s="111"/>
      <c r="LM74" s="111"/>
      <c r="LN74" s="111"/>
      <c r="LO74" s="111"/>
      <c r="LP74" s="111"/>
      <c r="LQ74" s="111"/>
      <c r="LR74" s="111"/>
      <c r="LS74" s="111"/>
      <c r="LT74" s="111"/>
      <c r="LU74" s="111"/>
      <c r="LV74" s="111"/>
      <c r="LW74" s="111"/>
      <c r="LX74" s="111"/>
      <c r="LY74" s="111"/>
      <c r="LZ74" s="111"/>
      <c r="MA74" s="111"/>
      <c r="MB74" s="111"/>
      <c r="MC74" s="111"/>
      <c r="MD74" s="111"/>
      <c r="ME74" s="111"/>
      <c r="MF74" s="111"/>
      <c r="MG74" s="111"/>
      <c r="MH74" s="111"/>
      <c r="MI74" s="111"/>
    </row>
    <row r="75" spans="1:347" x14ac:dyDescent="0.25">
      <c r="A75" s="102" t="s">
        <v>75</v>
      </c>
      <c r="B75" s="127" t="s">
        <v>32</v>
      </c>
      <c r="C75" s="102"/>
      <c r="D75" s="102"/>
      <c r="E75" s="102"/>
      <c r="F75" s="102"/>
      <c r="G75" s="102"/>
      <c r="H75" s="102"/>
      <c r="I75" s="102"/>
      <c r="J75" s="102"/>
      <c r="K75" s="103"/>
      <c r="L75" s="111"/>
      <c r="M75" s="111"/>
      <c r="N75" s="112" t="str">
        <f>HYPERLINK("http://www.ag-fluechtlingshilfe-wetterau.de/uploads/infos/170.pdf","x")</f>
        <v>x</v>
      </c>
      <c r="O75" s="112"/>
      <c r="P75" s="112"/>
      <c r="Q75" s="112"/>
      <c r="R75" s="112"/>
      <c r="S75" s="112"/>
      <c r="T75" s="112"/>
      <c r="U75" s="112"/>
      <c r="V75" s="112"/>
      <c r="W75" s="111"/>
      <c r="X75" s="112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2"/>
      <c r="AP75" s="112"/>
      <c r="AQ75" s="112"/>
      <c r="AR75" s="112"/>
      <c r="AS75" s="112"/>
      <c r="AT75" s="112"/>
      <c r="AU75" s="112"/>
      <c r="AV75" s="113"/>
      <c r="AW75" s="114" t="str">
        <f t="shared" si="0"/>
        <v>x</v>
      </c>
      <c r="AX75" s="114" t="str">
        <f t="shared" si="1"/>
        <v>x</v>
      </c>
      <c r="AY75" s="111"/>
      <c r="AZ75" s="111"/>
      <c r="BA75" s="112" t="str">
        <f t="shared" si="2"/>
        <v>x</v>
      </c>
      <c r="BB75" s="112" t="str">
        <f t="shared" si="3"/>
        <v>x</v>
      </c>
      <c r="BC75" s="111"/>
      <c r="BD75" s="111"/>
      <c r="BE75" s="111"/>
      <c r="BF75" s="111"/>
      <c r="BG75" s="111"/>
      <c r="BH75" s="112" t="str">
        <f>HYPERLINK("http://www.refugeephrasebook.de/pdf/germany150920.pdf","x")</f>
        <v>x</v>
      </c>
      <c r="BI75" s="112" t="str">
        <f>HYPERLINK("https://www.advanced-online.eu/downloads/RefugeePhrasebookCards_German-Bosnian-Croatian-Serbian.pdf","x")</f>
        <v>x</v>
      </c>
      <c r="BJ75" s="111"/>
      <c r="BK75" s="111"/>
      <c r="BL75" s="111"/>
      <c r="BM75" s="111"/>
      <c r="BN75" s="111"/>
      <c r="BO75" s="111"/>
      <c r="BP75" s="111"/>
      <c r="BQ75" s="111"/>
      <c r="BR75" s="111"/>
      <c r="BS75" s="112" t="str">
        <f t="shared" si="4"/>
        <v>x</v>
      </c>
      <c r="BT75" s="112"/>
      <c r="BU75" s="111"/>
      <c r="BV75" s="112" t="str">
        <f t="shared" si="5"/>
        <v>x</v>
      </c>
      <c r="BW75" s="112"/>
      <c r="BX75" s="112"/>
      <c r="BY75" s="112"/>
      <c r="BZ75" s="112"/>
      <c r="CA75" s="112" t="str">
        <f t="shared" si="6"/>
        <v>x</v>
      </c>
      <c r="CB75" s="112" t="str">
        <f t="shared" si="7"/>
        <v>x</v>
      </c>
      <c r="CC75" s="112" t="str">
        <f t="shared" si="8"/>
        <v>x</v>
      </c>
      <c r="CD75" s="112"/>
      <c r="CE75" s="112"/>
      <c r="CF75" s="111"/>
      <c r="CG75" s="111"/>
      <c r="CH75" s="111"/>
      <c r="CI75" s="111"/>
      <c r="CJ75" s="111"/>
      <c r="CK75" s="112" t="str">
        <f t="shared" si="9"/>
        <v>x</v>
      </c>
      <c r="CL75" s="112"/>
      <c r="CM75" s="112"/>
      <c r="CN75" s="112"/>
      <c r="CO75" s="112"/>
      <c r="CP75" s="112"/>
      <c r="CQ75" s="112"/>
      <c r="CR75" s="112"/>
      <c r="CS75" s="112"/>
      <c r="CT75" s="112"/>
      <c r="CU75" s="112" t="str">
        <f>HYPERLINK("http://www.profamilia.de/fileadmin/publikationen/Erwachsene/mehrsprachig/verhuetung_kroatisch.pdf","x")</f>
        <v>x</v>
      </c>
      <c r="CV75" s="112"/>
      <c r="CW75" s="112"/>
      <c r="CX75" s="112" t="str">
        <f>HYPERLINK("http://www.profamilia.de/fileadmin/publikationen/Reihe_Koerper_und_Sexualtitaet/Bro_Schwangerschaftsabbruch_HR_ANSICHT.pdf","x")</f>
        <v>x</v>
      </c>
      <c r="CY75" s="111"/>
      <c r="CZ75" s="112"/>
      <c r="DA75" s="112"/>
      <c r="DB75" s="112"/>
      <c r="DC75" s="115"/>
      <c r="DD75" s="112"/>
      <c r="DE75" s="112"/>
      <c r="DF75" s="112" t="str">
        <f t="shared" si="10"/>
        <v>x</v>
      </c>
      <c r="DG75" s="115" t="str">
        <f t="shared" si="11"/>
        <v>x</v>
      </c>
      <c r="DH75" s="112" t="str">
        <f t="shared" si="12"/>
        <v>x</v>
      </c>
      <c r="DI75" s="112" t="str">
        <f t="shared" si="13"/>
        <v>x</v>
      </c>
      <c r="DJ75" s="112" t="str">
        <f>HYPERLINK("http://www.bibliomedia.ch/de/angebote/dokumente/Glossar_kroatisch.pdf","x")</f>
        <v>x</v>
      </c>
      <c r="DK75" s="112"/>
      <c r="DL75" s="112"/>
      <c r="DM75" s="112"/>
      <c r="DN75" s="112"/>
      <c r="DO75" s="112"/>
      <c r="DP75" s="111"/>
      <c r="DQ75" s="111"/>
      <c r="DR75" s="111"/>
      <c r="DS75" s="112" t="str">
        <f>HYPERLINK("http://bildung.koeln.de/materialbibliothek/download.php?idx=0fa72c9e161f25c40f1bb81295fb4f1f","x")</f>
        <v>x</v>
      </c>
      <c r="DT75" s="112" t="str">
        <f>HYPERLINK("http://bildung.koeln.de/materialbibliothek/download.php?idx=3a958a19af2d93b8f387abceab9f62b3","x")</f>
        <v>x</v>
      </c>
      <c r="DU75" s="112"/>
      <c r="DV75" s="112" t="str">
        <f>HYPERLINK("https://www.bmbf.de/pub/Kausa_Elternbroschuere_bosn_kroat_serb.pdf","x")</f>
        <v>x</v>
      </c>
      <c r="DW75" s="111"/>
      <c r="DX75" s="111"/>
      <c r="DY75" s="111"/>
      <c r="DZ75" s="112" t="str">
        <f>HYPERLINK("http://www.bamf.de/SharedDocs/Anlagen/DE/Publikationen/Flyer/AnerkennungBerufsabschluss/anerkennung-berufsabschluss_hr.pdf?__blob=publicationFile","x")</f>
        <v>x</v>
      </c>
      <c r="EA75" s="112" t="str">
        <f>HYPERLINK("http://www.bamf.de/SharedDocs/Anlagen/DE/Publikationen/Flyer/AnerkennungBerufsabschluss/anerkennung-berufsabschluss_ausland_hr.pdf?__blob=publicationFile","x")</f>
        <v>x</v>
      </c>
      <c r="EB75" s="112"/>
      <c r="EC75" s="112"/>
      <c r="ED75" s="111"/>
      <c r="EE75" s="111"/>
      <c r="EF75" s="111"/>
      <c r="EG75" s="111"/>
      <c r="EH75" s="111"/>
      <c r="EI75" s="111"/>
      <c r="EJ75" s="112"/>
      <c r="EK75" s="112"/>
      <c r="EL75" s="111"/>
      <c r="EM75" s="112" t="str">
        <f>HYPERLINK("http://www.kvs-sachsen.de/fileadmin/img/Mitglieder/Asylbewerber/Allg-Informationen/Anlage_1_Kroatisch_LEK.pdf","x")</f>
        <v>x</v>
      </c>
      <c r="EN75" s="111"/>
      <c r="EO75" s="111"/>
      <c r="EP75" s="117"/>
      <c r="EQ75" s="117" t="str">
        <f>HYPERLINK("http://www.armut-gesundheit.de/fileadmin/redakteur/dokumente/Anamnesebogen%20-%20kroatischnew.pdf","x")</f>
        <v>x</v>
      </c>
      <c r="ER75" s="112" t="str">
        <f>HYPERLINK("http://www.kvs-sachsen.de/fileadmin/img/Mitglieder/Asylbewerber/Allg-Informationen/Anlagen_2-1_2-2_Kroatisch_LEK.pdf","x")</f>
        <v>x</v>
      </c>
      <c r="ES75" s="111"/>
      <c r="ET75" s="111"/>
      <c r="EU75" s="111"/>
      <c r="EV75" s="111"/>
      <c r="EW75" s="112" t="str">
        <f t="shared" si="14"/>
        <v>x</v>
      </c>
      <c r="EX75" s="111"/>
      <c r="EY75" s="111"/>
      <c r="EZ75" s="111"/>
      <c r="FA75" s="111"/>
      <c r="FB75" s="111"/>
      <c r="FC75" s="111"/>
      <c r="FD75" s="112" t="str">
        <f t="shared" si="15"/>
        <v>x</v>
      </c>
      <c r="FE75" s="112" t="str">
        <f>HYPERLINK("http://sghanstedt.elbnetz.com/ueber-uns/","x")</f>
        <v>x</v>
      </c>
      <c r="FF75" s="111"/>
      <c r="FG75" s="111"/>
      <c r="FH75" s="111"/>
      <c r="FI75" s="111"/>
      <c r="FJ75" s="112"/>
      <c r="FK75" s="112" t="str">
        <f>HYPERLINK("http://www.rki.de/DE/Content/Infekt/Impfen/Materialien/Downloads-Impfkalender/Impfkalender_Kroatisch.pdf;jsessionid=B56E144E4E5DED843A215A7A8F137849.2_cid290?__blob=publicationFile","x")</f>
        <v>x</v>
      </c>
      <c r="FL75" s="111"/>
      <c r="FM75" s="111"/>
      <c r="FN75" s="112" t="str">
        <f>HYPERLINK("http://www.rki.de/DE/Content/Infekt/Impfen/Materialien/Glossar-Downloads/glossar-de-kroatisch.pdf?__blob=publicationFile","x")</f>
        <v>x</v>
      </c>
      <c r="FO75" s="112"/>
      <c r="FP75" s="112" t="str">
        <f>HYPERLINK("http://www.rki.de/DE/Content/Infekt/Impfen/Materialien/Downloads-MMR/MMR-Impfinfo-kroatisch.pdf?__blob=publicationFile","x")</f>
        <v>x</v>
      </c>
      <c r="FQ75" s="111"/>
      <c r="FR75" s="112" t="str">
        <f>HYPERLINK("http://www.rki.de/DE/Content/Infekt/Impfen/Materialien/Downloads_HepA/Aufklaerung_HAV-Impfung_Kroatisch.pdf?__blob=publicationFile","x")</f>
        <v>x</v>
      </c>
      <c r="FS75" s="112" t="str">
        <f>HYPERLINK("http://www.rki.de/DE/Content/Infekt/Impfen/Materialien/Downloads_Pneumokokken/Aufklaerung_Pneumo-Impfung_Kroatisch.pdf?__blob=publicationFile","x")</f>
        <v>x</v>
      </c>
      <c r="FT75" s="112" t="str">
        <f>HYPERLINK("http://www.rki.de/DE/Content/Infekt/Impfen/Materialien/Downloads-DTaPIPVHibHepB/DTaPIPVHibHepB-kroatisch.pdf?__blob=publicationFile","x")</f>
        <v>x</v>
      </c>
      <c r="FU75" s="112" t="str">
        <f>HYPERLINK("http://www.rki.de/DE/Content/Infekt/Impfen/Materialien/Downloads-Varizellen/Varizellen-Impfinfo-kroatisch.pdf;jsessionid=65B697F4EE7EDA8A1ED9E2C4CD6C74EC.2_cid363?__blob=publicationFile","x")</f>
        <v>x</v>
      </c>
      <c r="FV75" s="112" t="str">
        <f>HYPERLINK("http://www.rki.de/DE/Content/Infekt/Impfen/Materialien/Downloads-Tdap-IPV/Tdap-IPV-kroatisch.pdf?__blob=publicationFile","x")</f>
        <v>x</v>
      </c>
      <c r="FW75" s="112" t="str">
        <f>HYPERLINK("http://www.rki.de/DE/Content/Infekt/Impfen/Materialien/Downloads-Influenza_nasal/Influenza_nasal-kroatisch.pdf?__blob=publicationFile","x")</f>
        <v>x</v>
      </c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2" t="str">
        <f>HYPERLINK("http://www.rki.de/DE/Content/Infekt/Impfen/Materialien/Downloads-Influenza/Influenza-kroatisch.pdf?__blob=publicationFile","x")</f>
        <v>x</v>
      </c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2" t="str">
        <f t="shared" si="16"/>
        <v>x</v>
      </c>
      <c r="HD75" s="112" t="str">
        <f>HYPERLINK("https://www.zahnaerzte-wl.de/images/_PDF-suche/KZV_ZÄK/ENDSTAND_Ankreuzbogen_Ich_verstehe.pdf","x")</f>
        <v>x</v>
      </c>
      <c r="HE75" s="112" t="str">
        <f>HYPERLINK("https://www.zahnaerzte-wl.de/images/_PDF-suche/KZV_ZÄK/Anschreiben_Patienten_kroatisch.pdf","x")</f>
        <v>x</v>
      </c>
      <c r="HF75" s="112" t="str">
        <f>HYPERLINK("https://www.zahnaerzte-wl.de/images/_PDF-suche/KZV_ZÄK/Fragebogen_kroatisch.pdf","x")</f>
        <v>x</v>
      </c>
      <c r="HG75" s="112" t="str">
        <f>HYPERLINK("https://www.zahnaerzte-wl.de/images/_PDF-suche/KZV_ZÄK/Patientenerhebungsbogen_kroatisch.pdf","x")</f>
        <v>x</v>
      </c>
      <c r="HH75" s="112"/>
      <c r="HI75" s="112"/>
      <c r="HJ75" s="112"/>
      <c r="HK75" s="112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2" t="str">
        <f t="shared" si="17"/>
        <v>x</v>
      </c>
      <c r="HZ75" s="112" t="str">
        <f t="shared" si="18"/>
        <v>x</v>
      </c>
      <c r="IA75" s="111"/>
      <c r="IB75" s="111"/>
      <c r="IC75" s="111"/>
      <c r="ID75" s="111"/>
      <c r="IE75" s="111"/>
      <c r="IF75" s="111"/>
      <c r="IG75" s="111"/>
      <c r="IH75" s="111"/>
      <c r="II75" s="112" t="str">
        <f>HYPERLINK("http://www.caritas.de/hilfeundberatung/onlineberatung/suchtberatung/haeufiggestelltefragensucht/haeufiggestelltefragen-sucht","x")</f>
        <v>x</v>
      </c>
      <c r="IJ75" s="111"/>
      <c r="IK75" s="112"/>
      <c r="IL75" s="111"/>
      <c r="IM75" s="111"/>
      <c r="IN75" s="111"/>
      <c r="IO75" s="111"/>
      <c r="IP75" s="111"/>
      <c r="IQ75" s="112"/>
      <c r="IR75" s="112"/>
      <c r="IS75" s="111"/>
      <c r="IT75" s="111"/>
      <c r="IU75" s="111"/>
      <c r="IV75" s="112"/>
      <c r="IW75" s="112"/>
      <c r="IX75" s="112"/>
      <c r="IY75" s="112"/>
      <c r="IZ75" s="111"/>
      <c r="JA75" s="111"/>
      <c r="JB75" s="111"/>
      <c r="JC75" s="112"/>
      <c r="JD75" s="111"/>
      <c r="JE75" s="112"/>
      <c r="JF75" s="112"/>
      <c r="JG75" s="112"/>
      <c r="JH75" s="112"/>
      <c r="JI75" s="111"/>
      <c r="JJ75" s="112"/>
      <c r="JK75" s="112"/>
      <c r="JL75" s="112"/>
      <c r="JM75" s="112" t="str">
        <f>HYPERLINK("https://www.arbeitsagentur.de/web/content/DE/Formulare/Detail/index.htm?dfContentId=L6019022DSTBAI485740","x")</f>
        <v>x</v>
      </c>
      <c r="JN75" s="112"/>
      <c r="JO75" s="112"/>
      <c r="JP75" s="112"/>
      <c r="JQ75" s="112"/>
      <c r="JR75" s="112" t="str">
        <f>HYPERLINK("http://www.ibla-germany.de/merkblaetter.php","x")</f>
        <v>x</v>
      </c>
      <c r="JS75" s="112"/>
      <c r="JT75" s="111"/>
      <c r="JU75" s="111"/>
      <c r="JV75" s="111"/>
      <c r="JW75" s="112"/>
      <c r="JX75" s="112"/>
      <c r="JY75" s="111"/>
      <c r="JZ75" s="111"/>
      <c r="KA75" s="111"/>
      <c r="KB75" s="111"/>
      <c r="KC75" s="111"/>
      <c r="KD75" s="111"/>
      <c r="KE75" s="111"/>
      <c r="KF75" s="111"/>
      <c r="KG75" s="111"/>
      <c r="KH75" s="111"/>
      <c r="KI75" s="111"/>
      <c r="KJ75" s="111"/>
      <c r="KK75" s="111"/>
      <c r="KL75" s="111"/>
      <c r="KM75" s="111"/>
      <c r="KN75" s="111"/>
      <c r="KO75" s="111"/>
      <c r="KP75" s="111"/>
      <c r="KQ75" s="111"/>
      <c r="KR75" s="111"/>
      <c r="KS75" s="111"/>
      <c r="KT75" s="111"/>
      <c r="KU75" s="111"/>
      <c r="KV75" s="111"/>
      <c r="KW75" s="111"/>
      <c r="KX75" s="111"/>
      <c r="KY75" s="111"/>
      <c r="KZ75" s="111"/>
      <c r="LA75" s="111"/>
      <c r="LB75" s="111"/>
      <c r="LC75" s="111"/>
      <c r="LD75" s="111"/>
      <c r="LE75" s="111"/>
      <c r="LF75" s="111"/>
      <c r="LG75" s="111"/>
      <c r="LH75" s="111"/>
      <c r="LI75" s="111"/>
      <c r="LJ75" s="111"/>
      <c r="LK75" s="111"/>
      <c r="LL75" s="111"/>
      <c r="LM75" s="111"/>
      <c r="LN75" s="111"/>
      <c r="LO75" s="111"/>
      <c r="LP75" s="111"/>
      <c r="LQ75" s="111"/>
      <c r="LR75" s="111"/>
      <c r="LS75" s="111"/>
      <c r="LT75" s="111"/>
      <c r="LU75" s="111"/>
      <c r="LV75" s="111"/>
      <c r="LW75" s="111"/>
      <c r="LX75" s="111"/>
      <c r="LY75" s="111"/>
      <c r="LZ75" s="111"/>
      <c r="MA75" s="111"/>
      <c r="MB75" s="111"/>
      <c r="MC75" s="111"/>
      <c r="MD75" s="111"/>
      <c r="ME75" s="111"/>
      <c r="MF75" s="111"/>
      <c r="MG75" s="111"/>
      <c r="MH75" s="111"/>
      <c r="MI75" s="112" t="str">
        <f>HYPERLINK("http://www.kindersicherheit.de/pdf/2012_poster_achtunggiftig_8sprachig.pdf","x")</f>
        <v>x</v>
      </c>
    </row>
    <row r="76" spans="1:347" x14ac:dyDescent="0.25">
      <c r="A76" s="102" t="s">
        <v>75</v>
      </c>
      <c r="B76" s="127" t="s">
        <v>152</v>
      </c>
      <c r="C76" s="102"/>
      <c r="D76" s="102"/>
      <c r="E76" s="102"/>
      <c r="F76" s="102"/>
      <c r="G76" s="102"/>
      <c r="H76" s="102"/>
      <c r="I76" s="102"/>
      <c r="J76" s="102"/>
      <c r="K76" s="103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3"/>
      <c r="AW76" s="114" t="str">
        <f t="shared" si="0"/>
        <v>x</v>
      </c>
      <c r="AX76" s="114" t="str">
        <f t="shared" si="1"/>
        <v>x</v>
      </c>
      <c r="AY76" s="111"/>
      <c r="AZ76" s="111"/>
      <c r="BA76" s="112" t="str">
        <f t="shared" si="2"/>
        <v>x</v>
      </c>
      <c r="BB76" s="112" t="str">
        <f t="shared" si="3"/>
        <v>x</v>
      </c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2" t="str">
        <f t="shared" si="4"/>
        <v>x</v>
      </c>
      <c r="BT76" s="112"/>
      <c r="BU76" s="111"/>
      <c r="BV76" s="112" t="str">
        <f t="shared" si="5"/>
        <v>x</v>
      </c>
      <c r="BW76" s="112"/>
      <c r="BX76" s="112"/>
      <c r="BY76" s="112"/>
      <c r="BZ76" s="112"/>
      <c r="CA76" s="112" t="str">
        <f t="shared" si="6"/>
        <v>x</v>
      </c>
      <c r="CB76" s="112" t="str">
        <f t="shared" si="7"/>
        <v>x</v>
      </c>
      <c r="CC76" s="112" t="str">
        <f t="shared" si="8"/>
        <v>x</v>
      </c>
      <c r="CD76" s="112"/>
      <c r="CE76" s="112"/>
      <c r="CF76" s="111"/>
      <c r="CG76" s="111"/>
      <c r="CH76" s="111"/>
      <c r="CI76" s="111"/>
      <c r="CJ76" s="111"/>
      <c r="CK76" s="112" t="str">
        <f t="shared" si="9"/>
        <v>x</v>
      </c>
      <c r="CL76" s="112"/>
      <c r="CM76" s="112"/>
      <c r="CN76" s="112"/>
      <c r="CO76" s="112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2"/>
      <c r="DA76" s="112"/>
      <c r="DB76" s="112"/>
      <c r="DC76" s="115"/>
      <c r="DD76" s="112"/>
      <c r="DE76" s="112"/>
      <c r="DF76" s="112" t="str">
        <f t="shared" si="10"/>
        <v>x</v>
      </c>
      <c r="DG76" s="115" t="str">
        <f t="shared" si="11"/>
        <v>x</v>
      </c>
      <c r="DH76" s="112" t="str">
        <f t="shared" si="12"/>
        <v>x</v>
      </c>
      <c r="DI76" s="112" t="str">
        <f t="shared" si="13"/>
        <v>x</v>
      </c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8"/>
      <c r="EQ76" s="118"/>
      <c r="ER76" s="111"/>
      <c r="ES76" s="111"/>
      <c r="ET76" s="111"/>
      <c r="EU76" s="111"/>
      <c r="EV76" s="111"/>
      <c r="EW76" s="112" t="str">
        <f t="shared" si="14"/>
        <v>x</v>
      </c>
      <c r="EX76" s="111"/>
      <c r="EY76" s="111"/>
      <c r="EZ76" s="111"/>
      <c r="FA76" s="111"/>
      <c r="FB76" s="111"/>
      <c r="FC76" s="111"/>
      <c r="FD76" s="112" t="str">
        <f t="shared" si="15"/>
        <v>x</v>
      </c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2" t="str">
        <f t="shared" si="16"/>
        <v>x</v>
      </c>
      <c r="HD76" s="112" t="str">
        <f>HYPERLINK("https://www.zahnaerzte-wl.de/images/_PDF-suche/KZV_ZÄK/ENDSTAND_Ankreuzbogen_Ich_verstehe.pdf","x")</f>
        <v>x</v>
      </c>
      <c r="HE76" s="112" t="str">
        <f>HYPERLINK("https://www.zahnaerzte-wl.de/images/_PDF-suche/KZV_ZÄK/Anschreiben_Patienten_montenegrisch.pdf","x")</f>
        <v>x</v>
      </c>
      <c r="HF76" s="112" t="str">
        <f>HYPERLINK("https://www.zahnaerzte-wl.de/images/_PDF-suche/KZV_ZÄK/Fragebogen_montenegrisch.pdf","x")</f>
        <v>x</v>
      </c>
      <c r="HG76" s="112" t="str">
        <f>HYPERLINK("https://www.zahnaerzte-wl.de/images/_PDF-suche/KZV_ZÄK/Patientenerhebungsbogen_montenegrisch.pdf","x")</f>
        <v>x</v>
      </c>
      <c r="HH76" s="112"/>
      <c r="HI76" s="112"/>
      <c r="HJ76" s="112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2" t="str">
        <f t="shared" si="17"/>
        <v>x</v>
      </c>
      <c r="HZ76" s="112" t="str">
        <f t="shared" si="18"/>
        <v>x</v>
      </c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1"/>
      <c r="JT76" s="111"/>
      <c r="JU76" s="111"/>
      <c r="JV76" s="111"/>
      <c r="JW76" s="111"/>
      <c r="JX76" s="111"/>
      <c r="JY76" s="111"/>
      <c r="JZ76" s="111"/>
      <c r="KA76" s="111"/>
      <c r="KB76" s="111"/>
      <c r="KC76" s="111"/>
      <c r="KD76" s="111"/>
      <c r="KE76" s="111"/>
      <c r="KF76" s="111"/>
      <c r="KG76" s="111"/>
      <c r="KH76" s="111"/>
      <c r="KI76" s="111"/>
      <c r="KJ76" s="111"/>
      <c r="KK76" s="111"/>
      <c r="KL76" s="111"/>
      <c r="KM76" s="111"/>
      <c r="KN76" s="111"/>
      <c r="KO76" s="111"/>
      <c r="KP76" s="111"/>
      <c r="KQ76" s="111"/>
      <c r="KR76" s="111"/>
      <c r="KS76" s="111"/>
      <c r="KT76" s="111"/>
      <c r="KU76" s="111"/>
      <c r="KV76" s="111"/>
      <c r="KW76" s="111"/>
      <c r="KX76" s="111"/>
      <c r="KY76" s="111"/>
      <c r="KZ76" s="111"/>
      <c r="LA76" s="111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  <c r="MI76" s="111"/>
    </row>
    <row r="77" spans="1:347" x14ac:dyDescent="0.25">
      <c r="A77" s="102" t="s">
        <v>75</v>
      </c>
      <c r="B77" s="127" t="s">
        <v>9</v>
      </c>
      <c r="C77" s="102"/>
      <c r="D77" s="102"/>
      <c r="E77" s="102"/>
      <c r="F77" s="102"/>
      <c r="G77" s="102"/>
      <c r="H77" s="102"/>
      <c r="I77" s="102"/>
      <c r="J77" s="102"/>
      <c r="K77" s="103"/>
      <c r="L77" s="111"/>
      <c r="M77" s="111"/>
      <c r="N77" s="112" t="str">
        <f>HYPERLINK("http://www.ag-fluechtlingshilfe-wetterau.de/uploads/infos/170.pdf","x")</f>
        <v>x</v>
      </c>
      <c r="O77" s="112"/>
      <c r="P77" s="112" t="str">
        <f>HYPERLINK("http://www.awb-ahrweiler.de/admin/data/ddownload/Abfall%20Sonderhinweise-Serbisch%202015.pdf","x")</f>
        <v>x</v>
      </c>
      <c r="Q77" s="112"/>
      <c r="R77" s="112"/>
      <c r="S77" s="112"/>
      <c r="T77" s="112"/>
      <c r="U77" s="112"/>
      <c r="V77" s="112"/>
      <c r="W77" s="111"/>
      <c r="X77" s="112"/>
      <c r="Y77" s="111"/>
      <c r="Z77" s="111"/>
      <c r="AA77" s="111"/>
      <c r="AB77" s="111"/>
      <c r="AC77" s="111"/>
      <c r="AD77" s="111"/>
      <c r="AE77" s="111"/>
      <c r="AF77" s="111"/>
      <c r="AG77" s="111"/>
      <c r="AH77" s="112" t="str">
        <f>HYPERLINK("http://sghanstedt.elbnetz.com/ueber-uns/","x")</f>
        <v>x</v>
      </c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3"/>
      <c r="AW77" s="114" t="str">
        <f t="shared" si="0"/>
        <v>x</v>
      </c>
      <c r="AX77" s="114" t="str">
        <f t="shared" si="1"/>
        <v>x</v>
      </c>
      <c r="AY77" s="111"/>
      <c r="AZ77" s="111"/>
      <c r="BA77" s="112" t="str">
        <f t="shared" si="2"/>
        <v>x</v>
      </c>
      <c r="BB77" s="112" t="str">
        <f t="shared" si="3"/>
        <v>x</v>
      </c>
      <c r="BC77" s="111"/>
      <c r="BD77" s="111"/>
      <c r="BE77" s="111"/>
      <c r="BF77" s="111"/>
      <c r="BG77" s="111"/>
      <c r="BH77" s="112" t="str">
        <f>HYPERLINK("http://www.refugeephrasebook.de/pdf/germany150920.pdf","x")</f>
        <v>x</v>
      </c>
      <c r="BI77" s="112" t="str">
        <f>HYPERLINK("https://www.advanced-online.eu/downloads/RefugeePhrasebookCards_German-Bosnian-Croatian-Serbian.pdf","x")</f>
        <v>x</v>
      </c>
      <c r="BJ77" s="111"/>
      <c r="BK77" s="111"/>
      <c r="BL77" s="112" t="str">
        <f>HYPERLINK("http://www.bundessprachenamt.de/deutsch/wir_ueber_uns/nachrichten/2015/20151103/Verständigungshilfe_Serbisch_07_12_2015.pdf","x")</f>
        <v>x</v>
      </c>
      <c r="BM77" s="112" t="str">
        <f>HYPERLINK("http://www.frnrw.de/images/Aus_den_Initiativen/Ehrenamtler/2015/Dictionary_x10_print-2.pdf","x")</f>
        <v>x</v>
      </c>
      <c r="BN77" s="111"/>
      <c r="BO77" s="111"/>
      <c r="BP77" s="111"/>
      <c r="BQ77" s="111"/>
      <c r="BR77" s="111"/>
      <c r="BS77" s="112" t="str">
        <f t="shared" si="4"/>
        <v>x</v>
      </c>
      <c r="BT77" s="112"/>
      <c r="BU77" s="111"/>
      <c r="BV77" s="112" t="str">
        <f t="shared" si="5"/>
        <v>x</v>
      </c>
      <c r="BW77" s="112" t="str">
        <f>HYPERLINK("http://www.welcomegrooves.de/wp-content/uploads/2015/10/welcomegrooves_DE-BOSNISCH-SERBISCH_latein.pdf","x")</f>
        <v>x</v>
      </c>
      <c r="BX77" s="112"/>
      <c r="BY77" s="112"/>
      <c r="BZ77" s="112"/>
      <c r="CA77" s="112" t="str">
        <f t="shared" si="6"/>
        <v>x</v>
      </c>
      <c r="CB77" s="112" t="str">
        <f t="shared" si="7"/>
        <v>x</v>
      </c>
      <c r="CC77" s="112" t="str">
        <f t="shared" si="8"/>
        <v>x</v>
      </c>
      <c r="CD77" s="112"/>
      <c r="CE77" s="112"/>
      <c r="CF77" s="111"/>
      <c r="CG77" s="112" t="str">
        <f>HYPERLINK("http://www.braunschweig.de/leben/frauen/hilfe/Ohne-Gewalt-leben.pdf","x")</f>
        <v>x</v>
      </c>
      <c r="CH77" s="112" t="str">
        <f>HYPERLINK("http://mifkjf.rlp.de/fileadmin/mifkjf/Frauen/Gewalt_gegen_Frauen/Downloads/Broschueren_Flyer/Flyer_Gewalt_serbisch.pdf","x")</f>
        <v>x</v>
      </c>
      <c r="CI77" s="112"/>
      <c r="CJ77" s="112" t="str">
        <f>HYPERLINK("https://www.hilfetelefon.de/fileadmin/hilfetelefon_de/Materialien/weitere_werbemittel/Klappflyer_Vorder-_und_Rueckseite_opt2.pdf","x")</f>
        <v>x</v>
      </c>
      <c r="CK77" s="112" t="str">
        <f t="shared" si="9"/>
        <v>x</v>
      </c>
      <c r="CL77" s="112"/>
      <c r="CM77" s="112"/>
      <c r="CN77" s="112"/>
      <c r="CO77" s="112"/>
      <c r="CP77" s="112" t="str">
        <f>HYPERLINK("http://www.schwanger-und-viele-fragen.de/sr/","x")</f>
        <v>x</v>
      </c>
      <c r="CQ77" s="112"/>
      <c r="CR77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77" s="112"/>
      <c r="CT77" s="112"/>
      <c r="CU77" s="112"/>
      <c r="CV77" s="112"/>
      <c r="CW77" s="112"/>
      <c r="CX77" s="112"/>
      <c r="CY77" s="112"/>
      <c r="CZ77" s="112"/>
      <c r="DA77" s="112" t="str">
        <f>HYPERLINK("http://sichere-orte-schaffen.de/wp-content/uploads/Minibrosch_Fluechtlinge_multilang.pdf","x")</f>
        <v>x</v>
      </c>
      <c r="DB77" s="112"/>
      <c r="DC77" s="115"/>
      <c r="DD77" s="112"/>
      <c r="DE77" s="112"/>
      <c r="DF77" s="112" t="str">
        <f t="shared" si="10"/>
        <v>x</v>
      </c>
      <c r="DG77" s="115" t="str">
        <f t="shared" si="11"/>
        <v>x</v>
      </c>
      <c r="DH77" s="112" t="str">
        <f t="shared" si="12"/>
        <v>x</v>
      </c>
      <c r="DI77" s="112" t="str">
        <f t="shared" si="13"/>
        <v>x</v>
      </c>
      <c r="DJ77" s="112" t="str">
        <f>HYPERLINK("http://www.bibliomedia.ch/de/angebote/dokumente/Glossar_serbisch.pdf","x")</f>
        <v>x</v>
      </c>
      <c r="DK77" s="112"/>
      <c r="DL77" s="112" t="str">
        <f>HYPERLINK("http://www.carlsen.de/sites/default/files/Walter-ebook_serbisch_klein.pdf","x")</f>
        <v>x</v>
      </c>
      <c r="DM77" s="112"/>
      <c r="DN77" s="112"/>
      <c r="DO77" s="112"/>
      <c r="DP77" s="111"/>
      <c r="DQ77" s="112" t="str">
        <f>HYPERLINK("http://tipdoc.de/bus/grafik/kinder-tip/SCHULTIP_give_BulgRoSRB.pdf","x")</f>
        <v>x</v>
      </c>
      <c r="DR77" s="111"/>
      <c r="DS77" s="112" t="str">
        <f>HYPERLINK("http://bildung.koeln.de/materialbibliothek/download.php?idx=f09a11728f4654f447ae3a08d82e9a14","x")</f>
        <v>x</v>
      </c>
      <c r="DT77" s="112" t="str">
        <f>HYPERLINK("http://bildung.koeln.de/materialbibliothek/download.php?idx=710a401fffc6b79562005c71273ff463","x")</f>
        <v>x</v>
      </c>
      <c r="DU77" s="111"/>
      <c r="DV77" s="112" t="str">
        <f>HYPERLINK("https://www.bmbf.de/pub/Kausa_Elternbroschuere_bosn_kroat_serb.pdf","x")</f>
        <v>x</v>
      </c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2" t="str">
        <f>HYPERLINK("http://fluechtlingsrat-bw.de/files/Dateien/Dokumente/Materialbestellung/2014-12-flyer%20arbeitserlaubnis%20SRB%20WEB.pdf","x")</f>
        <v>x</v>
      </c>
      <c r="EL77" s="111"/>
      <c r="EM77" s="112" t="str">
        <f>HYPERLINK("http://www.kvs-sachsen.de/fileadmin/img/Mitglieder/Asylbewerber/Allg-Informationen/Anlage_1_Serbisch_LEK.pdf","x")</f>
        <v>x</v>
      </c>
      <c r="EN77" s="112" t="str">
        <f>HYPERLINK("http://www.medizin-hilft-fluechtlingen.de/images/Dokumente/gSch/gSch_ser.pdf","x")</f>
        <v>x</v>
      </c>
      <c r="EO77" s="112"/>
      <c r="EP77" s="117" t="str">
        <f>HYPERLINK("http://www.medi-bild.de/pdf/anamnese/Welche_Sprache.pdf","x")</f>
        <v>x</v>
      </c>
      <c r="EQ77" s="117" t="str">
        <f>HYPERLINK("http://www.medknowledge.de/migration/tipdoc/anamnesebogen/tipdoc_Anamnese_serb.pdf","x")</f>
        <v>x</v>
      </c>
      <c r="ER77" s="112" t="str">
        <f>HYPERLINK("http://www.kvs-sachsen.de/fileadmin/img/Mitglieder/Asylbewerber/Allg-Informationen/Anlagen_2-1_2-2_Serbisch_LEK.pdf","x")</f>
        <v>x</v>
      </c>
      <c r="ES77" s="111"/>
      <c r="ET77" s="111"/>
      <c r="EU77" s="112" t="str">
        <f>HYPERLINK("http://www.medizin-hilft-fluechtlingen.de/images/Dokumente/ein/ein_ser.pdf","x")</f>
        <v>x</v>
      </c>
      <c r="EV77" s="112"/>
      <c r="EW77" s="112" t="str">
        <f t="shared" si="14"/>
        <v>x</v>
      </c>
      <c r="EX77" s="111"/>
      <c r="EY77" s="111"/>
      <c r="EZ77" s="111"/>
      <c r="FA77" s="111"/>
      <c r="FB77" s="111"/>
      <c r="FC77" s="111"/>
      <c r="FD77" s="112" t="str">
        <f t="shared" si="15"/>
        <v>x</v>
      </c>
      <c r="FE77" s="112" t="str">
        <f>HYPERLINK("http://sghanstedt.elbnetz.com/ueber-uns/","x")</f>
        <v>x</v>
      </c>
      <c r="FF77" s="111"/>
      <c r="FG77" s="112" t="str">
        <f>HYPERLINK("http://www.tipdoc.de/grafik/asyl/Gesundheitsheft_Asyl.pdf","x")</f>
        <v>x</v>
      </c>
      <c r="FH77" s="111"/>
      <c r="FI77" s="111"/>
      <c r="FJ77" s="112"/>
      <c r="FK77" s="112" t="str">
        <f>HYPERLINK("http://www.rki.de/DE/Content/Infekt/Impfen/Materialien/Downloads-Impfkalender/Impfkalender_Serbisch.pdf?__blob=publicationFile","x")</f>
        <v>x</v>
      </c>
      <c r="FL77" s="112" t="str">
        <f>HYPERLINK("http://www.ethno-medizinisches-zentrum.de/images/PDF-Files/impfwegweiser_serbokroatisch_2013_online.pdf","x")</f>
        <v>x</v>
      </c>
      <c r="FM77" s="112"/>
      <c r="FN77" s="112" t="str">
        <f>HYPERLINK("http://www.rki.de/DE/Content/Infekt/Impfen/Materialien/Glossar-Downloads/glossar-de-serbisch.pdf?__blob=publicationFile","x")</f>
        <v>x</v>
      </c>
      <c r="FO77" s="112"/>
      <c r="FP77" s="112" t="str">
        <f>HYPERLINK("http://www.rki.de/DE/Content/Infekt/Impfen/Materialien/Downloads-MMR/MMR-Impfinfo-serbisch.pdf?__blob=publicationFile","x")</f>
        <v>x</v>
      </c>
      <c r="FQ77" s="111"/>
      <c r="FR77" s="112" t="str">
        <f>HYPERLINK("http://www.rki.de/DE/Content/Infekt/Impfen/Materialien/Downloads_HepA/Aufklaerung_HAV-Impfung_Serbisch.pdf?__blob=publicationFile","x")</f>
        <v>x</v>
      </c>
      <c r="FS77" s="112" t="str">
        <f>HYPERLINK("http://www.rki.de/DE/Content/Infekt/Impfen/Materialien/Downloads_Pneumokokken/Aufklaerung_Pneumo-Impfung_Serbisch.pdf?__blob=publicationFile","x")</f>
        <v>x</v>
      </c>
      <c r="FT77" s="112" t="str">
        <f>HYPERLINK("http://www.rki.de/DE/Content/Infekt/Impfen/Materialien/Downloads-DTaPIPVHibHepB/DTaPIPVHibHepB-serbisch.pdf?__blob=publicationFile","x")</f>
        <v>x</v>
      </c>
      <c r="FU77" s="112" t="str">
        <f>HYPERLINK("http://www.rki.de/DE/Content/Infekt/Impfen/Materialien/Downloads-Varizellen/Varizellen-Impfinfo-serbisch.pdf;jsessionid=65B697F4EE7EDA8A1ED9E2C4CD6C74EC.2_cid363?__blob=publicationFile","x")</f>
        <v>x</v>
      </c>
      <c r="FV77" s="112" t="str">
        <f>HYPERLINK("http://www.rki.de/DE/Content/Infekt/Impfen/Materialien/Downloads-Tdap-IPV/Tdap-IPV-serbisch.pdf?__blob=publicationFile","x")</f>
        <v>x</v>
      </c>
      <c r="FW77" s="112" t="str">
        <f>HYPERLINK("http://www.rki.de/DE/Content/Infekt/Impfen/Materialien/Downloads-Influenza_nasal/Influenza_nasal-serbisch.pdf?__blob=publicationFile","x")</f>
        <v>x</v>
      </c>
      <c r="FX77" s="111"/>
      <c r="FY77" s="111"/>
      <c r="FZ77" s="111"/>
      <c r="GA77" s="111"/>
      <c r="GB77" s="111"/>
      <c r="GC77" s="111"/>
      <c r="GD77" s="112" t="str">
        <f>HYPERLINK("http://www.ethno-medizinisches-zentrum.de/images/PDF-Files/lf_diabete_serbokroatisch.pdf","x")</f>
        <v>x</v>
      </c>
      <c r="GE77" s="111"/>
      <c r="GF77" s="111"/>
      <c r="GG77" s="111"/>
      <c r="GH77" s="112"/>
      <c r="GI77" s="111"/>
      <c r="GJ77" s="111"/>
      <c r="GK77" s="112" t="str">
        <f>HYPERLINK("http://www.tipdoc.de/bus/pdf/hiv/HIV%20SRF_Webseite.pdf","x")</f>
        <v>x</v>
      </c>
      <c r="GL77" s="111"/>
      <c r="GM77" s="112" t="str">
        <f>HYPERLINK("http://www.rki.de/DE/Content/Infekt/Impfen/Materialien/Downloads-Influenza/Influenza-serbisch.pdf?__blob=publicationFile","x")</f>
        <v>x</v>
      </c>
      <c r="GN77" s="111"/>
      <c r="GO77" s="111"/>
      <c r="GP77" s="112" t="str">
        <f>HYPERLINK("http://www.tipdoc.de/grafik/pdf/kopflaeuse/Kopflaeuse_SERB.pdf","x")</f>
        <v>x</v>
      </c>
      <c r="GQ77" s="112"/>
      <c r="GR77" s="112" t="str">
        <f>HYPERLINK("http://www.tipdoc.com/bus/pdf/kraetze/tipdoc_Scabies_SERB.pdf","x")</f>
        <v>x</v>
      </c>
      <c r="GS77" s="112" t="str">
        <f>HYPERLINK("http://www.tipdoc.com/bus/pdf/MagenDarmHaende/MagenDarmHaende_SERB.pdf","x")</f>
        <v>x</v>
      </c>
      <c r="GT77" s="111"/>
      <c r="GU77" s="111"/>
      <c r="GV77" s="111"/>
      <c r="GW77" s="111"/>
      <c r="GX77" s="111"/>
      <c r="GY77" s="111"/>
      <c r="GZ77" s="111"/>
      <c r="HA77" s="111"/>
      <c r="HB77" s="111"/>
      <c r="HC77" s="112" t="str">
        <f t="shared" si="16"/>
        <v>x</v>
      </c>
      <c r="HD77" s="111"/>
      <c r="HE77" s="111"/>
      <c r="HF77" s="111"/>
      <c r="HG77" s="111"/>
      <c r="HH77" s="111"/>
      <c r="HI77" s="111"/>
      <c r="HJ77" s="111"/>
      <c r="HK77" s="112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2" t="str">
        <f>HYPERLINK("http://www.bkk-psychisch-gesund.de/fileadmin/user_upload/Dokumente/Versicherte/Broschueren/Wegweiser_Psychotherapie_serbokroatisch.pdf","x")</f>
        <v>x</v>
      </c>
      <c r="HY77" s="112" t="str">
        <f t="shared" si="17"/>
        <v>x</v>
      </c>
      <c r="HZ77" s="112" t="str">
        <f t="shared" si="18"/>
        <v>x</v>
      </c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2" t="str">
        <f>HYPERLINK("http://www.berlin.de/labo/willkommen-in-berlin/service/downloads/artikel.273193.php","x")</f>
        <v>x</v>
      </c>
      <c r="IY77" s="112" t="str">
        <f>HYPERLINK("http://www.bamf.de/SharedDocs/Anlagen/DE/Publikationen/Broschueren/broschuere-eat-a4-sr-serbisch.pdf?__blob=publicationFile","x")</f>
        <v>x</v>
      </c>
      <c r="IZ77" s="111"/>
      <c r="JA77" s="111"/>
      <c r="JB77" s="111"/>
      <c r="JC77" s="112" t="str">
        <f>HYPERLINK("http://www.bamf.de/SharedDocs/Anlagen/DE/Publikationen/Flyer/20140110_ura2-kinderprojekt_serb.pdf?__blob=publicationFile","x")</f>
        <v>x</v>
      </c>
      <c r="JD77" s="111"/>
      <c r="JE77" s="111"/>
      <c r="JF77" s="111"/>
      <c r="JG77" s="111"/>
      <c r="JH77" s="111"/>
      <c r="JI77" s="111"/>
      <c r="JJ77" s="111"/>
      <c r="JK77" s="111"/>
      <c r="JL77" s="111"/>
      <c r="JM77" s="112" t="str">
        <f>HYPERLINK("https://www.arbeitsagentur.de/web/content/DE/Formulare/Detail/index.htm?dfContentId=L6019022DSTBAI485740","x")</f>
        <v>x</v>
      </c>
      <c r="JN77" s="111"/>
      <c r="JO77" s="111"/>
      <c r="JP77" s="111"/>
      <c r="JQ77" s="111"/>
      <c r="JR77" s="112" t="str">
        <f>HYPERLINK("http://www.ibla-germany.de/merkblaetter.php","x")</f>
        <v>x</v>
      </c>
      <c r="JS77" s="111"/>
      <c r="JT77" s="111"/>
      <c r="JU77" s="111"/>
      <c r="JV77" s="111"/>
      <c r="JW77" s="112"/>
      <c r="JX77" s="111"/>
      <c r="JY77" s="112"/>
      <c r="JZ77" s="112"/>
      <c r="KA77" s="112"/>
      <c r="KB77" s="112" t="str">
        <f>HYPERLINK("http://www.refugeeguide.de/dl/RefugeeGuide_sl_1005.pdf","x")</f>
        <v>x</v>
      </c>
      <c r="KC77" s="111"/>
      <c r="KD77" s="111"/>
      <c r="KE77" s="111"/>
      <c r="KF77" s="111"/>
      <c r="KG77" s="112"/>
      <c r="KH77" s="112"/>
      <c r="KI77" s="112"/>
      <c r="KJ77" s="112"/>
      <c r="KK77" s="112"/>
      <c r="KL77" s="112"/>
      <c r="KM77" s="112"/>
      <c r="KN77" s="112"/>
      <c r="KO77" s="112"/>
      <c r="KP77" s="112"/>
      <c r="KQ77" s="112"/>
      <c r="KR77" s="112"/>
      <c r="KS77" s="112"/>
      <c r="KT77" s="112"/>
      <c r="KU77" s="112"/>
      <c r="KV77" s="112"/>
      <c r="KW77" s="112"/>
      <c r="KX77" s="112"/>
      <c r="KY77" s="112"/>
      <c r="KZ77" s="112"/>
      <c r="LA77" s="112"/>
      <c r="LB77" s="112"/>
      <c r="LC77" s="111"/>
      <c r="LD77" s="111"/>
      <c r="LE77" s="111"/>
      <c r="LF77" s="111"/>
      <c r="LG77" s="111"/>
      <c r="LH77" s="111"/>
      <c r="LI77" s="111"/>
      <c r="LJ77" s="111"/>
      <c r="LK77" s="111"/>
      <c r="LL77" s="111"/>
      <c r="LM77" s="111"/>
      <c r="LN77" s="111"/>
      <c r="LO77" s="111"/>
      <c r="LP77" s="111"/>
      <c r="LQ77" s="111"/>
      <c r="LR77" s="111"/>
      <c r="LS77" s="111"/>
      <c r="LT77" s="111"/>
      <c r="LU77" s="111"/>
      <c r="LV77" s="111"/>
      <c r="LW77" s="111"/>
      <c r="LX77" s="111"/>
      <c r="LY77" s="111"/>
      <c r="LZ77" s="111"/>
      <c r="MA77" s="111"/>
      <c r="MB77" s="111"/>
      <c r="MC77" s="111"/>
      <c r="MD77" s="111"/>
      <c r="ME77" s="111"/>
      <c r="MF77" s="111"/>
      <c r="MG77" s="111"/>
      <c r="MH77" s="111"/>
      <c r="MI77" s="111"/>
    </row>
    <row r="78" spans="1:347" x14ac:dyDescent="0.25">
      <c r="A78" s="102" t="s">
        <v>75</v>
      </c>
      <c r="B78" s="127" t="s">
        <v>8</v>
      </c>
      <c r="C78" s="102"/>
      <c r="D78" s="102"/>
      <c r="E78" s="102"/>
      <c r="F78" s="102"/>
      <c r="G78" s="102"/>
      <c r="H78" s="102"/>
      <c r="I78" s="102"/>
      <c r="J78" s="102"/>
      <c r="K78" s="103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3"/>
      <c r="AW78" s="114" t="str">
        <f t="shared" ref="AW78:AW141" si="22">HYPERLINK("http://sab.landtag.sachsen.de/dokumente/landtagskurier/SAB_DeutschLernen_DinA5_WEB141115.pdf","x")</f>
        <v>x</v>
      </c>
      <c r="AX78" s="114" t="str">
        <f t="shared" ref="AX78:AX141" si="23">HYPERLINK("http://sab.landtag.sachsen.de/dokumente/landtagskurier/SAB_PL_Lernposter_WEB091115.pdf","x")</f>
        <v>x</v>
      </c>
      <c r="AY78" s="111"/>
      <c r="AZ78" s="111"/>
      <c r="BA78" s="112" t="str">
        <f t="shared" ref="BA78:BA141" si="2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78" s="112" t="str">
        <f t="shared" ref="BB78:BB141" si="25">HYPERLINK("http://wie-kann-ich-helfen.info/WoerterbuchAnalphabet_innen_%28c%29_Dagmar_Schmeelcke.pdf","x")</f>
        <v>x</v>
      </c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2" t="str">
        <f t="shared" ref="BS78:BS141" si="26">HYPERLINK("http://www.goethe.de/lrn/prj/wnd/deu/lti/deindex.htm#13322010","x")</f>
        <v>x</v>
      </c>
      <c r="BT78" s="112"/>
      <c r="BU78" s="111"/>
      <c r="BV78" s="112" t="str">
        <f t="shared" ref="BV78:BV141" si="27">HYPERLINK("https://s3-eu-west-1.amazonaws.com/lingolia/download/lingolia_daf.pdf","x")</f>
        <v>x</v>
      </c>
      <c r="BW78" s="112" t="str">
        <f>HYPERLINK("http://www.welcomegrooves.de/wp-content/uploads/2015/10/welcomegrooves_DE-SERBISCH-KYRILLISCH.pdf","x")</f>
        <v>x</v>
      </c>
      <c r="BX78" s="112"/>
      <c r="BY78" s="112"/>
      <c r="BZ78" s="112"/>
      <c r="CA78" s="112" t="str">
        <f t="shared" ref="CA78:CA141" si="28">HYPERLINK("http://www.hueber.de/shared/uebungen/schritte-plus","x")</f>
        <v>x</v>
      </c>
      <c r="CB78" s="112" t="str">
        <f t="shared" ref="CB78:CB141" si="29">HYPERLINK("https://www.hueber.de/shared/uebungen/menschen-hier/ab/a1-1/menu.html","x")</f>
        <v>x</v>
      </c>
      <c r="CC78" s="112" t="str">
        <f t="shared" ref="CC78:CC141" si="30">HYPERLINK("http://www.goethe-verlag.com/DE/","x")</f>
        <v>x</v>
      </c>
      <c r="CD78" s="112"/>
      <c r="CE78" s="112"/>
      <c r="CF78" s="111"/>
      <c r="CG78" s="111"/>
      <c r="CH78" s="111"/>
      <c r="CI78" s="111"/>
      <c r="CJ78" s="111"/>
      <c r="CK78" s="112" t="str">
        <f t="shared" ref="CK78:CK141" si="31">HYPERLINK("http://www.e-migrantinnen.de/index.php?de_wichtige-links","x")</f>
        <v>x</v>
      </c>
      <c r="CL78" s="112"/>
      <c r="CM78" s="112"/>
      <c r="CN78" s="112"/>
      <c r="CO78" s="112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2"/>
      <c r="DA78" s="112"/>
      <c r="DB78" s="112"/>
      <c r="DC78" s="115"/>
      <c r="DD78" s="112"/>
      <c r="DE78" s="112"/>
      <c r="DF78" s="112" t="str">
        <f t="shared" ref="DF78:DF141" si="32">HYPERLINK("http://fi-lohmar-siegburg.de/data/documents/130-37_Inklusion_im_Anfangsunterricht_-_Poster_mit_Situationsbildern.pdf","x")</f>
        <v>x</v>
      </c>
      <c r="DG78" s="115" t="str">
        <f t="shared" ref="DG78:DG141" si="33">HYPERLINK("http://s3-eu-west-1.amazonaws.com/lingolia/calendar/2016/lingolia_2016_de.pdf","x")</f>
        <v>x</v>
      </c>
      <c r="DH78" s="112" t="str">
        <f t="shared" ref="DH78:DH141" si="34">HYPERLINK("http://www.bibliomedia.ch/de/angebote/img/Wimmelbild.jpg","x")</f>
        <v>x</v>
      </c>
      <c r="DI78" s="112" t="str">
        <f t="shared" ref="DI78:DI141" si="35">HYPERLINK("http://www.bibliomedia.ch/de/angebote/dokumente/Wimmelbild_Fehler.jpg","x")</f>
        <v>x</v>
      </c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8"/>
      <c r="EQ78" s="118"/>
      <c r="ER78" s="111"/>
      <c r="ES78" s="111"/>
      <c r="ET78" s="111"/>
      <c r="EU78" s="111"/>
      <c r="EV78" s="111"/>
      <c r="EW78" s="112" t="str">
        <f t="shared" ref="EW78:EW141" si="36">HYPERLINK("http://www.lak-rlp.de/fileadmin/redakteure/pdf/download/Piktogramme_Dosieretiketten_AoG.pdf","x")</f>
        <v>x</v>
      </c>
      <c r="EX78" s="111"/>
      <c r="EY78" s="111"/>
      <c r="EZ78" s="111"/>
      <c r="FA78" s="111"/>
      <c r="FB78" s="111"/>
      <c r="FC78" s="111"/>
      <c r="FD78" s="112" t="str">
        <f t="shared" ref="FD78:FD141" si="37">HYPERLINK("http://mige.ix-tech.de/index.php?id=241","x")</f>
        <v>x</v>
      </c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2" t="str">
        <f t="shared" ref="HC78:HC141" si="38">HYPERLINK("https://www.zahnaerzte-wl.de/images/_PDF-suche/KZV_ZÄK/piktogrammheft.pdf","x")</f>
        <v>x</v>
      </c>
      <c r="HD78" s="112" t="str">
        <f>HYPERLINK("https://www.zahnaerzte-wl.de/images/_PDF-suche/KZV_ZÄK/ENDSTAND_Ankreuzbogen_Ich_verstehe.pdf","x")</f>
        <v>x</v>
      </c>
      <c r="HE78" s="112" t="str">
        <f>HYPERLINK("https://www.zahnaerzte-wl.de/images/_PDF-suche/KZV_ZÄK/Anschreiben_Patienten_serbisch.pdf","x")</f>
        <v>x</v>
      </c>
      <c r="HF78" s="112" t="str">
        <f>HYPERLINK("https://www.zahnaerzte-wl.de/images/_PDF-suche/KZV_ZÄK/Fragebogen_serbisch.pdf","x")</f>
        <v>x</v>
      </c>
      <c r="HG78" s="112" t="str">
        <f>HYPERLINK("https://www.zahnaerzte-wl.de/images/_PDF-suche/KZV_ZÄK/Patientenerhebungsbogen_serbisch.pdf","x")</f>
        <v>x</v>
      </c>
      <c r="HH78" s="112"/>
      <c r="HI78" s="112"/>
      <c r="HJ78" s="112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2" t="str">
        <f t="shared" ref="HY78:HY141" si="39">HYPERLINK("http://www.selfhelpfortrauma.org/","x")</f>
        <v>x</v>
      </c>
      <c r="HZ78" s="112" t="str">
        <f t="shared" ref="HZ78:HZ141" si="40">HYPERLINK("http://peacefulheart.se/wp-content/uploads/2014/12/Resolving-Yesterday-20141201-Self-Tapping.pdf","x")</f>
        <v>x</v>
      </c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1"/>
      <c r="IZ78" s="111"/>
      <c r="JA78" s="111"/>
      <c r="JB78" s="111"/>
      <c r="JC78" s="111"/>
      <c r="JD78" s="111"/>
      <c r="JE78" s="111"/>
      <c r="JF78" s="111"/>
      <c r="JG78" s="111"/>
      <c r="JH78" s="111"/>
      <c r="JI78" s="111"/>
      <c r="JJ78" s="111"/>
      <c r="JK78" s="111"/>
      <c r="JL78" s="111"/>
      <c r="JM78" s="111"/>
      <c r="JN78" s="111"/>
      <c r="JO78" s="111"/>
      <c r="JP78" s="111"/>
      <c r="JQ78" s="111"/>
      <c r="JR78" s="111"/>
      <c r="JS78" s="111"/>
      <c r="JT78" s="111"/>
      <c r="JU78" s="111"/>
      <c r="JV78" s="111"/>
      <c r="JW78" s="111"/>
      <c r="JX78" s="111"/>
      <c r="JY78" s="112"/>
      <c r="JZ78" s="112"/>
      <c r="KA78" s="112"/>
      <c r="KB78" s="112" t="str">
        <f>HYPERLINK("http://www.refugeeguide.de/dl/RefugeeGuide_sk_1005.pdf","x")</f>
        <v>x</v>
      </c>
      <c r="KC78" s="111"/>
      <c r="KD78" s="111"/>
      <c r="KE78" s="112" t="str">
        <f>HYPERLINK("http://www.frauenrechte.de/online/images/downloads/allgemein/TDF_Flyer_Women_Men.pdf","x")</f>
        <v>x</v>
      </c>
      <c r="KF78" s="111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1"/>
      <c r="LD78" s="111"/>
      <c r="LE78" s="111"/>
      <c r="LF78" s="111"/>
      <c r="LG78" s="111"/>
      <c r="LH78" s="111"/>
      <c r="LI78" s="111"/>
      <c r="LJ78" s="111"/>
      <c r="LK78" s="111"/>
      <c r="LL78" s="111"/>
      <c r="LM78" s="111"/>
      <c r="LN78" s="111"/>
      <c r="LO78" s="111"/>
      <c r="LP78" s="111"/>
      <c r="LQ78" s="111"/>
      <c r="LR78" s="111"/>
      <c r="LS78" s="111"/>
      <c r="LT78" s="111"/>
      <c r="LU78" s="111"/>
      <c r="LV78" s="111"/>
      <c r="LW78" s="111"/>
      <c r="LX78" s="111"/>
      <c r="LY78" s="111"/>
      <c r="LZ78" s="111"/>
      <c r="MA78" s="111"/>
      <c r="MB78" s="111"/>
      <c r="MC78" s="111"/>
      <c r="MD78" s="111"/>
      <c r="ME78" s="111"/>
      <c r="MF78" s="111"/>
      <c r="MG78" s="111"/>
      <c r="MH78" s="111"/>
      <c r="MI78" s="111"/>
    </row>
    <row r="79" spans="1:347" x14ac:dyDescent="0.25">
      <c r="A79" s="102" t="s">
        <v>75</v>
      </c>
      <c r="B79" s="127" t="s">
        <v>11</v>
      </c>
      <c r="C79" s="102"/>
      <c r="D79" s="102"/>
      <c r="E79" s="102"/>
      <c r="F79" s="102"/>
      <c r="G79" s="102"/>
      <c r="H79" s="102"/>
      <c r="I79" s="102"/>
      <c r="J79" s="102"/>
      <c r="K79" s="103"/>
      <c r="L79" s="111"/>
      <c r="M79" s="111"/>
      <c r="N79" s="112" t="str">
        <f>HYPERLINK("http://www.ag-fluechtlingshilfe-wetterau.de/uploads/infos/170.pdf","x")</f>
        <v>x</v>
      </c>
      <c r="O79" s="112"/>
      <c r="P79" s="112" t="str">
        <f>HYPERLINK("http://www.awb-ahrweiler.de/admin/data/ddownload/Abfall%20Sonderhinweise-tuerkisch%202014.pdf","x")</f>
        <v>x</v>
      </c>
      <c r="Q79" s="112"/>
      <c r="R79" s="112"/>
      <c r="S79" s="112"/>
      <c r="T79" s="112"/>
      <c r="U79" s="112"/>
      <c r="V79" s="112"/>
      <c r="W79" s="111"/>
      <c r="X79" s="112"/>
      <c r="Y79" s="111"/>
      <c r="Z79" s="111"/>
      <c r="AA79" s="111"/>
      <c r="AB79" s="111"/>
      <c r="AC79" s="111"/>
      <c r="AD79" s="112" t="str">
        <f>HYPERLINK("http://www.rundfunkbeitrag.de/e175/e199/Informationsflyer_Buergerinnen_und_Buerger_tuerkisch.pdf","x")</f>
        <v>x</v>
      </c>
      <c r="AE79" s="111"/>
      <c r="AF79" s="112" t="str">
        <f>HYPERLINK("http://www.kub-berlin.org/formularprojekt/de/tuerkisch-antraege-und-anlagen/","x")</f>
        <v>x</v>
      </c>
      <c r="AG79" s="111"/>
      <c r="AH79" s="111"/>
      <c r="AI79" s="111"/>
      <c r="AJ79" s="111"/>
      <c r="AK79" s="111"/>
      <c r="AL79" s="111"/>
      <c r="AM79" s="111"/>
      <c r="AN79" s="111"/>
      <c r="AO79" s="112"/>
      <c r="AP79" s="112"/>
      <c r="AQ79" s="112"/>
      <c r="AR79" s="112"/>
      <c r="AS79" s="112"/>
      <c r="AT79" s="112"/>
      <c r="AU79" s="112"/>
      <c r="AV79" s="113"/>
      <c r="AW79" s="114" t="str">
        <f t="shared" si="22"/>
        <v>x</v>
      </c>
      <c r="AX79" s="114" t="str">
        <f t="shared" si="23"/>
        <v>x</v>
      </c>
      <c r="AY79" s="111"/>
      <c r="AZ79" s="111"/>
      <c r="BA79" s="112" t="str">
        <f t="shared" si="24"/>
        <v>x</v>
      </c>
      <c r="BB79" s="112" t="str">
        <f t="shared" si="25"/>
        <v>x</v>
      </c>
      <c r="BC79" s="111"/>
      <c r="BD79" s="111"/>
      <c r="BE79" s="111"/>
      <c r="BF79" s="111"/>
      <c r="BG79" s="111"/>
      <c r="BH79" s="112" t="str">
        <f>HYPERLINK("http://www.refugeephrasebook.de/pdf/germany150920.pdf","x")</f>
        <v>x</v>
      </c>
      <c r="BI79" s="112"/>
      <c r="BJ79" s="111"/>
      <c r="BK79" s="111"/>
      <c r="BL79" s="111"/>
      <c r="BM79" s="111"/>
      <c r="BN79" s="111"/>
      <c r="BO79" s="111"/>
      <c r="BP79" s="111"/>
      <c r="BQ79" s="111"/>
      <c r="BR79" s="111"/>
      <c r="BS79" s="112" t="str">
        <f t="shared" si="26"/>
        <v>x</v>
      </c>
      <c r="BT79" s="112"/>
      <c r="BU79" s="111"/>
      <c r="BV79" s="112" t="str">
        <f t="shared" si="27"/>
        <v>x</v>
      </c>
      <c r="BW79" s="112" t="str">
        <f>HYPERLINK("http://www.welcomegrooves.de/wp-content/uploads/2015/10/welcomegrooves_DE-TUERKISCH1.pdf","x")</f>
        <v>x</v>
      </c>
      <c r="BX79" s="112"/>
      <c r="BY79" s="112"/>
      <c r="BZ79" s="112"/>
      <c r="CA79" s="112" t="str">
        <f t="shared" si="28"/>
        <v>x</v>
      </c>
      <c r="CB79" s="112" t="str">
        <f t="shared" si="29"/>
        <v>x</v>
      </c>
      <c r="CC79" s="112" t="str">
        <f t="shared" si="30"/>
        <v>x</v>
      </c>
      <c r="CD79" s="112"/>
      <c r="CE79" s="112"/>
      <c r="CF79" s="111"/>
      <c r="CG79" s="112" t="str">
        <f>HYPERLINK("http://www.braunschweig.de/leben/frauen/hilfe/Ohne-Gewalt-leben.pdf","x")</f>
        <v>x</v>
      </c>
      <c r="CH79" s="112" t="str">
        <f>HYPERLINK("http://mifkjf.rlp.de/fileadmin/mifkjf/Frauen/Gewalt_gegen_Frauen/Downloads/Broschueren_Flyer/Flyer_Gewalt_tuerkisch.pdf","x")</f>
        <v>x</v>
      </c>
      <c r="CI79" s="112" t="str">
        <f>HYPERLINK("https://www.hilfetelefon.de/fileadmin/hilfetelefon_de/Materialien/Flyer/Infoflyer_Hilfetelefon_Gewalt_gegen_Frauen141105_b2.pdf","x")</f>
        <v>x</v>
      </c>
      <c r="CJ79" s="112" t="str">
        <f>HYPERLINK("https://www.hilfetelefon.de/fileadmin/hilfetelefon_de/Materialien/weitere_werbemittel/Klappflyer_Vorder-_und_Rueckseite_opt2.pdf","x")</f>
        <v>x</v>
      </c>
      <c r="CK79" s="112" t="str">
        <f t="shared" si="31"/>
        <v>x</v>
      </c>
      <c r="CL79" s="112" t="str">
        <f>HYPERLINK("http://www.frauenberatungsstelle.de/pdf/Migrantinnen-beraten-Migrantinnen.pdf","x")</f>
        <v>x</v>
      </c>
      <c r="CM79" s="112"/>
      <c r="CN79" s="112"/>
      <c r="CO79" s="112"/>
      <c r="CP79" s="112" t="str">
        <f>HYPERLINK("http://www.schwanger-und-viele-fragen.de/tr/","x")</f>
        <v>x</v>
      </c>
      <c r="CQ79" s="112"/>
      <c r="CR79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79" s="112"/>
      <c r="CT79" s="112"/>
      <c r="CU79" s="112" t="str">
        <f>HYPERLINK("http://www.profamilia.de/fileadmin/publikationen/Erwachsene/mehrsprachig/verhuetung_tuerkisch.pdf","x")</f>
        <v>x</v>
      </c>
      <c r="CV79" s="112" t="str">
        <f>HYPERLINK("http://www.profamilia.de/fileadmin/publikationen/Reihe_Verhuetungsmethoden/Pille_Spirale_danach_tuerkisch_2011.pdf","x")</f>
        <v>x</v>
      </c>
      <c r="CW79" s="112" t="str">
        <f>HYPERLINK("http://www.profamilia.de/fileadmin/publikationen/Reihe_Verhuetungsmethoden/Einleger_tuerkisch.pdf","x")</f>
        <v>x</v>
      </c>
      <c r="CX79" s="112" t="str">
        <f>HYPERLINK("http://www.profamilia.de/fileadmin/publikationen/Reihe_Koerper_und_Sexualtitaet/Bro_Schwangerschaftsabbruch_TR_ANSICHT.pdf","x")</f>
        <v>x</v>
      </c>
      <c r="CY79" s="112" t="str">
        <f>HYPERLINK("http://www.caritas-schwarzwald-alb-donau.de/68854.html","x")</f>
        <v>x</v>
      </c>
      <c r="CZ79" s="112" t="str">
        <f>HYPERLINK("http://www.dgfpi.de/tl_files/download/medien/unwissen-macht-tk.pdf","x")</f>
        <v>x</v>
      </c>
      <c r="DA79" s="112"/>
      <c r="DB79" s="112"/>
      <c r="DC79" s="115" t="str">
        <f>HYPERLINK("http://www.kindersicherheit.de/pdf/2012_Bilderbuch-Gift-Tuerkisch.pdf","x")</f>
        <v>x</v>
      </c>
      <c r="DD79" s="112"/>
      <c r="DE79" s="112"/>
      <c r="DF79" s="112" t="str">
        <f t="shared" si="32"/>
        <v>x</v>
      </c>
      <c r="DG79" s="115" t="str">
        <f t="shared" si="33"/>
        <v>x</v>
      </c>
      <c r="DH79" s="112" t="str">
        <f t="shared" si="34"/>
        <v>x</v>
      </c>
      <c r="DI79" s="112" t="str">
        <f t="shared" si="35"/>
        <v>x</v>
      </c>
      <c r="DJ79" s="112" t="str">
        <f>HYPERLINK("http://www.bibliomedia.ch/de/angebote/dokumente/Glossar_tuerkisch.pdf","x")</f>
        <v>x</v>
      </c>
      <c r="DK79" s="112"/>
      <c r="DL79" s="112"/>
      <c r="DM79" s="112"/>
      <c r="DN79" s="112"/>
      <c r="DO79" s="112"/>
      <c r="DP79" s="111"/>
      <c r="DQ79" s="112" t="str">
        <f>HYPERLINK("http://tipdoc.de/bus/grafik/kinder-tip/SCHULTIP_give_didacta.pdf","x")</f>
        <v>x</v>
      </c>
      <c r="DR79" s="112" t="str">
        <f>HYPERLINK("https://broschueren.nordrheinwestfalendirekt.de/broschuerenservice/msw/tue-das-schulsystem-in-nordrhein-westfalen-einfach-und-schnell-erklaert/1906","x")</f>
        <v>x</v>
      </c>
      <c r="DS79" s="112" t="str">
        <f>HYPERLINK("http://bildung.koeln.de/materialbibliothek/download.php?idx=46d99ecd1cd085058204a036d1394fed","x")</f>
        <v>x</v>
      </c>
      <c r="DT79" s="112" t="str">
        <f>HYPERLINK("http://bildung.koeln.de/materialbibliothek/download.php?idx=5fa16c0085d80ec9f9262f25c773ed7f","x")</f>
        <v>x</v>
      </c>
      <c r="DU79" s="112"/>
      <c r="DV79" s="112" t="str">
        <f>HYPERLINK("https://www.bmbf.de/pub/Kausa_Elternbroschuere_tuerkisch.pdf","x")</f>
        <v>x</v>
      </c>
      <c r="DW79" s="111"/>
      <c r="DX79" s="111"/>
      <c r="DY79" s="111"/>
      <c r="DZ79" s="112" t="str">
        <f>HYPERLINK("http://www.bamf.de/SharedDocs/Anlagen/TR/Publikationen/Flyer/AnerkennungBerufsabschluss/anerkennung-berufsabschluss.pdf?__blob=publicationFile","x")</f>
        <v>x</v>
      </c>
      <c r="EA79" s="112" t="str">
        <f>HYPERLINK("http://www.bamf.de/SharedDocs/Anlagen/TR/Publikationen/Flyer/AnerkennungBerufsabschluss/anerkennung-berufsabschluss_ausland.pdf?__blob=publicationFile","x")</f>
        <v>x</v>
      </c>
      <c r="EB79" s="112" t="str">
        <f>HYPERLINK("http://www.bamf.de/SharedDocs/Anlagen/DE/Publikationen/Broschueren/willkommen-in-deutschland-info-blaue-karte-eu_tr.pdf?__blob=publicationFile","x")</f>
        <v>x</v>
      </c>
      <c r="EC79" s="112" t="str">
        <f>HYPERLINK("http://www.bamf.de/SharedDocs/Anlagen/TR/Publikationen/Flyer/Berufsbezsprachf-ESF-BAMF/berufsbezsprachf-esf-bamf.pdf?__blob=publicationFile","x")</f>
        <v>x</v>
      </c>
      <c r="ED79" s="111"/>
      <c r="EE79" s="111"/>
      <c r="EF79" s="111"/>
      <c r="EG79" s="111"/>
      <c r="EH79" s="111"/>
      <c r="EI79" s="111"/>
      <c r="EJ79" s="112"/>
      <c r="EK79" s="112"/>
      <c r="EL79" s="115"/>
      <c r="EM79" s="112" t="str">
        <f>HYPERLINK("http://www.kvs-sachsen.de/fileadmin/img/Mitglieder/Asylbewerber/Allg-Informationen/Anlage_1_Tuerkisch_LEK.pdf","x")</f>
        <v>x</v>
      </c>
      <c r="EN79" s="112" t="str">
        <f>HYPERLINK("http://www.medizin-hilft-fluechtlingen.de/images/Dokumente/gSch/gSch_tur.pdf","x")</f>
        <v>x</v>
      </c>
      <c r="EO79" s="111"/>
      <c r="EP79" s="117" t="str">
        <f>HYPERLINK("http://www.medi-bild.de/pdf/anamnese/Welche_Sprache.pdf","x")</f>
        <v>x</v>
      </c>
      <c r="EQ79" s="117" t="str">
        <f>HYPERLINK("http://www.armut-gesundheit.de/fileadmin/redakteur/dokumente/Anamnesebogen%20-%20t%C3%BCrkischnew.pdf","x")</f>
        <v>x</v>
      </c>
      <c r="ER79" s="112" t="str">
        <f>HYPERLINK("http://www.kvs-sachsen.de/fileadmin/img/Mitglieder/Asylbewerber/Allg-Informationen/Anlagen_2-1_2-2_Tuerkisch_LEK.pdf","x")</f>
        <v>x</v>
      </c>
      <c r="ES79" s="111"/>
      <c r="ET79" s="111"/>
      <c r="EU79" s="111"/>
      <c r="EV79" s="112" t="str">
        <f>HYPERLINK("http://www.adler-apotheke-hh.de/fileadmin/user_upload/PDF-Dateien/Dosierzettel_mehrsprachig_AUF_0_.pdf","x")</f>
        <v>x</v>
      </c>
      <c r="EW79" s="112" t="str">
        <f t="shared" si="36"/>
        <v>x</v>
      </c>
      <c r="EX79" s="112" t="str">
        <f>HYPERLINK("http://www.rki.de/DE/Content/Infekt/IfSG/Belehrungsbogen/belehrungsbogen_eltern_tuerkisch.pdf?__blob=publicationFile","x")</f>
        <v>x</v>
      </c>
      <c r="EY79" s="112" t="str">
        <f>HYPERLINK("http://www.bzga.de/infomaterialien/?sid=236","x")</f>
        <v>x</v>
      </c>
      <c r="EZ79" s="112" t="str">
        <f>HYPERLINK("https://www.mh-hannover.de/fileadmin/mhh/bilder/aktuelles_presse/pressestelle/bilder/Pilzverg_tuerkisch.pdf","x")</f>
        <v>x</v>
      </c>
      <c r="FA79" s="112"/>
      <c r="FB79" s="116"/>
      <c r="FC79" s="111"/>
      <c r="FD79" s="112" t="str">
        <f t="shared" si="37"/>
        <v>x</v>
      </c>
      <c r="FE79" s="112" t="str">
        <f>HYPERLINK("http://sghanstedt.elbnetz.com/ueber-uns/","x")</f>
        <v>x</v>
      </c>
      <c r="FF79" s="112" t="str">
        <f>HYPERLINK("http://www.fuhlenhagen.com/pdf_dateien/uebertzungshilfe_aerzte_mehrsprachig.pdf","x")</f>
        <v>x</v>
      </c>
      <c r="FG79" s="111"/>
      <c r="FH79" s="111"/>
      <c r="FI79" s="111"/>
      <c r="FJ79" s="112"/>
      <c r="FK79" s="112" t="str">
        <f>HYPERLINK("http://www.rki.de/DE/Content/Infekt/Impfen/Materialien/Downloads-Impfkalender/Impfkalender_Tuerkisch.pdf?__blob=publicationFile","x")</f>
        <v>x</v>
      </c>
      <c r="FL79" s="112" t="str">
        <f>HYPERLINK("http://www.ethno-medizinisches-zentrum.de/images/PDF-Files/impfwegweiser_turkisch_2013_online.pdf","x")</f>
        <v>x</v>
      </c>
      <c r="FM79" s="112"/>
      <c r="FN79" s="112" t="str">
        <f>HYPERLINK("http://www.rki.de/DE/Content/Infekt/Impfen/Materialien/Glossar-Downloads/glossar-de-tuerkisch.pdf?__blob=publicationFile","x")</f>
        <v>x</v>
      </c>
      <c r="FO79" s="112"/>
      <c r="FP79" s="112" t="str">
        <f>HYPERLINK("http://www.rki.de/DE/Content/Infekt/Impfen/Materialien/Downloads-MMR/MMR-Impfinfo-tuerkisch.pdf?__blob=publicationFile","x")</f>
        <v>x</v>
      </c>
      <c r="FQ79" s="112"/>
      <c r="FR79" s="112" t="str">
        <f>HYPERLINK("http://www.rki.de/DE/Content/Infekt/Impfen/Materialien/Downloads_HepA/Aufklaerung_HAV-Impfung_Tuerkisch.pdf?__blob=publicationFile","x")</f>
        <v>x</v>
      </c>
      <c r="FS79" s="112" t="str">
        <f>HYPERLINK("http://www.rki.de/DE/Content/Infekt/Impfen/Materialien/Downloads_Pneumokokken/Aufklaerung_Pneumo-Impfung_Tuerkisch.pdf?__blob=publicationFile","x")</f>
        <v>x</v>
      </c>
      <c r="FT79" s="112" t="str">
        <f>HYPERLINK("http://www.rki.de/DE/Content/Infekt/Impfen/Materialien/Downloads-DTaPIPVHibHepB/DTaPIPVHibHepB-tuerkisch.pdf?__blob=publicationFile","x")</f>
        <v>x</v>
      </c>
      <c r="FU79" s="112" t="str">
        <f>HYPERLINK("http://www.rki.de/DE/Content/Infekt/Impfen/Materialien/Downloads-Varizellen/Varizellen-Impfinfo-tuerkisch.pdf;jsessionid=65B697F4EE7EDA8A1ED9E2C4CD6C74EC.2_cid363?__blob=publicationFile","x")</f>
        <v>x</v>
      </c>
      <c r="FV79" s="112" t="str">
        <f>HYPERLINK("http://www.rki.de/DE/Content/Infekt/Impfen/Materialien/Downloads-Tdap-IPV/Tdap-IPV-tuerkisch.pdf?__blob=publicationFile","x")</f>
        <v>x</v>
      </c>
      <c r="FW79" s="112" t="str">
        <f>HYPERLINK("http://www.rki.de/DE/Content/Infekt/Impfen/Materialien/Downloads-Influenza_nasal/Influenza_nasal-tuerkisch.pdf?__blob=publicationFile","x")</f>
        <v>x</v>
      </c>
      <c r="FX79" s="112" t="str">
        <f>HYPERLINK("http://www.medical-tribune.de/fileadmin/PDF/Arthrose_tuerkisch.pdf","x")</f>
        <v>x</v>
      </c>
      <c r="FY79" s="112"/>
      <c r="FZ79" s="112" t="str">
        <f>HYPERLINK("http://www.medical-tribune.de/fileadmin/PDF/Bluthochdruck_tuerkisch.pdf","x")</f>
        <v>x</v>
      </c>
      <c r="GA79" s="112"/>
      <c r="GB79" s="112"/>
      <c r="GC79" s="112" t="str">
        <f>HYPERLINK("http://www.medical-tribune.de/fileadmin/PDF/Demenz_tuerkisch.pdf","x")</f>
        <v>x</v>
      </c>
      <c r="GD79" s="115" t="str">
        <f>HYPERLINK("http://www.ethno-medizinisches-zentrum.de/images/PDF-Files/lf_diabetes_turkisch.pdf","x")</f>
        <v>x</v>
      </c>
      <c r="GE79" s="112" t="str">
        <f>HYPERLINK("http://www.medical-tribune.de/fileadmin/PDF/Divertikel_tuerkisch.pdf","x")</f>
        <v>x</v>
      </c>
      <c r="GF79" s="112"/>
      <c r="GG79" s="112" t="str">
        <f>HYPERLINK("http://www.medical-tribune.de/fileadmin/PDF/Gallenstein_tuerkisch.pdf","x")</f>
        <v>x</v>
      </c>
      <c r="GH79" s="112"/>
      <c r="GI79" s="112" t="str">
        <f>HYPERLINK("http://www.tipdoc.de/bus/pdf/hepatitis/Hep_B_Webseite.pdf","x")</f>
        <v>x</v>
      </c>
      <c r="GJ79" s="112" t="str">
        <f>HYPERLINK("http://www.tipdoc.de/bus/pdf/hepatitis/Hep_C_Webseite.pdf","x")</f>
        <v>x</v>
      </c>
      <c r="GK79" s="111"/>
      <c r="GL79" s="111"/>
      <c r="GM79" s="112" t="str">
        <f>HYPERLINK("http://www.rki.de/DE/Content/Infekt/Impfen/Materialien/Downloads-Influenza/Influenza-tuerkisch.pdf?__blob=publicationFile","x")</f>
        <v>x</v>
      </c>
      <c r="GN79" s="112" t="str">
        <f>HYPERLINK("http://www.medical-tribune.de/fileadmin/PDF/Erkaeltung_tuerkisch.pdf","x")</f>
        <v>x</v>
      </c>
      <c r="GO79" s="112"/>
      <c r="GP79" s="112" t="str">
        <f>HYPERLINK("http://www.medi-bild.de/pdf/kopflaeuse2/Kopflaeuse_TURK.pdf","x")</f>
        <v>x</v>
      </c>
      <c r="GQ79" s="112"/>
      <c r="GR79" s="111"/>
      <c r="GS79" s="111"/>
      <c r="GT79" s="115" t="str">
        <f>HYPERLINK("http://www.medical-tribune.de/fileadmin/PDF/Migraene_tuerkisch.pdf","x")</f>
        <v>x</v>
      </c>
      <c r="GU79" s="112" t="str">
        <f>HYPERLINK("http://www.medical-tribune.de/fileadmin/PDF/Rueckenschmerzen_tuerkisch.pdf","x")</f>
        <v>x</v>
      </c>
      <c r="GV79" s="112"/>
      <c r="GW79" s="112" t="str">
        <f>HYPERLINK("http://www.medical-tribune.de/fileadmin/PDF/Schlafstoerungen_tuerkisch.pdf","x")</f>
        <v>x</v>
      </c>
      <c r="GX79" s="112" t="str">
        <f>HYPERLINK("http://www.medical-tribune.de/fileadmin/PDF/Schwindel_tuerkisch.pdf","x")</f>
        <v>x</v>
      </c>
      <c r="GY79" s="112" t="str">
        <f>HYPERLINK("http://www.medical-tribune.de/fileadmin/PDF/Sodbrennen_tuerkisch.pdf","x")</f>
        <v>x</v>
      </c>
      <c r="GZ79" s="112" t="str">
        <f>HYPERLINK("http://www.medical-tribune.de/fileadmin/PDF/Sportverletzungen_tuerkisch.pdf","x")</f>
        <v>x</v>
      </c>
      <c r="HA79" s="112" t="str">
        <f>HYPERLINK("http://www.medical-tribune.de/fileadmin/PDF/Thrombose_tuerkisch.pdf","x")</f>
        <v>x</v>
      </c>
      <c r="HB79" s="112"/>
      <c r="HC79" s="112" t="str">
        <f t="shared" si="38"/>
        <v>x</v>
      </c>
      <c r="HD79" s="112" t="str">
        <f>HYPERLINK("https://www.zahnaerzte-wl.de/images/_PDF-suche/KZV_ZÄK/ENDSTAND_Ankreuzbogen_Ich_verstehe.pdf","x")</f>
        <v>x</v>
      </c>
      <c r="HE79" s="112" t="str">
        <f>HYPERLINK("https://www.zahnaerzte-wl.de/images/_PDF-suche/KZV_ZÄK/Anschreiben_Patienten_tuerkisch.pdf","x")</f>
        <v>x</v>
      </c>
      <c r="HF79" s="112" t="str">
        <f>HYPERLINK("https://www.zahnaerzte-wl.de/images/_PDF-suche/KZV_ZÄK/Fragebogen_tuerkisch.pdf","x")</f>
        <v>x</v>
      </c>
      <c r="HG79" s="112" t="str">
        <f>HYPERLINK("https://www.zahnaerzte-wl.de/images/_PDF-suche/KZV_ZÄK/Patientenerhebungsbogen_tuerkisch.pdf","x")</f>
        <v>x</v>
      </c>
      <c r="HH79" s="112"/>
      <c r="HI79" s="112" t="str">
        <f>HYPERLINK("http://www.bvkm.de/fileadmin/web_data/Behinderung_und_Migration_tuerkisch_2014.pdf","x")</f>
        <v>x</v>
      </c>
      <c r="HJ79" s="112" t="str">
        <f>HYPERLINK("http://www.ibbc-berlin.de/media/bvkm_Bro_de-tuerk_Berlin_web%20Endversion.pdf","x")</f>
        <v>x</v>
      </c>
      <c r="HK79" s="112" t="str">
        <f>HYPERLINK("http://www.psychenet.de/tr/ruhsal-saglik/bilgiler/depresyon.html","x")</f>
        <v>x</v>
      </c>
      <c r="HL79" s="115" t="str">
        <f>HYPERLINK("http://www.ethno-medizinisches-zentrum.de/images/PDF-Files/lf_depression_tr.pdf","x")</f>
        <v>x</v>
      </c>
      <c r="HM79" s="115" t="str">
        <f>HYPERLINK("http://www.psychenet.de/tr/ruhsal-saglik/bilgiler/psikoz.html","x")</f>
        <v>x</v>
      </c>
      <c r="HN79" s="115" t="str">
        <f>HYPERLINK("http://www.psychenet.de/tr/ruhsal-saglik/bilgiler/somatoform-bozukluklar.html","x")</f>
        <v>x</v>
      </c>
      <c r="HO79" s="115" t="str">
        <f>HYPERLINK("http://www.psychenet.de/tr/ruhsal-saglik/bilgiler/asiri-zayiflik.html","x")</f>
        <v>x</v>
      </c>
      <c r="HP79" s="115" t="str">
        <f>HYPERLINK("http://www.psychenet.de/tr/ruhsal-saglik/bilgiler/bulimia.html","x")</f>
        <v>x</v>
      </c>
      <c r="HQ79" s="115" t="str">
        <f>HYPERLINK("http://www.psychenet.de/tr/ruhsal-saglik/bilgiler/bipolar-bozukluk.html","x")</f>
        <v>x</v>
      </c>
      <c r="HR79" s="115" t="str">
        <f>HYPERLINK("http://www.psychenet.de/tr/ruhsal-saglik/bilgiler/agorafobili-panik-bozukluk.html","x")</f>
        <v>x</v>
      </c>
      <c r="HS79" s="115" t="str">
        <f>HYPERLINK("http://www.psychenet.de/tr/ruhsal-saglik/bilgiler/sosyal-fobi.html","x")</f>
        <v>x</v>
      </c>
      <c r="HT79" s="115"/>
      <c r="HU79" s="115" t="str">
        <f>HYPERLINK("http://www.psychenet.de/tr/ruhsal-saglik/bilgiler/burnout.html","x")</f>
        <v>x</v>
      </c>
      <c r="HV79" s="115" t="str">
        <f>HYPERLINK("http://www.psychenet.de/tr/ruhsal-saglik/bilgiler/bilgiler-ve-destek.html","x")</f>
        <v>x</v>
      </c>
      <c r="HW79" s="115" t="str">
        <f>HYPERLINK("http://www.medical-tribune.de/fileadmin/PDF/Restless_Legs_tuerkisch.pdf","x")</f>
        <v>x</v>
      </c>
      <c r="HX79" s="115" t="str">
        <f>HYPERLINK("http://www.bkk-psychisch-gesund.de/fileadmin/user_upload/Dokumente/Versicherte/Broschueren/Wegweiser_Psychotherapie_tuerkisch.pdf","x")</f>
        <v>x</v>
      </c>
      <c r="HY79" s="112" t="str">
        <f t="shared" si="39"/>
        <v>x</v>
      </c>
      <c r="HZ79" s="112" t="str">
        <f t="shared" si="40"/>
        <v>x</v>
      </c>
      <c r="IA79" s="115"/>
      <c r="IB79" s="115"/>
      <c r="IC79" s="115"/>
      <c r="ID79" s="115"/>
      <c r="IE79" s="115" t="str">
        <f>HYPERLINK("http://www.psychenet.de/tr/ruhsal-saglik/bilgiler/genclerde-alkol-tueketimi.html","x")</f>
        <v>x</v>
      </c>
      <c r="IF79" s="115"/>
      <c r="IG79" s="115"/>
      <c r="IH79" s="112" t="str">
        <f>HYPERLINK("http://www.ethno-medizinisches-zentrum.de/images/PDF-Files/lf_mediensucht_tr_geschutzt.pdf","x")</f>
        <v>x</v>
      </c>
      <c r="II79" s="115" t="str">
        <f>HYPERLINK("http://www.caritas.de/hilfeundberatung/onlineberatung/suchtberatung/haeufiggestelltefragensucht/haeufiggestelltefragen-sucht","x")</f>
        <v>x</v>
      </c>
      <c r="IJ79" s="115" t="str">
        <f>HYPERLINK("http://www.bzga.de/infomaterialien/suchtvorbeugung/","x")</f>
        <v>x</v>
      </c>
      <c r="IK79" s="112" t="str">
        <f>HYPERLINK("http://www.bamf.de/SharedDocs/Anlagen/TR/Publikationen/Flyer/Lassen-Sie-Sich-Beraten/lassen-sie-sich-beraten.pdf?__blob=publicationFile","x")</f>
        <v>x</v>
      </c>
      <c r="IL79" s="111"/>
      <c r="IM79" s="111"/>
      <c r="IN79" s="112" t="str">
        <f>HYPERLINK("https://www.bamf.de/SharedDocs/Anlagen/TR/Publikationen/Broschueren/willkommen-in-deutschland-tr.pdf?__blob=publicationFile","x")</f>
        <v>x</v>
      </c>
      <c r="IO79" s="112"/>
      <c r="IP79" s="111"/>
      <c r="IQ79" s="112" t="str">
        <f>HYPERLINK("http://www.bamf.de/SharedDocs/Anlagen/TR/Publikationen/Flyer/Lernen-Sie-Deutsch/lernen-sie-deutsch.pdf?__blob=publicationFile","x")</f>
        <v>x</v>
      </c>
      <c r="IR79" s="112"/>
      <c r="IS79" s="111"/>
      <c r="IT79" s="111"/>
      <c r="IU79" s="111"/>
      <c r="IV79" s="112" t="str">
        <f>HYPERLINK("http://www.asyl.net/fileadmin/user_upload/infoblatt_anhoerung/Tuerk_final.pdf","x")</f>
        <v>x</v>
      </c>
      <c r="IW79" s="112"/>
      <c r="IX79" s="112" t="str">
        <f>HYPERLINK("http://www.berlin.de/labo/willkommen-in-berlin/service/downloads/artikel.273193.php","x")</f>
        <v>x</v>
      </c>
      <c r="IY79" s="112" t="str">
        <f>HYPERLINK("http://www.bamf.de/SharedDocs/Anlagen/TR/Publikationen/Broschueren/broschuere-eat-a4-tr.pdf?__blob=publicationFile","x")</f>
        <v>x</v>
      </c>
      <c r="IZ79" s="111"/>
      <c r="JA79" s="111"/>
      <c r="JB79" s="111"/>
      <c r="JC79" s="112"/>
      <c r="JD79" s="111"/>
      <c r="JE79" s="112"/>
      <c r="JF79" s="112"/>
      <c r="JG79" s="112" t="str">
        <f>HYPERLINK("http://www.bamf.de/SharedDocs/Anlagen/TR/Publikationen/Flyer/Ehegattennachzug/ehegattennachzug.pdf?__blob=publicationFile","x")</f>
        <v>x</v>
      </c>
      <c r="JH79" s="112"/>
      <c r="JI79" s="111"/>
      <c r="JJ79" s="112"/>
      <c r="JK79" s="112"/>
      <c r="JL79" s="112"/>
      <c r="JM79" s="112" t="str">
        <f>HYPERLINK("https://www.arbeitsagentur.de/web/content/DE/Formulare/Detail/index.htm?dfContentId=L6019022DSTBAI485740","x")</f>
        <v>x</v>
      </c>
      <c r="JN79" s="112"/>
      <c r="JO79" s="112"/>
      <c r="JP79" s="112"/>
      <c r="JQ79" s="112"/>
      <c r="JR79" s="112" t="str">
        <f>HYPERLINK("http://www.ibla-germany.de/merkblaetter.php","x")</f>
        <v>x</v>
      </c>
      <c r="JS79" s="112"/>
      <c r="JT79" s="111"/>
      <c r="JU79" s="111"/>
      <c r="JV79" s="111"/>
      <c r="JW79" s="112"/>
      <c r="JX79" s="112"/>
      <c r="JY79" s="112"/>
      <c r="JZ79" s="112"/>
      <c r="KA79" s="112"/>
      <c r="KB79" s="112" t="str">
        <f>HYPERLINK("http://www.refugeeguide.de/dl/RefugeeGuide_tu_1208.pdf","x")</f>
        <v>x</v>
      </c>
      <c r="KC79" s="112" t="str">
        <f>HYPERLINK("http://www.bpb.de/shop/buecher/grundgesetz/34367/grundgesetz-fuer-die-bundesrepublik-deutschland","x")</f>
        <v>x</v>
      </c>
      <c r="KD79" s="112" t="str">
        <f>HYPERLINK("http://www.wedel.de/fileadmin/user_upload/media/pdf/Rathaus_und_Politik/20160118_PM_Broschuere.pdf","x")</f>
        <v>x</v>
      </c>
      <c r="KE79" s="112"/>
      <c r="KF79" s="111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1"/>
      <c r="LD79" s="111"/>
      <c r="LE79" s="111"/>
      <c r="LF79" s="111"/>
      <c r="LG79" s="111"/>
      <c r="LH79" s="111"/>
      <c r="LI79" s="111"/>
      <c r="LJ79" s="111"/>
      <c r="LK79" s="111"/>
      <c r="LL79" s="111"/>
      <c r="LM79" s="111"/>
      <c r="LN79" s="111"/>
      <c r="LO79" s="111"/>
      <c r="LP79" s="111"/>
      <c r="LQ79" s="111"/>
      <c r="LR79" s="111"/>
      <c r="LS79" s="111"/>
      <c r="LT79" s="111"/>
      <c r="LU79" s="111"/>
      <c r="LV79" s="111"/>
      <c r="LW79" s="111"/>
      <c r="LX79" s="111"/>
      <c r="LY79" s="111"/>
      <c r="LZ79" s="111"/>
      <c r="MA79" s="111"/>
      <c r="MB79" s="111"/>
      <c r="MC79" s="111"/>
      <c r="MD79" s="112" t="str">
        <f>HYPERLINK("http://www.rki.de/DE/Content/Infekt/IfSG/Belehrungsbogen/belehrungsbogen_lebensmittel_tuerkisch.pdf?__blob=publicationFile","x")</f>
        <v>x</v>
      </c>
      <c r="ME79" s="111"/>
      <c r="MF79" s="111"/>
      <c r="MG79" s="111"/>
      <c r="MH79" s="111"/>
      <c r="MI79" s="112" t="str">
        <f>HYPERLINK("http://www.kindersicherheit.de/pdf/2012_poster_achtunggiftig_8sprachig.pdf","x")</f>
        <v>x</v>
      </c>
    </row>
    <row r="80" spans="1:347" x14ac:dyDescent="0.25">
      <c r="A80" s="102" t="s">
        <v>90</v>
      </c>
      <c r="B80" s="127" t="s">
        <v>4</v>
      </c>
      <c r="C80" s="102"/>
      <c r="D80" s="102"/>
      <c r="E80" s="102"/>
      <c r="F80" s="102"/>
      <c r="G80" s="102"/>
      <c r="H80" s="102"/>
      <c r="I80" s="102"/>
      <c r="J80" s="102"/>
      <c r="K80" s="103"/>
      <c r="L80" s="111"/>
      <c r="M80" s="111"/>
      <c r="N80" s="112" t="str">
        <f>HYPERLINK("http://www.ag-fluechtlingshilfe-wetterau.de/uploads/infos/170.pdf","x")</f>
        <v>x</v>
      </c>
      <c r="O80" s="112" t="str">
        <f>HYPERLINK("http://www.ag-fluechtlingshilfe-wetterau.de/uploads/infos/220.pdf","x")</f>
        <v>x</v>
      </c>
      <c r="P80" s="112" t="str">
        <f>HYPERLINK("http://www.awb-ahrweiler.de/admin/data/ddownload/Abfall%20Sonderhinweise-englisch_2014.pdf","x")</f>
        <v>x</v>
      </c>
      <c r="Q80" s="112" t="str">
        <f>HYPERLINK("http://www.ag-fluechtlingshilfe-wetterau.de/uploads/infos/221.pdf","x")</f>
        <v>x</v>
      </c>
      <c r="R80" s="112" t="str">
        <f>HYPERLINK("http://www.konto.org/download/merkblatt-basiskonto-asylbewerber-english.pdf","x")</f>
        <v>x</v>
      </c>
      <c r="S80" s="112"/>
      <c r="T80" s="112" t="str">
        <f>HYPERLINK("https://antworten.sparkasse.de/wp-content/uploads/2015/10/English.pdf","x")</f>
        <v>x</v>
      </c>
      <c r="U80" s="112" t="str">
        <f>HYPERLINK("http://www.ag-fluechtlingshilfe-wetterau.de/uploads/infos/191.pdf","x")</f>
        <v>x</v>
      </c>
      <c r="V80" s="112"/>
      <c r="W80" s="112"/>
      <c r="X8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8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80" s="112"/>
      <c r="AA80" s="112"/>
      <c r="AB80" s="112"/>
      <c r="AC80" s="112" t="str">
        <f>HYPERLINK("http://www.vzhh.de/vzhh/409638/vzhh_refugees_telephone_internet.pdf","x")</f>
        <v>x</v>
      </c>
      <c r="AD80" s="112" t="str">
        <f>HYPERLINK("http://www.vzhh.de/vzhh/410647/vzhh_refugees_rundfunk.pdf","x")</f>
        <v>x</v>
      </c>
      <c r="AE80" s="112" t="str">
        <f>HYPERLINK("http://www.vzhh.de/vzhh/411476/vzhh_refugees_rundfunk_befreiung.pdf","x")</f>
        <v>x</v>
      </c>
      <c r="AF80" s="112" t="str">
        <f>HYPERLINK("http://www.kub-berlin.org/formularprojekt/de/englisch-antraege-und-anlagen-uebersetzungshilfen/","x")</f>
        <v>x</v>
      </c>
      <c r="AG80" s="112" t="str">
        <f>HYPERLINK("http://asyl-in-moenchengladbach.de/wp-content/uploads/2015/11/100711-Flyer_GB.pdf","x")</f>
        <v>x</v>
      </c>
      <c r="AH80" s="112" t="str">
        <f>HYPERLINK("http://sghanstedt.elbnetz.com/ueber-uns/","x")</f>
        <v>x</v>
      </c>
      <c r="AI80" s="112" t="str">
        <f>HYPERLINK("https://www.adac.de/sp/stiftung/_mmm/pdf/SGE_FOL_Verkehrssicherheit_Fl%C3%BCchtlinge_A3_01_16_Internet_250277.pdf","x")</f>
        <v>x</v>
      </c>
      <c r="AJ80" s="112" t="str">
        <f>HYPERLINK("http://www.stadt-koeln.de/mediaasset/content/kvb_kinderleicht_und_spielend_einfach__englisch_.pdf","x")</f>
        <v>x</v>
      </c>
      <c r="AK80" s="112" t="str">
        <f>HYPERLINK("https://www.vrsinfo.de/fileadmin/Dateien/downloadcenter/Folder_MobilPassTicket_Refugees01012016.pdf","x")</f>
        <v>x</v>
      </c>
      <c r="AL80" s="112" t="str">
        <f>HYPERLINK("https://www.vrsinfo.de/fileadmin/Dateien/downloadcenter/Willkommen_im_VRS2016_Druck.pdf","x")</f>
        <v>x</v>
      </c>
      <c r="AM80" s="112"/>
      <c r="AN80" s="112" t="str">
        <f>HYPERLINK("https://www.deutschebahn.com/file/de/2191748/eYdgZpqGpp5sMJ2KMKtg2r8aE4Q/10123812/data/infos_fuer_fluechtlinge.pdf","x")</f>
        <v>x</v>
      </c>
      <c r="AO80" s="112"/>
      <c r="AP80" s="112"/>
      <c r="AQ80" s="112"/>
      <c r="AR80" s="112"/>
      <c r="AS80" s="112"/>
      <c r="AT80" s="112"/>
      <c r="AU80" s="112" t="str">
        <f>HYPERLINK("http://www.stadt-koeln.de/mediaasset/content/festkomitee_flyer_2016_d_gb.pdf","x")</f>
        <v>x</v>
      </c>
      <c r="AV80" s="113"/>
      <c r="AW80" s="114" t="str">
        <f t="shared" si="22"/>
        <v>x</v>
      </c>
      <c r="AX80" s="114" t="str">
        <f t="shared" si="23"/>
        <v>x</v>
      </c>
      <c r="AY80" s="112" t="str">
        <f>HYPERLINK("http://fi-lohmar-siegburg.de/data/documents/Findefix_arabisch-Bildwoerterbuch.pdf","x")</f>
        <v>x</v>
      </c>
      <c r="AZ80" s="111"/>
      <c r="BA80" s="112" t="str">
        <f t="shared" si="24"/>
        <v>x</v>
      </c>
      <c r="BB80" s="112" t="str">
        <f t="shared" si="25"/>
        <v>x</v>
      </c>
      <c r="BC80" s="111"/>
      <c r="BD80" s="111"/>
      <c r="BE80" s="112" t="str">
        <f>HYPERLINK("http://fi-lohmar-siegburg.de/data/documents/communicationboard-arabic-english.pdf","x")</f>
        <v>x</v>
      </c>
      <c r="BF80" s="112"/>
      <c r="BG80" s="111"/>
      <c r="BH80" s="112" t="str">
        <f>HYPERLINK("http://www.refugeephrasebook.de/pdf/germany150920.pdf","x")</f>
        <v>x</v>
      </c>
      <c r="BI80" s="112" t="str">
        <f>HYPERLINK("https://www.advanced-online.eu/downloads/RefugeePhrasebookCards_German-English.pdf","x")</f>
        <v>x</v>
      </c>
      <c r="BJ80" s="112" t="str">
        <f>HYPERLINK("http://www.klett-sprachen.de/download/8638/W100255_Refugees_Welcome_Wortschatz.pdf","x")</f>
        <v>x</v>
      </c>
      <c r="BK80" s="111"/>
      <c r="BL80" s="112" t="str">
        <f>HYPERLINK("http://www.bundessprachenamt.de/deutsch/wir_ueber_uns/nachrichten/2015/20151103/Verständigungshilfe_Englisch_26_11_2015.pdf","x")</f>
        <v>x</v>
      </c>
      <c r="BM80" s="112" t="str">
        <f>HYPERLINK("http://www.frnrw.de/images/Aus_den_Initiativen/Ehrenamtler/2015/Dictionary_x10_print-2.pdf","x")</f>
        <v>x</v>
      </c>
      <c r="BN80" s="112" t="str">
        <f>HYPERLINK("http://www.medbox.org/toolboxes/kleines-worterbuch-little-dictionary-deutsch-englisch-arabisch/preview","x")</f>
        <v>x</v>
      </c>
      <c r="BO80" s="112" t="str">
        <f>HYPERLINK("http://mylanguages.org/dari_phrases.php","x")</f>
        <v>x</v>
      </c>
      <c r="BP80" s="111"/>
      <c r="BQ80" s="111"/>
      <c r="BR80" s="111"/>
      <c r="BS80" s="112" t="str">
        <f t="shared" si="26"/>
        <v>x</v>
      </c>
      <c r="BT80" s="112"/>
      <c r="BU80" s="111"/>
      <c r="BV80" s="112" t="str">
        <f t="shared" si="27"/>
        <v>x</v>
      </c>
      <c r="BW80" s="112" t="str">
        <f>HYPERLINK("http://www.welcomegrooves.de/wp-content/uploads/2015/10/welcomegrooves_DE-ENGLISH1.pdf","x")</f>
        <v>x</v>
      </c>
      <c r="BX80" s="112"/>
      <c r="BY80" s="112"/>
      <c r="BZ80" s="112"/>
      <c r="CA80" s="112" t="str">
        <f t="shared" si="28"/>
        <v>x</v>
      </c>
      <c r="CB80" s="112" t="str">
        <f t="shared" si="29"/>
        <v>x</v>
      </c>
      <c r="CC80" s="112" t="str">
        <f t="shared" si="30"/>
        <v>x</v>
      </c>
      <c r="CD80" s="112"/>
      <c r="CE80" s="112"/>
      <c r="CF80" s="111"/>
      <c r="CG80" s="112" t="str">
        <f>HYPERLINK("http://www.braunschweig.de/leben/frauen/hilfe/Ohne-Gewalt-leben.pdf","x")</f>
        <v>x</v>
      </c>
      <c r="CH80" s="112" t="str">
        <f>HYPERLINK("http://mifkjf.rlp.de/fileadmin/mifkjf/Frauen/Gewalt_gegen_Frauen/Downloads/Broschueren_Flyer/Flyer_Gewalt_englisch.pdf","x")</f>
        <v>x</v>
      </c>
      <c r="CI80" s="112" t="str">
        <f>HYPERLINK("https://www.hilfetelefon.de/fileadmin/hilfetelefon_de/Materialien/Flyer/Infoflyer_Hilfetelefon_Gewalt_gegen_Frauen141105_b2.pdf","x")</f>
        <v>x</v>
      </c>
      <c r="CJ80" s="112" t="str">
        <f>HYPERLINK("https://www.hilfetelefon.de/fileadmin/hilfetelefon_de/Materialien/weitere_werbemittel/Klappflyer_Vorder-_und_Rueckseite_opt2.pdf","x")</f>
        <v>x</v>
      </c>
      <c r="CK80" s="112" t="str">
        <f t="shared" si="31"/>
        <v>x</v>
      </c>
      <c r="CL80" s="112" t="str">
        <f>HYPERLINK("http://www.frauenberatungsstelle.de/pdf/Migrantinnen-beraten-Migrantinnen.pdf","x")</f>
        <v>x</v>
      </c>
      <c r="CM80" s="112" t="str">
        <f>HYPERLINK("http://www.frauenleben.org/spezielle_beratungsangebote/sexualisierte_gewalt.htm","x")</f>
        <v>x</v>
      </c>
      <c r="CN80" s="112"/>
      <c r="CO80" s="112"/>
      <c r="CP80" s="112" t="str">
        <f>HYPERLINK("http://www.schwanger-und-viele-fragen.de/en/","x")</f>
        <v>x</v>
      </c>
      <c r="CQ80" s="112"/>
      <c r="CR8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80" s="112" t="str">
        <f>HYPERLINK("http://en.beststart.org/for_parents/are-you-looking-resources-languages-other-english-and-french","x")</f>
        <v>x</v>
      </c>
      <c r="CT80" s="112"/>
      <c r="CU80" s="112" t="str">
        <f>HYPERLINK("http://www.profamilia.de/fileadmin/publikationen/Erwachsene/mehrsprachig/Bro_Verhuetung_engl_2013.pdf","x")</f>
        <v>x</v>
      </c>
      <c r="CV80" s="112" t="str">
        <f>HYPERLINK("http://www.profamilia.de/fileadmin/publikationen/Erwachsene/mehrsprachig/Bro_Pille_danach_Faltblatt_140122_RZ.pdf","x")</f>
        <v>x</v>
      </c>
      <c r="CW80" s="112" t="str">
        <f>HYPERLINK("http://www.profamilia.de/fileadmin/publikationen/Reihe_Verhuetungsmethoden/Einleger_englisch.pdf","x")</f>
        <v>x</v>
      </c>
      <c r="CX80" s="112" t="str">
        <f>HYPERLINK("http://www.profamilia.de/fileadmin/publikationen/Reihe_Koerper_und_Sexualtitaet/Schwangerschaftsabbruch_englisch_2010.pdf","x")</f>
        <v>x</v>
      </c>
      <c r="CY80" s="112" t="str">
        <f>HYPERLINK("http://www.caritas-schwarzwald-alb-donau.de/68854.html","x")</f>
        <v>x</v>
      </c>
      <c r="CZ80" s="112" t="str">
        <f>HYPERLINK("http://www.dgfpi.de/tl_files/download/medien/unwissen-macht-en.pdf","x")</f>
        <v>x</v>
      </c>
      <c r="DA80" s="112"/>
      <c r="DB80" s="112"/>
      <c r="DC80" s="115" t="str">
        <f>HYPERLINK("http://www.kindersicherheit.de/pdf/2013_BAG_Tomi_and_Mila_Deutsch_English.pdf","x")</f>
        <v>x</v>
      </c>
      <c r="DD80" s="112"/>
      <c r="DE80" s="112"/>
      <c r="DF80" s="112" t="str">
        <f t="shared" si="32"/>
        <v>x</v>
      </c>
      <c r="DG80" s="115" t="str">
        <f t="shared" si="33"/>
        <v>x</v>
      </c>
      <c r="DH80" s="112" t="str">
        <f t="shared" si="34"/>
        <v>x</v>
      </c>
      <c r="DI80" s="112" t="str">
        <f t="shared" si="35"/>
        <v>x</v>
      </c>
      <c r="DJ80" s="112"/>
      <c r="DK80" s="112"/>
      <c r="DL80" s="112"/>
      <c r="DM80" s="112"/>
      <c r="DN80" s="112"/>
      <c r="DO80" s="112" t="str">
        <f>HYPERLINK("http://www.wdrmaus.de/sachgeschichten/maus-international/","x")</f>
        <v>x</v>
      </c>
      <c r="DP80" s="111"/>
      <c r="DQ80" s="111"/>
      <c r="DR80" s="112" t="str">
        <f>HYPERLINK("https://broschueren.nordrheinwestfalendirekt.de/broschuerenservice/msw/eng-das-schulsystem-in-nordrhein-westfalen-einfach-und-schnell-erklaert/1902","x")</f>
        <v>x</v>
      </c>
      <c r="DS80" s="112" t="str">
        <f>HYPERLINK("http://bildung.koeln.de/materialbibliothek/download.php?idx=8e2a9f658e9fa830ce17dc18f0fb0268","x")</f>
        <v>x</v>
      </c>
      <c r="DT80" s="112" t="str">
        <f>HYPERLINK("http://bildung.koeln.de/materialbibliothek/download.php?idx=90aff7e7259385cadb46c517317f1446","x")</f>
        <v>x</v>
      </c>
      <c r="DU80" s="112"/>
      <c r="DV80" s="112" t="str">
        <f>HYPERLINK("https://www.bmbf.de/pub/Kausa_Elternbroschuere_englisch.pdf","x")</f>
        <v>x</v>
      </c>
      <c r="DW80" s="112"/>
      <c r="DX80" s="112" t="str">
        <f>HYPERLINK("http://www.wissenschaft.nrw.de/studium/informieren/informationen-fuer-fluechtlinge-die-in-nrw-studieren-moechten/","x")</f>
        <v>x</v>
      </c>
      <c r="DY80" s="112" t="str">
        <f>HYPERLINK("http://www.bamf.de/SharedDocs/Anlagen/DE/Publikationen/Flyer/AnerkennungBerufsabschluss/berufliche_anerkennung_akademische-heilberufe_en.pdf?__blob=publicationFile","x")</f>
        <v>x</v>
      </c>
      <c r="DZ80" s="112" t="str">
        <f>HYPERLINK("http://www.bamf.de/SharedDocs/Anlagen/EN/Publikationen/Flyer/AnerkennungBerufsabschluss/anerkennung-berufsabschluss.pdf?__blob=publicationFile","x")</f>
        <v>x</v>
      </c>
      <c r="EA80" s="112" t="str">
        <f>HYPERLINK("http://www.bamf.de/SharedDocs/Anlagen/EN/Publikationen/Flyer/AnerkennungBerufsabschluss/anerkennung-berufsabschluss_ausland.pdf?__blob=publicationFile","x")</f>
        <v>x</v>
      </c>
      <c r="EB80" s="112" t="str">
        <f>HYPERLINK("http://www.bamf.de/SharedDocs/Anlagen/EN/Publikationen/Broschueren/willkommen-in-deutschland-info-blaue-karte-eu_en.pdf?__blob=publicationFile","x")</f>
        <v>x</v>
      </c>
      <c r="EC80" s="112" t="str">
        <f>HYPERLINK("http://www.bamf.de/SharedDocs/Anlagen/EN/Publikationen/Flyer/Berufsbezsprachf-ESF-BAMF/berufsbezsprachf-esf-bamf.pdf?__blob=publicationFile","x")</f>
        <v>x</v>
      </c>
      <c r="ED80" s="111"/>
      <c r="EE80" s="111"/>
      <c r="EF80" s="111"/>
      <c r="EG80" s="111"/>
      <c r="EH80" s="111"/>
      <c r="EI80" s="111"/>
      <c r="EJ80" s="112"/>
      <c r="EK80" s="112" t="str">
        <f>HYPERLINK("http://fluechtlingsrat-bw.de/files/Dateien/Dokumente/Materialbestellung/2014-12-flyer%20arbeitserlaubnis%20EN%20WEB.pdf","x")</f>
        <v>x</v>
      </c>
      <c r="EL80" s="112" t="str">
        <f>HYPERLINK("http://www.aponet.de/englisch/20151019-fuer-den-notfall-wichtige-rufnummern-im-ueberblick.html","x")</f>
        <v>x</v>
      </c>
      <c r="EM80" s="112" t="str">
        <f>HYPERLINK("http://www.kvs-sachsen.de/fileadmin/img/Mitglieder/Asylbewerber/Allg-Informationen/Anlage_1_Englisch_LEK.pdf","x")</f>
        <v>x</v>
      </c>
      <c r="EN80" s="112" t="str">
        <f>HYPERLINK("http://www.medizin-hilft-fluechtlingen.de/images/Dokumente/gSch/gSch_eng.pdf","x")</f>
        <v>x</v>
      </c>
      <c r="EO80" s="112" t="str">
        <f>HYPERLINK("http://www.aponet.de/englisch/medical-care-for-asylum-seekers.html","x")</f>
        <v>x</v>
      </c>
      <c r="EP80" s="117" t="str">
        <f>HYPERLINK("http://www.medi-bild.de/pdf/anamnese/Welche_Sprache.pdf","x")</f>
        <v>x</v>
      </c>
      <c r="EQ80" s="117" t="str">
        <f>HYPERLINK("http://www.armut-gesundheit.de/fileadmin/redakteur/dokumente/Anamnesebogen%20-%20englischnew.pdf","x")</f>
        <v>x</v>
      </c>
      <c r="ER80" s="112" t="str">
        <f>HYPERLINK("http://www.kvs-sachsen.de/fileadmin/img/Mitglieder/Asylbewerber/Allg-Informationen/Anlagen_2-1_2-2_Englisch_LEK.pdf","x")</f>
        <v>x</v>
      </c>
      <c r="ES80" s="111"/>
      <c r="ET80" s="111"/>
      <c r="EU80" s="112" t="str">
        <f>HYPERLINK("http://www.medizin-hilft-fluechtlingen.de/images/Dokumente/ein/ein_engl.pdf","x")</f>
        <v>x</v>
      </c>
      <c r="EV80" s="112" t="str">
        <f>HYPERLINK("http://www.adler-apotheke-hh.de/fileadmin/user_upload/PDF-Dateien/Dosierzettel_mehrsprachig_AUF_0_.pdf","x")</f>
        <v>x</v>
      </c>
      <c r="EW80" s="112" t="str">
        <f t="shared" si="36"/>
        <v>x</v>
      </c>
      <c r="EX80" s="112" t="str">
        <f>HYPERLINK("http://www.rki.de/DE/Content/Infekt/IfSG/Belehrungsbogen/belehrungsbogen_eltern_englisch.pdf?__blob=publicationFile","x")</f>
        <v>x</v>
      </c>
      <c r="EY80" s="112" t="str">
        <f>HYPERLINK("http://www.bzga.de/infomaterialien/?sid=236","x")</f>
        <v>x</v>
      </c>
      <c r="EZ80" s="112" t="str">
        <f>HYPERLINK("https://www.mh-hannover.de/fileadmin/mhh/bilder/aktuelles_presse/pressestelle/bilder/Pilzvergif_English.pdf","x")</f>
        <v>x</v>
      </c>
      <c r="FA80" s="112"/>
      <c r="FB80" s="112" t="str">
        <f>HYPERLINK("http://static.apotheken-umschau.de/media/gp/article_506373/bildwoerterbuch.pdf","x")</f>
        <v>x</v>
      </c>
      <c r="FC80" s="112" t="str">
        <f>HYPERLINK("https://www.studentenwerke.de/sites/default/files/gesundheitswoerterbuch.pdf","x")</f>
        <v>x</v>
      </c>
      <c r="FD80" s="112" t="str">
        <f t="shared" si="37"/>
        <v>x</v>
      </c>
      <c r="FE80" s="112" t="str">
        <f>HYPERLINK("http://sghanstedt.elbnetz.com/ueber-uns/","x")</f>
        <v>x</v>
      </c>
      <c r="FF80" s="112" t="str">
        <f>HYPERLINK("http://www.fuhlenhagen.com/pdf_dateien/uebertzungshilfe_aerzte_mehrsprachig.pdf","x")</f>
        <v>x</v>
      </c>
      <c r="FG80" s="112" t="str">
        <f>HYPERLINK("http://www.tipdoc.de/grafik/asyl/Gesundheitsheft_Asyl.pdf","x")</f>
        <v>x</v>
      </c>
      <c r="FH80" s="111"/>
      <c r="FI80" s="111"/>
      <c r="FJ80" s="112" t="str">
        <f>HYPERLINK("http://www.bundesgesundheitsministerium.de/fileadmin/dateien/Publikationen/Gesundheit/Broschueren/Ratgeber_Asylsuchende/Ratgeber_Asylsuchende_engl.pdf","x")</f>
        <v>x</v>
      </c>
      <c r="FK80" s="112" t="str">
        <f>HYPERLINK("http://www.rki.de/DE/Content/Infekt/Impfen/Materialien/Downloads-Impfkalender/Impfkalender_Englisch.pdf?__blob=publicationFile","x")</f>
        <v>x</v>
      </c>
      <c r="FL80" s="112" t="str">
        <f>HYPERLINK("http://www.ethno-medizinisches-zentrum.de/images/PDF-Files/impfwegweiser_englisch_2013_online.pdf","x")</f>
        <v>x</v>
      </c>
      <c r="FM80" s="112"/>
      <c r="FN80" s="112" t="str">
        <f>HYPERLINK("http://www.rki.de/DE/Content/Infekt/Impfen/Materialien/Glossar-Downloads/glossar-de-englisch.pdf?__blob=publicationFile","x")</f>
        <v>x</v>
      </c>
      <c r="FO80" s="112" t="str">
        <f>HYPERLINK("http://www.euro.who.int/__data/assets/pdf_file/0005/160754/VPDs_Signs-symptoms-complications.pdf?ua=1","x")</f>
        <v>x</v>
      </c>
      <c r="FP80" s="112" t="str">
        <f>HYPERLINK("http://www.rki.de/DE/Content/Infekt/Impfen/Materialien/Downloads-MMR/MMR-Impfinfo-englisch.pdf?__blob=publicationFile","x")</f>
        <v>x</v>
      </c>
      <c r="FQ80" s="112" t="str">
        <f>HYPERLINK("http://www.rki.de/DE/Content/InfAZ/P/Polio/Ausbruch_Syrien/Informationsblatt_Polio_Englisch.pdf?__blob=publicationFile","x")</f>
        <v>x</v>
      </c>
      <c r="FR80" s="112" t="str">
        <f>HYPERLINK("http://www.rki.de/DE/Content/Infekt/Impfen/Materialien/Downloads_HepA/Aufklaerung_HAV-Impfung_Englisch.pdf?__blob=publicationFile","x")</f>
        <v>x</v>
      </c>
      <c r="FS80" s="112" t="str">
        <f>HYPERLINK("http://www.rki.de/DE/Content/Infekt/Impfen/Materialien/Downloads_Pneumokokken/Aufklaerung_Pneumo-Impfung_Englisch.pdf?__blob=publicationFile","x")</f>
        <v>x</v>
      </c>
      <c r="FT80" s="112" t="str">
        <f>HYPERLINK("http://www.rki.de/DE/Content/Infekt/Impfen/Materialien/Downloads-DTaPIPVHibHepB/DTaPIPVHibHepB-englisch.pdf?__blob=publicationFile","x")</f>
        <v>x</v>
      </c>
      <c r="FU80" s="112" t="str">
        <f>HYPERLINK("http://www.rki.de/DE/Content/Infekt/Impfen/Materialien/Downloads-Varizellen/Varizellen-Impfinfo-englisch.pdf;jsessionid=65B697F4EE7EDA8A1ED9E2C4CD6C74EC.2_cid363?__blob=publicationFile","x")</f>
        <v>x</v>
      </c>
      <c r="FV80" s="112" t="str">
        <f>HYPERLINK("http://www.rki.de/DE/Content/Infekt/Impfen/Materialien/Downloads-Tdap-IPV/Tdap-IPV-englisch.pdf?__blob=publicationFile","x")</f>
        <v>x</v>
      </c>
      <c r="FW80" s="112" t="str">
        <f>HYPERLINK("http://www.rki.de/DE/Content/Infekt/Impfen/Materialien/Downloads-Influenza_nasal/Influenza_nasal-englisch.pdf?__blob=publicationFile","x")</f>
        <v>x</v>
      </c>
      <c r="FX80" s="111"/>
      <c r="FY80" s="112"/>
      <c r="FZ80" s="112"/>
      <c r="GA80" s="111"/>
      <c r="GB80" s="111"/>
      <c r="GC80" s="111"/>
      <c r="GD80" s="112" t="str">
        <f>HYPERLINK("http://www.ethno-medizinisches-zentrum.de/images/PDF-Files/lf_diabete_englisch.pdf","x")</f>
        <v>x</v>
      </c>
      <c r="GE80" s="111"/>
      <c r="GF80" s="111"/>
      <c r="GG80" s="111"/>
      <c r="GH80" s="112"/>
      <c r="GI80" s="111"/>
      <c r="GJ80" s="111"/>
      <c r="GK80" s="112" t="str">
        <f>HYPERLINK("http://www.tipdoc.de/bus/pdf/hiv/HIV%20ESP_Webseite.pdf","x")</f>
        <v>x</v>
      </c>
      <c r="GL80" s="111"/>
      <c r="GM80" s="112" t="str">
        <f>HYPERLINK("http://www.rki.de/DE/Content/Infekt/Impfen/Materialien/Downloads-Influenza/Influenza-englisch.pdf?__blob=publicationFile","x")</f>
        <v>x</v>
      </c>
      <c r="GN80" s="111"/>
      <c r="GO80" s="112" t="str">
        <f>HYPERLINK("http://www.aponet.de/englisch/20151111-so-unterscheiden-sich-grippe-und-erkaeltung.html","x")</f>
        <v>x</v>
      </c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2" t="str">
        <f t="shared" si="38"/>
        <v>x</v>
      </c>
      <c r="HD80" s="112" t="str">
        <f>HYPERLINK("https://www.zahnaerzte-wl.de/images/_PDF-suche/KZV_ZÄK/ENDSTAND_Ankreuzbogen_Ich_verstehe.pdf","x")</f>
        <v>x</v>
      </c>
      <c r="HE80" s="112" t="str">
        <f>HYPERLINK("https://www.zahnaerzte-wl.de/images/_PDF-suche/KZV_ZÄK/Anschreiben_Patienten_englisch.pdf","x")</f>
        <v>x</v>
      </c>
      <c r="HF80" s="112" t="str">
        <f>HYPERLINK("https://www.zahnaerzte-wl.de/images/_PDF-suche/KZV_ZÄK/Fragebogen_englisch.pdf","x")</f>
        <v>x</v>
      </c>
      <c r="HG80" s="112" t="str">
        <f>HYPERLINK("https://www.zahnaerzte-wl.de/images/_PDF-suche/KZV_ZÄK/Patientenerhebungsbogen_englisch.pdf","x")</f>
        <v>x</v>
      </c>
      <c r="HH80" s="112"/>
      <c r="HI80" s="112" t="str">
        <f>HYPERLINK("http://www.bvkm.de/fileadmin/web_data/Behinderung_und_Migration_englisch_2014.pdf","x")</f>
        <v>x</v>
      </c>
      <c r="HJ80" s="112"/>
      <c r="HK80" s="112" t="str">
        <f>HYPERLINK("http://www.psychenet.de/en/mental-health/knowledge/depression.html","x")</f>
        <v>x</v>
      </c>
      <c r="HL80" s="111"/>
      <c r="HM80" s="112" t="str">
        <f>HYPERLINK("http://www.psychenet.de/en/mental-health/knowledge/psychoses.html","x")</f>
        <v>x</v>
      </c>
      <c r="HN80" s="112" t="str">
        <f>HYPERLINK("http://www.psychenet.de/en/mental-health/knowledge/somatoform-disorders.html","x")</f>
        <v>x</v>
      </c>
      <c r="HO80" s="112" t="str">
        <f>HYPERLINK("http://www.psychenet.de/en/mental-health/knowledge/anorexia.html","x")</f>
        <v>x</v>
      </c>
      <c r="HP80" s="112" t="str">
        <f>HYPERLINK("http://www.psychenet.de/en/mental-health/knowledge/bulimia.html","x")</f>
        <v>x</v>
      </c>
      <c r="HQ80" s="112" t="str">
        <f>HYPERLINK("http://www.psychenet.de/en/mental-health/knowledge/bipolar-disorder.html","x")</f>
        <v>x</v>
      </c>
      <c r="HR80" s="112" t="str">
        <f>HYPERLINK("http://www.psychenet.de/en/mental-health/knowledge/panic-and-agoraphobia.html","x")</f>
        <v>x</v>
      </c>
      <c r="HS80" s="112" t="str">
        <f>HYPERLINK("http://www.psychenet.de/en/mental-health/knowledge/social-phobia.html","x")</f>
        <v>x</v>
      </c>
      <c r="HT80" s="112" t="str">
        <f>HYPERLINK("http://www.psychenet.de/en/mental-health/knowledge/generalized-anxiety-disorder.html","x")</f>
        <v>x</v>
      </c>
      <c r="HU80" s="112"/>
      <c r="HV80" s="112" t="str">
        <f>HYPERLINK("http://www.psychenet.de/en/mental-health/knowledge/information-and-support.html","x")</f>
        <v>x</v>
      </c>
      <c r="HW80" s="112"/>
      <c r="HX80" s="112" t="str">
        <f>HYPERLINK("http://www.bkk-psychisch-gesund.de/fileadmin/user_upload/Dokumente/Versicherte/Broschueren/Wegweiser_Psychotherapie_englisch.pdf","x")</f>
        <v>x</v>
      </c>
      <c r="HY80" s="112" t="str">
        <f t="shared" si="39"/>
        <v>x</v>
      </c>
      <c r="HZ80" s="112" t="str">
        <f t="shared" si="40"/>
        <v>x</v>
      </c>
      <c r="IA80" s="112" t="str">
        <f>HYPERLINK("http://peacefulheart.se/wp-content/uploads/2012/02/TTT_English_2013.pdf","x")</f>
        <v>x</v>
      </c>
      <c r="IB80" s="112"/>
      <c r="IC80" s="112"/>
      <c r="ID80" s="112" t="str">
        <f>HYPERLINK("http://www.susannestein.de/VIA-online/trauma-picture-book.pdf","x")</f>
        <v>x</v>
      </c>
      <c r="IE80" s="112" t="str">
        <f>HYPERLINK("http://www.psychenet.de/en/mental-health/knowledge/alcohol-in-adolescence.html","x")</f>
        <v>x</v>
      </c>
      <c r="IF80" s="112"/>
      <c r="IG80" s="112"/>
      <c r="IH80" s="111"/>
      <c r="II80" s="112" t="str">
        <f>HYPERLINK("http://www.caritas.de/hilfeundberatung/onlineberatung/suchtberatung/haeufiggestelltefragensucht/haeufiggestelltefragen-sucht","x")</f>
        <v>x</v>
      </c>
      <c r="IJ80" s="112" t="str">
        <f>HYPERLINK("http://www.dhs.de/fileadmin/user_upload/pdf/Broschueren/Ein_Angebot_an_alle-Englisch.pdf","x")</f>
        <v>x</v>
      </c>
      <c r="IK80" s="112" t="str">
        <f>HYPERLINK("http://www.bamf.de/SharedDocs/Anlagen/EN/Publikationen/Flyer/Lassen-Sie-Sich-Beraten/lassen-sie-sich-beraten.pdf?__blob=publicationFile","x")</f>
        <v>x</v>
      </c>
      <c r="IL80" s="115" t="str">
        <f>HYPERLINK("http://www.bamf.de/SharedDocs/Anlagen/EN/Publikationen/Flyer/flyer-erstorientierung-asylsuchende.pdf?__blob=publicationFile","x")</f>
        <v>x</v>
      </c>
      <c r="IM80" s="112" t="str">
        <f>HYPERLINK("http://www.frnrw.de/index.php/inhaltliche-themen/arbeitshilfen/item/3710-erstinfos-fuer-asylsuchende","x")</f>
        <v>x</v>
      </c>
      <c r="IN80" s="112" t="str">
        <f>HYPERLINK("http://www.bamf.de/SharedDocs/Anlagen/EN/Publikationen/Broschueren/willkommen-in-deutschland.pdf;jsessionid=2D72CB108E4AC02BBB9659E7D9A589B2.1_cid368?__blob=publicationFile","x")</f>
        <v>x</v>
      </c>
      <c r="IO80" s="112"/>
      <c r="IP80" s="112"/>
      <c r="IQ80" s="112" t="str">
        <f>HYPERLINK("http://www.bamf.de/SharedDocs/Anlagen/EN/Publikationen/Flyer/Lernen-Sie-Deutsch/lernen-sie-deutsch.pdf?__blob=publicationFile","x")</f>
        <v>x</v>
      </c>
      <c r="IR80" s="112" t="str">
        <f>HYPERLINK("http://www.asyl.net/fileadmin/user_upload/redaktion/Dokumente/Arbeitshilfen/150910_Wie_l%C3%A4uft_ein_Asylverfahren_ab_%C3%9Cberblickstext_Englisch.pdf","x")</f>
        <v>x</v>
      </c>
      <c r="IS80" s="111"/>
      <c r="IT80" s="112" t="str">
        <f>HYPERLINK("http://www.bamf.de/SharedDocs/Anlagen/EN/Publikationen/Flyer/ablauf-asylverfahren.pdf;jsessionid=DBD4307960D761935FCC3E0325D459A1.1_cid294?__blob=publicationFile","x")</f>
        <v>x</v>
      </c>
      <c r="IU80" s="111"/>
      <c r="IV80" s="112" t="str">
        <f>HYPERLINK("http://www.asyl.net/fileadmin/user_upload/infoblatt_anhoerung/Infoblatt_2015_en_fin.pdf","x")</f>
        <v>x</v>
      </c>
      <c r="IW80" s="112"/>
      <c r="IX80" s="112" t="str">
        <f>HYPERLINK("http://www.berlin.de/labo/willkommen-in-berlin/service/downloads/artikel.273193.php","x")</f>
        <v>x</v>
      </c>
      <c r="IY80" s="112" t="str">
        <f>HYPERLINK("http://www.bamf.de/SharedDocs/Anlagen/EN/Publikationen/Broschueren/broschuere-eat-a4.pdf?__blob=publicationFile","x")</f>
        <v>x</v>
      </c>
      <c r="IZ80" s="111"/>
      <c r="JA80" s="112" t="str">
        <f>HYPERLINK("http://fluechtlingsrat-bw.de/informationen-fuer-fluechtlinge.html","x")</f>
        <v>x</v>
      </c>
      <c r="JB80" s="111"/>
      <c r="JC80" s="112" t="str">
        <f>HYPERLINK("http://www.bamf.de/SharedDocs/Anlagen/EN/Publikationen/Flyer/20150223_ura2_en.pdf?__blob=publicationFile","x")</f>
        <v>x</v>
      </c>
      <c r="JD80" s="111"/>
      <c r="JE80" s="112"/>
      <c r="JF80" s="112"/>
      <c r="JG80" s="112" t="str">
        <f>HYPERLINK("http://www.bamf.de/SharedDocs/Anlagen/EN/Publikationen/Flyer/Ehegattennachzug/ehegattennachzug.pdf?__blob=publicationFile","x")</f>
        <v>x</v>
      </c>
      <c r="JH80" s="112" t="str">
        <f>HYPERLINK("https://familyreunion-syria.diplo.de/webportal/index.html#start","x")</f>
        <v>x</v>
      </c>
      <c r="JI80" s="112" t="str">
        <f>HYPERLINK("http://ec.europa.eu/dgs/home-affairs/what-we-do/networks/european_migration_network/docs/emn-glossary-en-version.pdf","x")</f>
        <v>x</v>
      </c>
      <c r="JJ80" s="112"/>
      <c r="JK80" s="112" t="str">
        <f>HYPERLINK("https://www.arbeitsagentur.de/web/wcm/idc/groups/public/documents/webdatei/mdaw/mjgz/~edisp/l6019022dstbai784628.pdf?_ba.sid=L6019022DSTBAI784625","x")</f>
        <v>x</v>
      </c>
      <c r="JL80" s="112" t="str">
        <f>HYPERLINK("http://www.kub-berlin.org/formularprojekt/de/englisch-antraege-und-anlagen-uebersetzungshilfen/","x")</f>
        <v>x</v>
      </c>
      <c r="JM80" s="112" t="str">
        <f>HYPERLINK("https://www.arbeitsagentur.de/web/content/DE/Formulare/Detail/index.htm?dfContentId=L6019022DSTBAI485740","x")</f>
        <v>x</v>
      </c>
      <c r="JN80" s="112"/>
      <c r="JO80" s="112"/>
      <c r="JP80" s="112"/>
      <c r="JQ80" s="112"/>
      <c r="JR80" s="112" t="str">
        <f>HYPERLINK("http://www.ibla-germany.de/merkblaetter.php","x")</f>
        <v>x</v>
      </c>
      <c r="JS80" s="112"/>
      <c r="JT80" s="112" t="str">
        <f>HYPERLINK("http://www.b-umf.de/images/willkommen/willkommensbroschureenglisch-web.pdf","x")</f>
        <v>x</v>
      </c>
      <c r="JU80" s="111"/>
      <c r="JV80" s="111"/>
      <c r="JW80" s="112"/>
      <c r="JX80" s="112" t="str">
        <f>HYPERLINK("https://www.arbeitsagentur.de/web/wcm/idc/groups/public/documents/webdatei/mdaw/mjgz/~edisp/l6019022dstbai784636.pdf?_ba.sid=L6019022DSTBAI784633","x")</f>
        <v>x</v>
      </c>
      <c r="JY80" s="112"/>
      <c r="JZ80" s="112"/>
      <c r="KA80" s="112"/>
      <c r="KB80" s="112" t="str">
        <f>HYPERLINK("http://www.refugeeguide.de/dl/RefugeeGuide_en_925.pdf","x")</f>
        <v>x</v>
      </c>
      <c r="KC80" s="112" t="str">
        <f>HYPERLINK("http://www.gesetze-im-internet.de/englisch_gg/basic_law_for_the_federal_republic_of_germany.pdf","x")</f>
        <v>x</v>
      </c>
      <c r="KD80" s="112" t="str">
        <f>HYPERLINK("http://www.wedel.de/fileadmin/user_upload/media/pdf/Rathaus_und_Politik/20160118_PM_Broschuere.pdf","x")</f>
        <v>x</v>
      </c>
      <c r="KE80" s="112" t="str">
        <f>HYPERLINK("http://www.frauenrechte.de/online/images/downloads/allgemein/TDF_Flyer_Women_Men.pdf","x")</f>
        <v>x</v>
      </c>
      <c r="KF80" s="112" t="str">
        <f>HYPERLINK("http://sab.landtag.sachsen.de/dokumente/landtagskurier/Grundwerte-A5-international_web_08012016.pdf","x")</f>
        <v>x</v>
      </c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1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1"/>
      <c r="MD80" s="112" t="str">
        <f>HYPERLINK("http://www.rki.de/DE/Content/Infekt/IfSG/Belehrungsbogen/belehrungsbogen_lebensmittel_englisch.pdf?__blob=publicationFile","x")</f>
        <v>x</v>
      </c>
      <c r="ME80" s="112"/>
      <c r="MF80" s="112" t="str">
        <f>HYPERLINK("http://www.gdv.de/wp-content/uploads/2016/01/Information_Brandschutz_Fluechtlingsheim_-Sicherheit_mehrsprachig.pdf","x")</f>
        <v>x</v>
      </c>
      <c r="MG80" s="112" t="str">
        <f>HYPERLINK("http://www.gdv.de/wp-content/uploads/2016/01/Information_Verhalten-im-Brandfall_mehrsprachig.pdf","x")</f>
        <v>x</v>
      </c>
      <c r="MH80" s="112" t="str">
        <f>HYPERLINK("http://www.aha-region.de/fileadmin/Download/pdf/aha_Plakat_Muelltrennung_en.pdf","x")</f>
        <v>x</v>
      </c>
      <c r="MI80" s="112" t="str">
        <f>HYPERLINK("http://www.kindersicherheit.de/pdf/2012_poster_achtunggiftig_8sprachig.pdf","x")</f>
        <v>x</v>
      </c>
    </row>
    <row r="81" spans="1:347" x14ac:dyDescent="0.25">
      <c r="A81" s="102" t="s">
        <v>90</v>
      </c>
      <c r="B81" s="127" t="s">
        <v>488</v>
      </c>
      <c r="C81" s="102"/>
      <c r="D81" s="102"/>
      <c r="E81" s="102"/>
      <c r="F81" s="102"/>
      <c r="G81" s="102"/>
      <c r="H81" s="102"/>
      <c r="I81" s="102"/>
      <c r="J81" s="102"/>
      <c r="K81" s="103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2"/>
      <c r="AP81" s="112"/>
      <c r="AQ81" s="112"/>
      <c r="AR81" s="112"/>
      <c r="AS81" s="112"/>
      <c r="AT81" s="112"/>
      <c r="AU81" s="112"/>
      <c r="AV81" s="113"/>
      <c r="AW81" s="114" t="str">
        <f t="shared" si="22"/>
        <v>x</v>
      </c>
      <c r="AX81" s="114" t="str">
        <f t="shared" si="23"/>
        <v>x</v>
      </c>
      <c r="AY81" s="111"/>
      <c r="AZ81" s="111"/>
      <c r="BA81" s="112" t="str">
        <f t="shared" si="24"/>
        <v>x</v>
      </c>
      <c r="BB81" s="112" t="str">
        <f t="shared" si="25"/>
        <v>x</v>
      </c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2" t="str">
        <f t="shared" si="26"/>
        <v>x</v>
      </c>
      <c r="BT81" s="112"/>
      <c r="BU81" s="111"/>
      <c r="BV81" s="112" t="str">
        <f t="shared" si="27"/>
        <v>x</v>
      </c>
      <c r="BW81" s="112"/>
      <c r="BX81" s="112"/>
      <c r="BY81" s="112"/>
      <c r="BZ81" s="112"/>
      <c r="CA81" s="112" t="str">
        <f t="shared" si="28"/>
        <v>x</v>
      </c>
      <c r="CB81" s="112" t="str">
        <f t="shared" si="29"/>
        <v>x</v>
      </c>
      <c r="CC81" s="112" t="str">
        <f t="shared" si="30"/>
        <v>x</v>
      </c>
      <c r="CD81" s="112"/>
      <c r="CE81" s="112"/>
      <c r="CF81" s="111"/>
      <c r="CG81" s="111"/>
      <c r="CH81" s="111"/>
      <c r="CI81" s="111"/>
      <c r="CJ81" s="112"/>
      <c r="CK81" s="112" t="str">
        <f t="shared" si="31"/>
        <v>x</v>
      </c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5"/>
      <c r="DD81" s="112"/>
      <c r="DE81" s="112"/>
      <c r="DF81" s="112" t="str">
        <f t="shared" si="32"/>
        <v>x</v>
      </c>
      <c r="DG81" s="115" t="str">
        <f t="shared" si="33"/>
        <v>x</v>
      </c>
      <c r="DH81" s="112" t="str">
        <f t="shared" si="34"/>
        <v>x</v>
      </c>
      <c r="DI81" s="112" t="str">
        <f t="shared" si="35"/>
        <v>x</v>
      </c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2"/>
      <c r="DV81" s="111"/>
      <c r="DW81" s="111"/>
      <c r="DX81" s="111"/>
      <c r="DY81" s="111"/>
      <c r="DZ81" s="111"/>
      <c r="EA81" s="111"/>
      <c r="EB81" s="112"/>
      <c r="EC81" s="112"/>
      <c r="ED81" s="111"/>
      <c r="EE81" s="111"/>
      <c r="EF81" s="111"/>
      <c r="EG81" s="111"/>
      <c r="EH81" s="111"/>
      <c r="EI81" s="111"/>
      <c r="EJ81" s="112"/>
      <c r="EK81" s="112"/>
      <c r="EL81" s="111"/>
      <c r="EM81" s="112" t="str">
        <f>HYPERLINK("Merkblatt ärztliche Untersuchung durch Gesundheitsämter","x")</f>
        <v>x</v>
      </c>
      <c r="EN81" s="112"/>
      <c r="EO81" s="111"/>
      <c r="EP81" s="117"/>
      <c r="EQ81" s="118"/>
      <c r="ER81" s="112" t="str">
        <f>HYPERLINK("http://www.kvs-sachsen.de/fileadmin/img/Mitglieder/Asylbewerber/Allg-Informationen/Anlagen_2-1_2-2_Hindi_LEK.pdf","x")</f>
        <v>x</v>
      </c>
      <c r="ES81" s="111"/>
      <c r="ET81" s="111"/>
      <c r="EU81" s="111"/>
      <c r="EV81" s="111"/>
      <c r="EW81" s="112" t="str">
        <f t="shared" si="36"/>
        <v>x</v>
      </c>
      <c r="EX81" s="111"/>
      <c r="EY81" s="111"/>
      <c r="EZ81" s="111"/>
      <c r="FA81" s="111"/>
      <c r="FB81" s="111"/>
      <c r="FC81" s="111"/>
      <c r="FD81" s="112" t="str">
        <f t="shared" si="37"/>
        <v>x</v>
      </c>
      <c r="FE81" s="112"/>
      <c r="FF81" s="111"/>
      <c r="FG81" s="111"/>
      <c r="FH81" s="111"/>
      <c r="FI81" s="111"/>
      <c r="FJ81" s="112"/>
      <c r="FK81" s="112"/>
      <c r="FL81" s="111"/>
      <c r="FM81" s="111"/>
      <c r="FN81" s="112"/>
      <c r="FO81" s="112"/>
      <c r="FP81" s="112"/>
      <c r="FQ81" s="111"/>
      <c r="FR81" s="112"/>
      <c r="FS81" s="112"/>
      <c r="FT81" s="112"/>
      <c r="FU81" s="112"/>
      <c r="FV81" s="112"/>
      <c r="FW81" s="112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2"/>
      <c r="GI81" s="111"/>
      <c r="GJ81" s="111"/>
      <c r="GK81" s="111"/>
      <c r="GL81" s="111"/>
      <c r="GM81" s="112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2" t="str">
        <f t="shared" si="38"/>
        <v>x</v>
      </c>
      <c r="HD81" s="111"/>
      <c r="HE81" s="111"/>
      <c r="HF81" s="111"/>
      <c r="HG81" s="111"/>
      <c r="HH81" s="111"/>
      <c r="HI81" s="111"/>
      <c r="HJ81" s="111"/>
      <c r="HK81" s="112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2" t="str">
        <f t="shared" si="39"/>
        <v>x</v>
      </c>
      <c r="HZ81" s="112" t="str">
        <f t="shared" si="40"/>
        <v>x</v>
      </c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2"/>
      <c r="IL81" s="111"/>
      <c r="IM81" s="111"/>
      <c r="IN81" s="111"/>
      <c r="IO81" s="111"/>
      <c r="IP81" s="111"/>
      <c r="IQ81" s="112"/>
      <c r="IR81" s="112"/>
      <c r="IS81" s="111"/>
      <c r="IT81" s="111"/>
      <c r="IU81" s="111"/>
      <c r="IV81" s="112"/>
      <c r="IW81" s="112"/>
      <c r="IX81" s="112"/>
      <c r="IY81" s="112" t="str">
        <f>HYPERLINK("http://www.bamf.de/SharedDocs/Anlagen/DE/Publikationen/Broschueren/broschuere-eat-a4-hi-hindi.pdf?__blob=publicationFile","x")</f>
        <v>x</v>
      </c>
      <c r="IZ81" s="111"/>
      <c r="JA81" s="111"/>
      <c r="JB81" s="111"/>
      <c r="JC81" s="112"/>
      <c r="JD81" s="111"/>
      <c r="JE81" s="112"/>
      <c r="JF81" s="112"/>
      <c r="JG81" s="112"/>
      <c r="JH81" s="112"/>
      <c r="JI81" s="111"/>
      <c r="JJ81" s="112"/>
      <c r="JK81" s="112"/>
      <c r="JL81" s="112"/>
      <c r="JM81" s="112"/>
      <c r="JN81" s="112"/>
      <c r="JO81" s="112"/>
      <c r="JP81" s="112"/>
      <c r="JQ81" s="112"/>
      <c r="JR81" s="112" t="str">
        <f>HYPERLINK("http://www.ibla-germany.de/merkblaetter.php","x")</f>
        <v>x</v>
      </c>
      <c r="JS81" s="112"/>
      <c r="JT81" s="112"/>
      <c r="JU81" s="111"/>
      <c r="JV81" s="111"/>
      <c r="JW81" s="112"/>
      <c r="JX81" s="112"/>
      <c r="JY81" s="111"/>
      <c r="JZ81" s="111"/>
      <c r="KA81" s="111"/>
      <c r="KB81" s="111"/>
      <c r="KC81" s="111"/>
      <c r="KD81" s="111"/>
      <c r="KE81" s="111"/>
      <c r="KF81" s="112"/>
      <c r="KG81" s="111"/>
      <c r="KH81" s="111"/>
      <c r="KI81" s="111"/>
      <c r="KJ81" s="111"/>
      <c r="KK81" s="111"/>
      <c r="KL81" s="111"/>
      <c r="KM81" s="111"/>
      <c r="KN81" s="111"/>
      <c r="KO81" s="111"/>
      <c r="KP81" s="111"/>
      <c r="KQ81" s="111"/>
      <c r="KR81" s="111"/>
      <c r="KS81" s="111"/>
      <c r="KT81" s="111"/>
      <c r="KU81" s="111"/>
      <c r="KV81" s="111"/>
      <c r="KW81" s="111"/>
      <c r="KX81" s="111"/>
      <c r="KY81" s="111"/>
      <c r="KZ81" s="111"/>
      <c r="LA81" s="111"/>
      <c r="LB81" s="111"/>
      <c r="LC81" s="111"/>
      <c r="LD81" s="111"/>
      <c r="LE81" s="111"/>
      <c r="LF81" s="111"/>
      <c r="LG81" s="111"/>
      <c r="LH81" s="111"/>
      <c r="LI81" s="111"/>
      <c r="LJ81" s="111"/>
      <c r="LK81" s="111"/>
      <c r="LL81" s="111"/>
      <c r="LM81" s="111"/>
      <c r="LN81" s="111"/>
      <c r="LO81" s="111"/>
      <c r="LP81" s="111"/>
      <c r="LQ81" s="111"/>
      <c r="LR81" s="111"/>
      <c r="LS81" s="111"/>
      <c r="LT81" s="111"/>
      <c r="LU81" s="111"/>
      <c r="LV81" s="111"/>
      <c r="LW81" s="111"/>
      <c r="LX81" s="111"/>
      <c r="LY81" s="111"/>
      <c r="LZ81" s="111"/>
      <c r="MA81" s="111"/>
      <c r="MB81" s="111"/>
      <c r="MC81" s="111"/>
      <c r="MD81" s="111"/>
      <c r="ME81" s="111"/>
      <c r="MF81" s="111"/>
      <c r="MG81" s="111"/>
      <c r="MH81" s="111"/>
      <c r="MI81" s="111"/>
    </row>
    <row r="82" spans="1:347" x14ac:dyDescent="0.25">
      <c r="A82" s="102" t="s">
        <v>90</v>
      </c>
      <c r="B82" s="127" t="s">
        <v>491</v>
      </c>
      <c r="C82" s="102"/>
      <c r="D82" s="102"/>
      <c r="E82" s="102"/>
      <c r="F82" s="102"/>
      <c r="G82" s="102"/>
      <c r="H82" s="102"/>
      <c r="I82" s="102"/>
      <c r="J82" s="102"/>
      <c r="K82" s="103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2"/>
      <c r="AP82" s="112"/>
      <c r="AQ82" s="112"/>
      <c r="AR82" s="112"/>
      <c r="AS82" s="112"/>
      <c r="AT82" s="112"/>
      <c r="AU82" s="112"/>
      <c r="AV82" s="113"/>
      <c r="AW82" s="114" t="str">
        <f t="shared" si="22"/>
        <v>x</v>
      </c>
      <c r="AX82" s="114" t="str">
        <f t="shared" si="23"/>
        <v>x</v>
      </c>
      <c r="AY82" s="111"/>
      <c r="AZ82" s="111"/>
      <c r="BA82" s="112" t="str">
        <f t="shared" si="24"/>
        <v>x</v>
      </c>
      <c r="BB82" s="112" t="str">
        <f t="shared" si="25"/>
        <v>x</v>
      </c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2" t="str">
        <f t="shared" si="26"/>
        <v>x</v>
      </c>
      <c r="BT82" s="112"/>
      <c r="BU82" s="111"/>
      <c r="BV82" s="112" t="str">
        <f t="shared" si="27"/>
        <v>x</v>
      </c>
      <c r="BW82" s="112"/>
      <c r="BX82" s="112"/>
      <c r="BY82" s="112"/>
      <c r="BZ82" s="112"/>
      <c r="CA82" s="112" t="str">
        <f t="shared" si="28"/>
        <v>x</v>
      </c>
      <c r="CB82" s="112" t="str">
        <f t="shared" si="29"/>
        <v>x</v>
      </c>
      <c r="CC82" s="112" t="str">
        <f t="shared" si="30"/>
        <v>x</v>
      </c>
      <c r="CD82" s="112"/>
      <c r="CE82" s="112"/>
      <c r="CF82" s="111"/>
      <c r="CG82" s="111"/>
      <c r="CH82" s="111"/>
      <c r="CI82" s="111"/>
      <c r="CJ82" s="112"/>
      <c r="CK82" s="112" t="str">
        <f t="shared" si="31"/>
        <v>x</v>
      </c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5"/>
      <c r="DD82" s="112"/>
      <c r="DE82" s="112"/>
      <c r="DF82" s="112" t="str">
        <f t="shared" si="32"/>
        <v>x</v>
      </c>
      <c r="DG82" s="115" t="str">
        <f t="shared" si="33"/>
        <v>x</v>
      </c>
      <c r="DH82" s="112" t="str">
        <f t="shared" si="34"/>
        <v>x</v>
      </c>
      <c r="DI82" s="112" t="str">
        <f t="shared" si="35"/>
        <v>x</v>
      </c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2"/>
      <c r="DV82" s="111"/>
      <c r="DW82" s="111"/>
      <c r="DX82" s="111"/>
      <c r="DY82" s="111"/>
      <c r="DZ82" s="111"/>
      <c r="EA82" s="111"/>
      <c r="EB82" s="112"/>
      <c r="EC82" s="112"/>
      <c r="ED82" s="111"/>
      <c r="EE82" s="111"/>
      <c r="EF82" s="111"/>
      <c r="EG82" s="111"/>
      <c r="EH82" s="111"/>
      <c r="EI82" s="111"/>
      <c r="EJ82" s="112"/>
      <c r="EK82" s="112"/>
      <c r="EL82" s="111"/>
      <c r="EM82" s="112" t="str">
        <f>HYPERLINK("http://www.kvs-sachsen.de/fileadmin/img/Mitglieder/Asylbewerber/Allg-Informationen/Anlage_1_Punjabi_LEK.pdf","x")</f>
        <v>x</v>
      </c>
      <c r="EN82" s="112"/>
      <c r="EO82" s="111"/>
      <c r="EP82" s="117"/>
      <c r="EQ82" s="118"/>
      <c r="ER82" s="112" t="str">
        <f>HYPERLINK("http://www.kvs-sachsen.de/fileadmin/img/Mitglieder/Asylbewerber/Allg-Informationen/Anlagen_2-1_2-2_Punjabi_LEK.pdf","x")</f>
        <v>x</v>
      </c>
      <c r="ES82" s="111"/>
      <c r="ET82" s="111"/>
      <c r="EU82" s="111"/>
      <c r="EV82" s="111"/>
      <c r="EW82" s="112" t="str">
        <f t="shared" si="36"/>
        <v>x</v>
      </c>
      <c r="EX82" s="111"/>
      <c r="EY82" s="111"/>
      <c r="EZ82" s="111"/>
      <c r="FA82" s="111"/>
      <c r="FB82" s="111"/>
      <c r="FC82" s="111"/>
      <c r="FD82" s="112" t="str">
        <f t="shared" si="37"/>
        <v>x</v>
      </c>
      <c r="FE82" s="112"/>
      <c r="FF82" s="111"/>
      <c r="FG82" s="111"/>
      <c r="FH82" s="111"/>
      <c r="FI82" s="111"/>
      <c r="FJ82" s="112"/>
      <c r="FK82" s="112"/>
      <c r="FL82" s="111"/>
      <c r="FM82" s="111"/>
      <c r="FN82" s="112"/>
      <c r="FO82" s="112"/>
      <c r="FP82" s="112"/>
      <c r="FQ82" s="111"/>
      <c r="FR82" s="112"/>
      <c r="FS82" s="112"/>
      <c r="FT82" s="112"/>
      <c r="FU82" s="112"/>
      <c r="FV82" s="112"/>
      <c r="FW82" s="112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2"/>
      <c r="GI82" s="111"/>
      <c r="GJ82" s="111"/>
      <c r="GK82" s="111"/>
      <c r="GL82" s="111"/>
      <c r="GM82" s="112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2" t="str">
        <f t="shared" si="38"/>
        <v>x</v>
      </c>
      <c r="HD82" s="111"/>
      <c r="HE82" s="111"/>
      <c r="HF82" s="111"/>
      <c r="HG82" s="111"/>
      <c r="HH82" s="111"/>
      <c r="HI82" s="111"/>
      <c r="HJ82" s="111"/>
      <c r="HK82" s="112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2" t="str">
        <f t="shared" si="39"/>
        <v>x</v>
      </c>
      <c r="HZ82" s="112" t="str">
        <f t="shared" si="40"/>
        <v>x</v>
      </c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2"/>
      <c r="IL82" s="111"/>
      <c r="IM82" s="111"/>
      <c r="IN82" s="111"/>
      <c r="IO82" s="111"/>
      <c r="IP82" s="111"/>
      <c r="IQ82" s="112"/>
      <c r="IR82" s="112"/>
      <c r="IS82" s="111"/>
      <c r="IT82" s="111"/>
      <c r="IU82" s="111"/>
      <c r="IV82" s="112"/>
      <c r="IW82" s="112"/>
      <c r="IX82" s="112"/>
      <c r="IY82" s="112"/>
      <c r="IZ82" s="111"/>
      <c r="JA82" s="111"/>
      <c r="JB82" s="111"/>
      <c r="JC82" s="112"/>
      <c r="JD82" s="111"/>
      <c r="JE82" s="112"/>
      <c r="JF82" s="112"/>
      <c r="JG82" s="112"/>
      <c r="JH82" s="112"/>
      <c r="JI82" s="111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1"/>
      <c r="JV82" s="111"/>
      <c r="JW82" s="112"/>
      <c r="JX82" s="112"/>
      <c r="JY82" s="111"/>
      <c r="JZ82" s="111"/>
      <c r="KA82" s="111"/>
      <c r="KB82" s="111"/>
      <c r="KC82" s="111"/>
      <c r="KD82" s="111"/>
      <c r="KE82" s="111"/>
      <c r="KF82" s="112"/>
      <c r="KG82" s="111"/>
      <c r="KH82" s="111"/>
      <c r="KI82" s="111"/>
      <c r="KJ82" s="111"/>
      <c r="KK82" s="111"/>
      <c r="KL82" s="111"/>
      <c r="KM82" s="111"/>
      <c r="KN82" s="111"/>
      <c r="KO82" s="111"/>
      <c r="KP82" s="111"/>
      <c r="KQ82" s="111"/>
      <c r="KR82" s="111"/>
      <c r="KS82" s="111"/>
      <c r="KT82" s="111"/>
      <c r="KU82" s="111"/>
      <c r="KV82" s="111"/>
      <c r="KW82" s="111"/>
      <c r="KX82" s="111"/>
      <c r="KY82" s="111"/>
      <c r="KZ82" s="111"/>
      <c r="LA82" s="111"/>
      <c r="LB82" s="111"/>
      <c r="LC82" s="111"/>
      <c r="LD82" s="111"/>
      <c r="LE82" s="111"/>
      <c r="LF82" s="111"/>
      <c r="LG82" s="111"/>
      <c r="LH82" s="111"/>
      <c r="LI82" s="111"/>
      <c r="LJ82" s="111"/>
      <c r="LK82" s="111"/>
      <c r="LL82" s="111"/>
      <c r="LM82" s="111"/>
      <c r="LN82" s="111"/>
      <c r="LO82" s="111"/>
      <c r="LP82" s="111"/>
      <c r="LQ82" s="111"/>
      <c r="LR82" s="111"/>
      <c r="LS82" s="111"/>
      <c r="LT82" s="111"/>
      <c r="LU82" s="111"/>
      <c r="LV82" s="111"/>
      <c r="LW82" s="111"/>
      <c r="LX82" s="111"/>
      <c r="LY82" s="111"/>
      <c r="LZ82" s="111"/>
      <c r="MA82" s="111"/>
      <c r="MB82" s="111"/>
      <c r="MC82" s="111"/>
      <c r="MD82" s="111"/>
      <c r="ME82" s="111"/>
      <c r="MF82" s="111"/>
      <c r="MG82" s="111"/>
      <c r="MH82" s="111"/>
      <c r="MI82" s="111"/>
    </row>
    <row r="83" spans="1:347" x14ac:dyDescent="0.25">
      <c r="A83" s="102" t="s">
        <v>90</v>
      </c>
      <c r="B83" s="127" t="s">
        <v>476</v>
      </c>
      <c r="C83" s="102"/>
      <c r="D83" s="102"/>
      <c r="E83" s="102"/>
      <c r="F83" s="102"/>
      <c r="G83" s="102"/>
      <c r="H83" s="102"/>
      <c r="I83" s="102"/>
      <c r="J83" s="102"/>
      <c r="K83" s="103"/>
      <c r="L83" s="111"/>
      <c r="M83" s="111"/>
      <c r="N83" s="112"/>
      <c r="O83" s="112"/>
      <c r="P83" s="112"/>
      <c r="Q83" s="112"/>
      <c r="R83" s="112"/>
      <c r="S83" s="112"/>
      <c r="T83" s="112"/>
      <c r="U83" s="112"/>
      <c r="V83" s="112"/>
      <c r="W83" s="111"/>
      <c r="X83" s="112"/>
      <c r="Y83" s="111"/>
      <c r="Z83" s="111"/>
      <c r="AA83" s="111"/>
      <c r="AB83" s="111"/>
      <c r="AC83" s="111"/>
      <c r="AD83" s="112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2"/>
      <c r="AP83" s="112"/>
      <c r="AQ83" s="112"/>
      <c r="AR83" s="112"/>
      <c r="AS83" s="112"/>
      <c r="AT83" s="112"/>
      <c r="AU83" s="112"/>
      <c r="AV83" s="113"/>
      <c r="AW83" s="114" t="str">
        <f t="shared" si="22"/>
        <v>x</v>
      </c>
      <c r="AX83" s="114" t="str">
        <f t="shared" si="23"/>
        <v>x</v>
      </c>
      <c r="AY83" s="111"/>
      <c r="AZ83" s="111"/>
      <c r="BA83" s="112" t="str">
        <f t="shared" si="24"/>
        <v>x</v>
      </c>
      <c r="BB83" s="112" t="str">
        <f t="shared" si="25"/>
        <v>x</v>
      </c>
      <c r="BC83" s="111"/>
      <c r="BD83" s="111"/>
      <c r="BE83" s="111"/>
      <c r="BF83" s="111"/>
      <c r="BG83" s="111"/>
      <c r="BH83" s="112"/>
      <c r="BI83" s="112"/>
      <c r="BJ83" s="111"/>
      <c r="BK83" s="111"/>
      <c r="BL83" s="111"/>
      <c r="BM83" s="111"/>
      <c r="BN83" s="111"/>
      <c r="BO83" s="111"/>
      <c r="BP83" s="111"/>
      <c r="BQ83" s="111"/>
      <c r="BR83" s="111"/>
      <c r="BS83" s="112" t="str">
        <f t="shared" si="26"/>
        <v>x</v>
      </c>
      <c r="BT83" s="112"/>
      <c r="BU83" s="111"/>
      <c r="BV83" s="112" t="str">
        <f t="shared" si="27"/>
        <v>x</v>
      </c>
      <c r="BW83" s="112"/>
      <c r="BX83" s="112"/>
      <c r="BY83" s="112"/>
      <c r="BZ83" s="112"/>
      <c r="CA83" s="112" t="str">
        <f t="shared" si="28"/>
        <v>x</v>
      </c>
      <c r="CB83" s="112" t="str">
        <f t="shared" si="29"/>
        <v>x</v>
      </c>
      <c r="CC83" s="112" t="str">
        <f t="shared" si="30"/>
        <v>x</v>
      </c>
      <c r="CD83" s="112"/>
      <c r="CE83" s="112"/>
      <c r="CF83" s="111"/>
      <c r="CG83" s="112"/>
      <c r="CH83" s="112"/>
      <c r="CI83" s="112"/>
      <c r="CJ83" s="112"/>
      <c r="CK83" s="112" t="str">
        <f t="shared" si="31"/>
        <v>x</v>
      </c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5"/>
      <c r="DD83" s="112"/>
      <c r="DE83" s="112"/>
      <c r="DF83" s="112" t="str">
        <f t="shared" si="32"/>
        <v>x</v>
      </c>
      <c r="DG83" s="115" t="str">
        <f t="shared" si="33"/>
        <v>x</v>
      </c>
      <c r="DH83" s="112" t="str">
        <f t="shared" si="34"/>
        <v>x</v>
      </c>
      <c r="DI83" s="112" t="str">
        <f t="shared" si="35"/>
        <v>x</v>
      </c>
      <c r="DJ83" s="112" t="str">
        <f>HYPERLINK("http://www.bibliomedia.ch/de/angebote/dokumente/Glossar_tamil.pdf","x")</f>
        <v>x</v>
      </c>
      <c r="DK83" s="112"/>
      <c r="DL83" s="112"/>
      <c r="DM83" s="112"/>
      <c r="DN83" s="112"/>
      <c r="DO83" s="112"/>
      <c r="DP83" s="111"/>
      <c r="DQ83" s="112"/>
      <c r="DR83" s="112"/>
      <c r="DS83" s="112"/>
      <c r="DT83" s="112"/>
      <c r="DU83" s="112"/>
      <c r="DV83" s="112"/>
      <c r="DW83" s="111"/>
      <c r="DX83" s="111"/>
      <c r="DY83" s="111"/>
      <c r="DZ83" s="112"/>
      <c r="EA83" s="112"/>
      <c r="EB83" s="112"/>
      <c r="EC83" s="112"/>
      <c r="ED83" s="111"/>
      <c r="EE83" s="111"/>
      <c r="EF83" s="111"/>
      <c r="EG83" s="111"/>
      <c r="EH83" s="111"/>
      <c r="EI83" s="111"/>
      <c r="EJ83" s="112"/>
      <c r="EK83" s="112"/>
      <c r="EL83" s="115"/>
      <c r="EM83" s="112"/>
      <c r="EN83" s="112"/>
      <c r="EO83" s="111"/>
      <c r="EP83" s="117"/>
      <c r="EQ83" s="117"/>
      <c r="ER83" s="112"/>
      <c r="ES83" s="111"/>
      <c r="ET83" s="111"/>
      <c r="EU83" s="111"/>
      <c r="EV83" s="112"/>
      <c r="EW83" s="112" t="str">
        <f t="shared" si="36"/>
        <v>x</v>
      </c>
      <c r="EX83" s="112"/>
      <c r="EY83" s="112"/>
      <c r="EZ83" s="112"/>
      <c r="FA83" s="112"/>
      <c r="FB83" s="116"/>
      <c r="FC83" s="111"/>
      <c r="FD83" s="112" t="str">
        <f t="shared" si="37"/>
        <v>x</v>
      </c>
      <c r="FE83" s="112"/>
      <c r="FF83" s="112"/>
      <c r="FG83" s="111"/>
      <c r="FH83" s="111"/>
      <c r="FI83" s="111"/>
      <c r="FJ83" s="112"/>
      <c r="FK83" s="112"/>
      <c r="FL83" s="112"/>
      <c r="FM83" s="112"/>
      <c r="FN83" s="112"/>
      <c r="FO83" s="112"/>
      <c r="FP83" s="112"/>
      <c r="FQ83" s="112"/>
      <c r="FR83" s="112"/>
      <c r="FS83" s="112"/>
      <c r="FT83" s="112"/>
      <c r="FU83" s="112"/>
      <c r="FV83" s="112"/>
      <c r="FW83" s="112"/>
      <c r="FX83" s="112"/>
      <c r="FY83" s="112"/>
      <c r="FZ83" s="112"/>
      <c r="GA83" s="112"/>
      <c r="GB83" s="112"/>
      <c r="GC83" s="112"/>
      <c r="GD83" s="115"/>
      <c r="GE83" s="112"/>
      <c r="GF83" s="112"/>
      <c r="GG83" s="112"/>
      <c r="GH83" s="112"/>
      <c r="GI83" s="112"/>
      <c r="GJ83" s="112"/>
      <c r="GK83" s="111"/>
      <c r="GL83" s="111"/>
      <c r="GM83" s="112"/>
      <c r="GN83" s="112"/>
      <c r="GO83" s="112"/>
      <c r="GP83" s="112"/>
      <c r="GQ83" s="112"/>
      <c r="GR83" s="111"/>
      <c r="GS83" s="111"/>
      <c r="GT83" s="115"/>
      <c r="GU83" s="112"/>
      <c r="GV83" s="112"/>
      <c r="GW83" s="112"/>
      <c r="GX83" s="112"/>
      <c r="GY83" s="112"/>
      <c r="GZ83" s="112"/>
      <c r="HA83" s="112"/>
      <c r="HB83" s="112"/>
      <c r="HC83" s="112" t="str">
        <f t="shared" si="38"/>
        <v>x</v>
      </c>
      <c r="HD83" s="112"/>
      <c r="HE83" s="112"/>
      <c r="HF83" s="112"/>
      <c r="HG83" s="112"/>
      <c r="HH83" s="112"/>
      <c r="HI83" s="112"/>
      <c r="HJ83" s="112"/>
      <c r="HK83" s="112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2" t="str">
        <f t="shared" si="39"/>
        <v>x</v>
      </c>
      <c r="HZ83" s="112" t="str">
        <f t="shared" si="40"/>
        <v>x</v>
      </c>
      <c r="IA83" s="115"/>
      <c r="IB83" s="115"/>
      <c r="IC83" s="115"/>
      <c r="ID83" s="115"/>
      <c r="IE83" s="115"/>
      <c r="IF83" s="115"/>
      <c r="IG83" s="115"/>
      <c r="IH83" s="112"/>
      <c r="II83" s="115"/>
      <c r="IJ83" s="115"/>
      <c r="IK83" s="112"/>
      <c r="IL83" s="111"/>
      <c r="IM83" s="111"/>
      <c r="IN83" s="112"/>
      <c r="IO83" s="112"/>
      <c r="IP83" s="111"/>
      <c r="IQ83" s="112"/>
      <c r="IR83" s="112"/>
      <c r="IS83" s="111"/>
      <c r="IT83" s="111"/>
      <c r="IU83" s="111"/>
      <c r="IV83" s="112"/>
      <c r="IW83" s="112"/>
      <c r="IX83" s="112"/>
      <c r="IY83" s="112" t="str">
        <f>HYPERLINK("http://www.bamf.de/SharedDocs/Anlagen/DE/Publikationen/Broschueren/broschuere-eat-a4-ta-tamilisch.pdf?__blob=publicationFile","x")</f>
        <v>x</v>
      </c>
      <c r="IZ83" s="111"/>
      <c r="JA83" s="111"/>
      <c r="JB83" s="111"/>
      <c r="JC83" s="112"/>
      <c r="JD83" s="111"/>
      <c r="JE83" s="112"/>
      <c r="JF83" s="112"/>
      <c r="JG83" s="112"/>
      <c r="JH83" s="112"/>
      <c r="JI83" s="111"/>
      <c r="JJ83" s="112"/>
      <c r="JK83" s="112"/>
      <c r="JL83" s="112"/>
      <c r="JM83" s="112"/>
      <c r="JN83" s="112"/>
      <c r="JO83" s="112"/>
      <c r="JP83" s="112"/>
      <c r="JQ83" s="112"/>
      <c r="JR83" s="112" t="str">
        <f>HYPERLINK("http://www.ibla-germany.de/merkblaetter.php","x")</f>
        <v>x</v>
      </c>
      <c r="JS83" s="112"/>
      <c r="JT83" s="111"/>
      <c r="JU83" s="111"/>
      <c r="JV83" s="111"/>
      <c r="JW83" s="112"/>
      <c r="JX83" s="112"/>
      <c r="JY83" s="112"/>
      <c r="JZ83" s="112"/>
      <c r="KA83" s="112"/>
      <c r="KB83" s="112"/>
      <c r="KC83" s="112"/>
      <c r="KD83" s="112"/>
      <c r="KE83" s="112"/>
      <c r="KF83" s="111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  <c r="KY83" s="112"/>
      <c r="KZ83" s="112"/>
      <c r="LA83" s="112"/>
      <c r="LB83" s="112"/>
      <c r="LC83" s="111"/>
      <c r="LD83" s="111"/>
      <c r="LE83" s="111"/>
      <c r="LF83" s="111"/>
      <c r="LG83" s="111"/>
      <c r="LH83" s="111"/>
      <c r="LI83" s="111"/>
      <c r="LJ83" s="111"/>
      <c r="LK83" s="111"/>
      <c r="LL83" s="111"/>
      <c r="LM83" s="111"/>
      <c r="LN83" s="111"/>
      <c r="LO83" s="111"/>
      <c r="LP83" s="111"/>
      <c r="LQ83" s="111"/>
      <c r="LR83" s="111"/>
      <c r="LS83" s="111"/>
      <c r="LT83" s="111"/>
      <c r="LU83" s="111"/>
      <c r="LV83" s="111"/>
      <c r="LW83" s="111"/>
      <c r="LX83" s="111"/>
      <c r="LY83" s="111"/>
      <c r="LZ83" s="111"/>
      <c r="MA83" s="111"/>
      <c r="MB83" s="111"/>
      <c r="MC83" s="111"/>
      <c r="MD83" s="112"/>
      <c r="ME83" s="111"/>
      <c r="MF83" s="111"/>
      <c r="MG83" s="111"/>
      <c r="MH83" s="111"/>
      <c r="MI83" s="112"/>
    </row>
    <row r="84" spans="1:347" x14ac:dyDescent="0.25">
      <c r="A84" s="102" t="s">
        <v>90</v>
      </c>
      <c r="B84" s="127" t="s">
        <v>12</v>
      </c>
      <c r="C84" s="102"/>
      <c r="D84" s="102"/>
      <c r="E84" s="102"/>
      <c r="F84" s="102"/>
      <c r="G84" s="102"/>
      <c r="H84" s="102"/>
      <c r="I84" s="102"/>
      <c r="J84" s="102"/>
      <c r="K84" s="103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3"/>
      <c r="AW84" s="114" t="str">
        <f t="shared" si="22"/>
        <v>x</v>
      </c>
      <c r="AX84" s="114" t="str">
        <f t="shared" si="23"/>
        <v>x</v>
      </c>
      <c r="AY84" s="111"/>
      <c r="AZ84" s="111"/>
      <c r="BA84" s="112" t="str">
        <f t="shared" si="24"/>
        <v>x</v>
      </c>
      <c r="BB84" s="112" t="str">
        <f t="shared" si="25"/>
        <v>x</v>
      </c>
      <c r="BC84" s="111"/>
      <c r="BD84" s="111"/>
      <c r="BE84" s="111"/>
      <c r="BF84" s="111"/>
      <c r="BG84" s="111"/>
      <c r="BH84" s="112" t="str">
        <f>HYPERLINK("http://www.refugeephrasebook.de/pdf/germany150920.pdf","x")</f>
        <v>x</v>
      </c>
      <c r="BI84" s="112" t="str">
        <f>HYPERLINK("https://www.advanced-online.eu/downloads/RefugeePhrasebookCards_German-Urdu.pdf","x")</f>
        <v>x</v>
      </c>
      <c r="BJ84" s="111"/>
      <c r="BK84" s="111"/>
      <c r="BL84" s="111"/>
      <c r="BM84" s="111"/>
      <c r="BN84" s="111"/>
      <c r="BO84" s="111"/>
      <c r="BP84" s="111"/>
      <c r="BQ84" s="111"/>
      <c r="BR84" s="111"/>
      <c r="BS84" s="112" t="str">
        <f t="shared" si="26"/>
        <v>x</v>
      </c>
      <c r="BT84" s="112"/>
      <c r="BU84" s="111"/>
      <c r="BV84" s="112" t="str">
        <f t="shared" si="27"/>
        <v>x</v>
      </c>
      <c r="BW84" s="112" t="str">
        <f>HYPERLINK("http://www.welcomegrooves.de/wp-content/uploads/2015/11/welcomegrooves_DE-URDU_V2.pdf","x")</f>
        <v>x</v>
      </c>
      <c r="BX84" s="112"/>
      <c r="BY84" s="112"/>
      <c r="BZ84" s="112" t="str">
        <f>HYPERLINK("http://fluechtlingshilfe-nettetal.de/ausbildung/video-sprachkurse-deutsch-fuer-fluechtlinge/video-sprachkurs-urdu-deutsch/","x")</f>
        <v>x</v>
      </c>
      <c r="CA84" s="112" t="str">
        <f t="shared" si="28"/>
        <v>x</v>
      </c>
      <c r="CB84" s="112" t="str">
        <f t="shared" si="29"/>
        <v>x</v>
      </c>
      <c r="CC84" s="112" t="str">
        <f t="shared" si="30"/>
        <v>x</v>
      </c>
      <c r="CD84" s="112"/>
      <c r="CE84" s="112"/>
      <c r="CF84" s="111"/>
      <c r="CG84" s="111"/>
      <c r="CH84" s="111"/>
      <c r="CI84" s="111"/>
      <c r="CJ84" s="111"/>
      <c r="CK84" s="112" t="str">
        <f t="shared" si="31"/>
        <v>x</v>
      </c>
      <c r="CL84" s="112"/>
      <c r="CM84" s="112"/>
      <c r="CN84" s="112"/>
      <c r="CO84" s="112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2"/>
      <c r="DA84" s="112"/>
      <c r="DB84" s="112"/>
      <c r="DC84" s="115"/>
      <c r="DD84" s="112"/>
      <c r="DE84" s="112"/>
      <c r="DF84" s="112" t="str">
        <f t="shared" si="32"/>
        <v>x</v>
      </c>
      <c r="DG84" s="115" t="str">
        <f t="shared" si="33"/>
        <v>x</v>
      </c>
      <c r="DH84" s="112" t="str">
        <f t="shared" si="34"/>
        <v>x</v>
      </c>
      <c r="DI84" s="112" t="str">
        <f t="shared" si="35"/>
        <v>x</v>
      </c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2" t="str">
        <f>HYPERLINK("http://www.kvs-sachsen.de/fileadmin/img/Mitglieder/Asylbewerber/Allg-Informationen/Anlage_1_Urdu_LEK.pdf","x")</f>
        <v>x</v>
      </c>
      <c r="EN84" s="111"/>
      <c r="EO84" s="111"/>
      <c r="EP84" s="117" t="str">
        <f>HYPERLINK("http://www.medi-bild.de/pdf/anamnese/Welche_Sprache.pdf","x")</f>
        <v>x</v>
      </c>
      <c r="EQ84" s="118"/>
      <c r="ER84" s="112" t="str">
        <f>HYPERLINK("http://www.kvs-sachsen.de/fileadmin/img/Mitglieder/Asylbewerber/Allg-Informationen/Anlagen_2-1_2-2_Urdu_LEK.pdf","x")</f>
        <v>x</v>
      </c>
      <c r="ES84" s="111"/>
      <c r="ET84" s="111"/>
      <c r="EU84" s="111"/>
      <c r="EV84" s="111"/>
      <c r="EW84" s="112" t="str">
        <f t="shared" si="36"/>
        <v>x</v>
      </c>
      <c r="EX84" s="111"/>
      <c r="EY84" s="111"/>
      <c r="EZ84" s="111"/>
      <c r="FA84" s="111"/>
      <c r="FB84" s="111"/>
      <c r="FC84" s="111"/>
      <c r="FD84" s="112" t="str">
        <f t="shared" si="37"/>
        <v>x</v>
      </c>
      <c r="FE84" s="112" t="str">
        <f>HYPERLINK("http://sghanstedt.elbnetz.com/ueber-uns/","x")</f>
        <v>x</v>
      </c>
      <c r="FF84" s="111"/>
      <c r="FG84" s="112" t="str">
        <f>HYPERLINK("http://www.tipdoc.de/grafik/asyl/Gesundheitsheft_Asyl.pdf","x")</f>
        <v>x</v>
      </c>
      <c r="FH84" s="111"/>
      <c r="FI84" s="111"/>
      <c r="FJ84" s="112"/>
      <c r="FK84" s="112" t="str">
        <f>HYPERLINK("http://www.rki.de/DE/Content/Infekt/Impfen/Materialien/Downloads-Impfkalender/Impfkalender_Urdu.pdf?__blob=publicationFile","x")</f>
        <v>x</v>
      </c>
      <c r="FL84" s="111"/>
      <c r="FM84" s="111"/>
      <c r="FN84" s="112" t="str">
        <f>HYPERLINK("http://www.rki.de/DE/Content/Infekt/Impfen/Materialien/Glossar-Downloads/glossar-de-urdu.pdf?__blob=publicationFile","x")</f>
        <v>x</v>
      </c>
      <c r="FO84" s="112"/>
      <c r="FP84" s="112" t="str">
        <f>HYPERLINK("http://www.rki.de/DE/Content/Infekt/Impfen/Materialien/Downloads-MMR/MMR-Impfinfo-urdu.pdf?__blob=publicationFile","x")</f>
        <v>x</v>
      </c>
      <c r="FQ84" s="111"/>
      <c r="FR84" s="112" t="str">
        <f>HYPERLINK("http://www.rki.de/DE/Content/Infekt/Impfen/Materialien/Downloads_HepA/Aufklaerung_HAV-Impfung_Urdu.pdf?__blob=publicationFile","x")</f>
        <v>x</v>
      </c>
      <c r="FS84" s="112" t="str">
        <f>HYPERLINK("http://www.rki.de/DE/Content/Infekt/Impfen/Materialien/Downloads_Pneumokokken/Aufklaerung_Pneumo-Impfung_Urdu.pdf?__blob=publicationFile","x")</f>
        <v>x</v>
      </c>
      <c r="FT84" s="112" t="str">
        <f>HYPERLINK("http://www.rki.de/DE/Content/Infekt/Impfen/Materialien/Downloads-DTaPIPVHibHepB/DTaPIPVHibHepB-urdu.pdf?__blob=publicationFile","x")</f>
        <v>x</v>
      </c>
      <c r="FU84" s="112" t="str">
        <f>HYPERLINK("http://www.rki.de/DE/Content/Infekt/Impfen/Materialien/Downloads-Varizellen/Varizellen-Impfinfo-urdu.pdf;jsessionid=65B697F4EE7EDA8A1ED9E2C4CD6C74EC.2_cid363?__blob=publicationFile","x")</f>
        <v>x</v>
      </c>
      <c r="FV84" s="112" t="str">
        <f>HYPERLINK("http://www.rki.de/DE/Content/Infekt/Impfen/Materialien/Downloads-Tdap-IPV/Tdap-IPV-urdu.pdf?__blob=publicationFile","x")</f>
        <v>x</v>
      </c>
      <c r="FW84" s="112" t="str">
        <f>HYPERLINK("http://www.rki.de/DE/Content/Infekt/Impfen/Materialien/Downloads-Influenza_nasal/Influenza_nasal-urdu.pdf?__blob=publicationFile","x")</f>
        <v>x</v>
      </c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2" t="str">
        <f>HYPERLINK("http://www.rki.de/DE/Content/Infekt/Impfen/Materialien/Downloads-Influenza/Influenza-urdu.pdf?__blob=publicationFile","x")</f>
        <v>x</v>
      </c>
      <c r="GN84" s="111"/>
      <c r="GO84" s="111"/>
      <c r="GP84" s="112" t="str">
        <f>HYPERLINK("http://www.tipdoc.de/grafik/pdf/kopflaeuse/Kopflaeuse_URDU.pdf","x")</f>
        <v>x</v>
      </c>
      <c r="GQ84" s="112"/>
      <c r="GR84" s="112" t="str">
        <f>HYPERLINK("http://www.tipdoc.com/bus/pdf/kraetze/tipdoc_Scabies_URDU.pdf","x")</f>
        <v>x</v>
      </c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2" t="str">
        <f t="shared" si="38"/>
        <v>x</v>
      </c>
      <c r="HD84" s="111"/>
      <c r="HE84" s="111"/>
      <c r="HF84" s="111"/>
      <c r="HG84" s="111"/>
      <c r="HH84" s="111"/>
      <c r="HI84" s="111"/>
      <c r="HJ84" s="111"/>
      <c r="HK84" s="112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2" t="str">
        <f t="shared" si="39"/>
        <v>x</v>
      </c>
      <c r="HZ84" s="112" t="str">
        <f t="shared" si="40"/>
        <v>x</v>
      </c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2" t="str">
        <f>HYPERLINK("http://www.bamf.de/SharedDocs/Anlagen/DE/Publikationen/Flyer/flyer-erstorientierung-asylsuchende_urdu.pdf?__blob=publicationFile","x")</f>
        <v>x</v>
      </c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1"/>
      <c r="JF84" s="111"/>
      <c r="JG84" s="111"/>
      <c r="JH84" s="111"/>
      <c r="JI84" s="111"/>
      <c r="JJ84" s="111"/>
      <c r="JK84" s="111"/>
      <c r="JL84" s="111"/>
      <c r="JM84" s="111"/>
      <c r="JN84" s="111"/>
      <c r="JO84" s="111"/>
      <c r="JP84" s="111"/>
      <c r="JQ84" s="111"/>
      <c r="JR84" s="111"/>
      <c r="JS84" s="111"/>
      <c r="JT84" s="111"/>
      <c r="JU84" s="111"/>
      <c r="JV84" s="111"/>
      <c r="JW84" s="111"/>
      <c r="JX84" s="111"/>
      <c r="JY84" s="112"/>
      <c r="JZ84" s="112"/>
      <c r="KA84" s="112"/>
      <c r="KB84" s="112" t="str">
        <f>HYPERLINK("http://www.refugeeguide.de/dl/RefugeeGuide_ur_104.pdf","x")</f>
        <v>x</v>
      </c>
      <c r="KC84" s="111"/>
      <c r="KD84" s="111"/>
      <c r="KE84" s="112" t="str">
        <f>HYPERLINK("http://www.frauenrechte.de/online/images/downloads/allgemein/TDF_Flyer_Women_Men.pdf","x")</f>
        <v>x</v>
      </c>
      <c r="KF84" s="111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  <c r="KY84" s="112"/>
      <c r="KZ84" s="112"/>
      <c r="LA84" s="112"/>
      <c r="LB84" s="112"/>
      <c r="LC84" s="111"/>
      <c r="LD84" s="111"/>
      <c r="LE84" s="111"/>
      <c r="LF84" s="111"/>
      <c r="LG84" s="111"/>
      <c r="LH84" s="111"/>
      <c r="LI84" s="111"/>
      <c r="LJ84" s="111"/>
      <c r="LK84" s="111"/>
      <c r="LL84" s="111"/>
      <c r="LM84" s="111"/>
      <c r="LN84" s="111"/>
      <c r="LO84" s="111"/>
      <c r="LP84" s="111"/>
      <c r="LQ84" s="111"/>
      <c r="LR84" s="111"/>
      <c r="LS84" s="111"/>
      <c r="LT84" s="111"/>
      <c r="LU84" s="111"/>
      <c r="LV84" s="111"/>
      <c r="LW84" s="111"/>
      <c r="LX84" s="111"/>
      <c r="LY84" s="111"/>
      <c r="LZ84" s="111"/>
      <c r="MA84" s="111"/>
      <c r="MB84" s="111"/>
      <c r="MC84" s="111"/>
      <c r="MD84" s="111"/>
      <c r="ME84" s="111"/>
      <c r="MF84" s="111"/>
      <c r="MG84" s="111"/>
      <c r="MH84" s="111"/>
      <c r="MI84" s="111"/>
    </row>
    <row r="85" spans="1:347" x14ac:dyDescent="0.25">
      <c r="A85" s="102" t="s">
        <v>139</v>
      </c>
      <c r="B85" s="127" t="s">
        <v>135</v>
      </c>
      <c r="C85" s="102"/>
      <c r="D85" s="102"/>
      <c r="E85" s="102"/>
      <c r="F85" s="102"/>
      <c r="G85" s="102"/>
      <c r="H85" s="102"/>
      <c r="I85" s="102"/>
      <c r="J85" s="102"/>
      <c r="K85" s="103"/>
      <c r="L85" s="111"/>
      <c r="M85" s="111"/>
      <c r="N85" s="112" t="str">
        <f>HYPERLINK("http://www.ag-fluechtlingshilfe-wetterau.de/uploads/infos/170.pdf","x")</f>
        <v>x</v>
      </c>
      <c r="O85" s="112"/>
      <c r="P85" s="112"/>
      <c r="Q85" s="112"/>
      <c r="R85" s="112"/>
      <c r="S85" s="112"/>
      <c r="T85" s="112"/>
      <c r="U85" s="112"/>
      <c r="V85" s="112"/>
      <c r="W85" s="111"/>
      <c r="X85" s="112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2"/>
      <c r="AP85" s="112"/>
      <c r="AQ85" s="112"/>
      <c r="AR85" s="112"/>
      <c r="AS85" s="112"/>
      <c r="AT85" s="112"/>
      <c r="AU85" s="112"/>
      <c r="AV85" s="113"/>
      <c r="AW85" s="114" t="str">
        <f t="shared" si="22"/>
        <v>x</v>
      </c>
      <c r="AX85" s="114" t="str">
        <f t="shared" si="23"/>
        <v>x</v>
      </c>
      <c r="AY85" s="111"/>
      <c r="AZ85" s="111"/>
      <c r="BA85" s="112" t="str">
        <f t="shared" si="24"/>
        <v>x</v>
      </c>
      <c r="BB85" s="112" t="str">
        <f t="shared" si="25"/>
        <v>x</v>
      </c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2" t="str">
        <f t="shared" si="26"/>
        <v>x</v>
      </c>
      <c r="BT85" s="112"/>
      <c r="BU85" s="111"/>
      <c r="BV85" s="112" t="str">
        <f t="shared" si="27"/>
        <v>x</v>
      </c>
      <c r="BW85" s="112"/>
      <c r="BX85" s="112"/>
      <c r="BY85" s="112"/>
      <c r="BZ85" s="112"/>
      <c r="CA85" s="112" t="str">
        <f t="shared" si="28"/>
        <v>x</v>
      </c>
      <c r="CB85" s="112" t="str">
        <f t="shared" si="29"/>
        <v>x</v>
      </c>
      <c r="CC85" s="112" t="str">
        <f t="shared" si="30"/>
        <v>x</v>
      </c>
      <c r="CD85" s="112"/>
      <c r="CE85" s="112"/>
      <c r="CF85" s="111"/>
      <c r="CG85" s="111"/>
      <c r="CH85" s="111"/>
      <c r="CI85" s="111"/>
      <c r="CJ85" s="112" t="str">
        <f>HYPERLINK("https://www.hilfetelefon.de/fileadmin/hilfetelefon_de/Materialien/weitere_werbemittel/Klappflyer_Vorder-_und_Rueckseite_opt2.pdf","x")</f>
        <v>x</v>
      </c>
      <c r="CK85" s="112" t="str">
        <f t="shared" si="31"/>
        <v>x</v>
      </c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5"/>
      <c r="DD85" s="112"/>
      <c r="DE85" s="112"/>
      <c r="DF85" s="112" t="str">
        <f t="shared" si="32"/>
        <v>x</v>
      </c>
      <c r="DG85" s="115" t="str">
        <f t="shared" si="33"/>
        <v>x</v>
      </c>
      <c r="DH85" s="112" t="str">
        <f t="shared" si="34"/>
        <v>x</v>
      </c>
      <c r="DI85" s="112" t="str">
        <f t="shared" si="35"/>
        <v>x</v>
      </c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2"/>
      <c r="DV85" s="112" t="str">
        <f>HYPERLINK("https://www.bmbf.de/pub/KAUSA_Elternratgeber_deutsch_chinesisch_bf.pdf","x")</f>
        <v>x</v>
      </c>
      <c r="DW85" s="111"/>
      <c r="DX85" s="111"/>
      <c r="DY85" s="111"/>
      <c r="DZ85" s="111"/>
      <c r="EA85" s="111"/>
      <c r="EB85" s="112"/>
      <c r="EC85" s="111"/>
      <c r="ED85" s="111"/>
      <c r="EE85" s="111"/>
      <c r="EF85" s="111"/>
      <c r="EG85" s="111"/>
      <c r="EH85" s="111"/>
      <c r="EI85" s="111"/>
      <c r="EJ85" s="112"/>
      <c r="EK85" s="112"/>
      <c r="EL85" s="111"/>
      <c r="EM85" s="112" t="str">
        <f>HYPERLINK("http://www.kvs-sachsen.de/fileadmin/img/Mitglieder/Asylbewerber/Allg-Informationen/Anlage_1_Chinesisch_LEK.pdf","x")</f>
        <v>x</v>
      </c>
      <c r="EN85" s="111"/>
      <c r="EO85" s="111"/>
      <c r="EP85" s="117" t="str">
        <f>HYPERLINK("http://www.medi-bild.de/pdf/anamnese/Welche_Sprache.pdf","x")</f>
        <v>x</v>
      </c>
      <c r="EQ85" s="117" t="str">
        <f>HYPERLINK("http://www.medknowledge.de/migration/tipdoc/anamnesebogen/tipdoc_Anamnese_chin.pdf","x")</f>
        <v>x</v>
      </c>
      <c r="ER85" s="112" t="str">
        <f>HYPERLINK("http://www.kvs-sachsen.de/fileadmin/img/Mitglieder/Asylbewerber/Allg-Informationen/Anlagen_2-1_2-2_Chinesisch_LEK.pdf","x")</f>
        <v>x</v>
      </c>
      <c r="ES85" s="112"/>
      <c r="ET85" s="112"/>
      <c r="EU85" s="111"/>
      <c r="EV85" s="111"/>
      <c r="EW85" s="112" t="str">
        <f t="shared" si="36"/>
        <v>x</v>
      </c>
      <c r="EX85" s="111"/>
      <c r="EY85" s="111"/>
      <c r="EZ85" s="111"/>
      <c r="FA85" s="111"/>
      <c r="FB85" s="111"/>
      <c r="FC85" s="111"/>
      <c r="FD85" s="112" t="str">
        <f t="shared" si="37"/>
        <v>x</v>
      </c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2" t="str">
        <f t="shared" si="38"/>
        <v>x</v>
      </c>
      <c r="HD85" s="111"/>
      <c r="HE85" s="111"/>
      <c r="HF85" s="111"/>
      <c r="HG85" s="111"/>
      <c r="HH85" s="111"/>
      <c r="HI85" s="111"/>
      <c r="HJ85" s="111"/>
      <c r="HK85" s="112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2" t="str">
        <f t="shared" si="39"/>
        <v>x</v>
      </c>
      <c r="HZ85" s="112" t="str">
        <f t="shared" si="40"/>
        <v>x</v>
      </c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2"/>
      <c r="IL85" s="111"/>
      <c r="IM85" s="111"/>
      <c r="IN85" s="111"/>
      <c r="IO85" s="111"/>
      <c r="IP85" s="111"/>
      <c r="IQ85" s="112"/>
      <c r="IR85" s="112"/>
      <c r="IS85" s="111"/>
      <c r="IT85" s="111"/>
      <c r="IU85" s="111"/>
      <c r="IV85" s="112" t="str">
        <f>HYPERLINK("http://www.asyl.net/fileadmin/user_upload/infoblatt_anhoerung/Chin_final.pdf","x")</f>
        <v>x</v>
      </c>
      <c r="IW85" s="112"/>
      <c r="IX85" s="112"/>
      <c r="IY85" s="112" t="str">
        <f>HYPERLINK("http://www.bamf.de/SharedDocs/Anlagen/DE/Publikationen/Broschueren/broschuere-eat-a4-zh-chinesisch.pdf?__blob=publicationFile","x")</f>
        <v>x</v>
      </c>
      <c r="IZ85" s="111"/>
      <c r="JA85" s="111"/>
      <c r="JB85" s="111"/>
      <c r="JC85" s="112"/>
      <c r="JD85" s="111"/>
      <c r="JE85" s="112"/>
      <c r="JF85" s="112"/>
      <c r="JG85" s="111"/>
      <c r="JH85" s="111"/>
      <c r="JI85" s="111"/>
      <c r="JJ85" s="112"/>
      <c r="JK85" s="112"/>
      <c r="JL85" s="112"/>
      <c r="JM85" s="112"/>
      <c r="JN85" s="112"/>
      <c r="JO85" s="112"/>
      <c r="JP85" s="112"/>
      <c r="JQ85" s="112"/>
      <c r="JR85" s="112" t="str">
        <f>HYPERLINK("http://www.ibla-germany.de/merkblaetter.php","x")</f>
        <v>x</v>
      </c>
      <c r="JS85" s="112"/>
      <c r="JT85" s="111"/>
      <c r="JU85" s="111"/>
      <c r="JV85" s="111"/>
      <c r="JW85" s="112"/>
      <c r="JX85" s="112"/>
      <c r="JY85" s="111"/>
      <c r="JZ85" s="111"/>
      <c r="KA85" s="111"/>
      <c r="KB85" s="111"/>
      <c r="KC85" s="111"/>
      <c r="KD85" s="111"/>
      <c r="KE85" s="111"/>
      <c r="KF85" s="111"/>
      <c r="KG85" s="111"/>
      <c r="KH85" s="111"/>
      <c r="KI85" s="111"/>
      <c r="KJ85" s="111"/>
      <c r="KK85" s="111"/>
      <c r="KL85" s="111"/>
      <c r="KM85" s="111"/>
      <c r="KN85" s="111"/>
      <c r="KO85" s="111"/>
      <c r="KP85" s="111"/>
      <c r="KQ85" s="111"/>
      <c r="KR85" s="111"/>
      <c r="KS85" s="111"/>
      <c r="KT85" s="111"/>
      <c r="KU85" s="111"/>
      <c r="KV85" s="111"/>
      <c r="KW85" s="111"/>
      <c r="KX85" s="111"/>
      <c r="KY85" s="111"/>
      <c r="KZ85" s="111"/>
      <c r="LA85" s="111"/>
      <c r="LB85" s="111"/>
      <c r="LC85" s="111"/>
      <c r="LD85" s="111"/>
      <c r="LE85" s="111"/>
      <c r="LF85" s="111"/>
      <c r="LG85" s="111"/>
      <c r="LH85" s="111"/>
      <c r="LI85" s="111"/>
      <c r="LJ85" s="111"/>
      <c r="LK85" s="111"/>
      <c r="LL85" s="111"/>
      <c r="LM85" s="111"/>
      <c r="LN85" s="111"/>
      <c r="LO85" s="111"/>
      <c r="LP85" s="111"/>
      <c r="LQ85" s="111"/>
      <c r="LR85" s="111"/>
      <c r="LS85" s="111"/>
      <c r="LT85" s="111"/>
      <c r="LU85" s="111"/>
      <c r="LV85" s="111"/>
      <c r="LW85" s="111"/>
      <c r="LX85" s="111"/>
      <c r="LY85" s="111"/>
      <c r="LZ85" s="111"/>
      <c r="MA85" s="111"/>
      <c r="MB85" s="111"/>
      <c r="MC85" s="111"/>
      <c r="MD85" s="111"/>
      <c r="ME85" s="111"/>
      <c r="MF85" s="111"/>
      <c r="MG85" s="111"/>
      <c r="MH85" s="111"/>
      <c r="MI85" s="111"/>
    </row>
    <row r="86" spans="1:347" x14ac:dyDescent="0.25">
      <c r="A86" s="102" t="s">
        <v>139</v>
      </c>
      <c r="B86" s="127" t="s">
        <v>4</v>
      </c>
      <c r="C86" s="102"/>
      <c r="D86" s="102"/>
      <c r="E86" s="102"/>
      <c r="F86" s="102"/>
      <c r="G86" s="102"/>
      <c r="H86" s="102"/>
      <c r="I86" s="102"/>
      <c r="J86" s="102"/>
      <c r="K86" s="103"/>
      <c r="L86" s="111"/>
      <c r="M86" s="111"/>
      <c r="N86" s="112" t="str">
        <f>HYPERLINK("http://www.ag-fluechtlingshilfe-wetterau.de/uploads/infos/170.pdf","x")</f>
        <v>x</v>
      </c>
      <c r="O86" s="112" t="str">
        <f>HYPERLINK("http://www.ag-fluechtlingshilfe-wetterau.de/uploads/infos/220.pdf","x")</f>
        <v>x</v>
      </c>
      <c r="P86" s="112" t="str">
        <f>HYPERLINK("http://www.awb-ahrweiler.de/admin/data/ddownload/Abfall%20Sonderhinweise-englisch_2014.pdf","x")</f>
        <v>x</v>
      </c>
      <c r="Q86" s="112" t="str">
        <f>HYPERLINK("http://www.ag-fluechtlingshilfe-wetterau.de/uploads/infos/221.pdf","x")</f>
        <v>x</v>
      </c>
      <c r="R86" s="112" t="str">
        <f>HYPERLINK("http://www.konto.org/download/merkblatt-basiskonto-asylbewerber-english.pdf","x")</f>
        <v>x</v>
      </c>
      <c r="S86" s="112"/>
      <c r="T86" s="112" t="str">
        <f>HYPERLINK("https://antworten.sparkasse.de/wp-content/uploads/2015/10/English.pdf","x")</f>
        <v>x</v>
      </c>
      <c r="U86" s="112" t="str">
        <f>HYPERLINK("http://www.ag-fluechtlingshilfe-wetterau.de/uploads/infos/191.pdf","x")</f>
        <v>x</v>
      </c>
      <c r="V86" s="112"/>
      <c r="W86" s="112"/>
      <c r="X86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86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86" s="112"/>
      <c r="AA86" s="112"/>
      <c r="AB86" s="112"/>
      <c r="AC86" s="112" t="str">
        <f>HYPERLINK("http://www.vzhh.de/vzhh/409638/vzhh_refugees_telephone_internet.pdf","x")</f>
        <v>x</v>
      </c>
      <c r="AD86" s="112" t="str">
        <f>HYPERLINK("http://www.vzhh.de/vzhh/410647/vzhh_refugees_rundfunk.pdf","x")</f>
        <v>x</v>
      </c>
      <c r="AE86" s="112" t="str">
        <f>HYPERLINK("http://www.vzhh.de/vzhh/411476/vzhh_refugees_rundfunk_befreiung.pdf","x")</f>
        <v>x</v>
      </c>
      <c r="AF86" s="112" t="str">
        <f>HYPERLINK("http://www.kub-berlin.org/formularprojekt/de/englisch-antraege-und-anlagen-uebersetzungshilfen/","x")</f>
        <v>x</v>
      </c>
      <c r="AG86" s="112" t="str">
        <f>HYPERLINK("http://asyl-in-moenchengladbach.de/wp-content/uploads/2015/11/100711-Flyer_GB.pdf","x")</f>
        <v>x</v>
      </c>
      <c r="AH86" s="112" t="str">
        <f>HYPERLINK("http://sghanstedt.elbnetz.com/ueber-uns/","x")</f>
        <v>x</v>
      </c>
      <c r="AI86" s="112" t="str">
        <f>HYPERLINK("https://www.adac.de/sp/stiftung/_mmm/pdf/SGE_FOL_Verkehrssicherheit_Fl%C3%BCchtlinge_A3_01_16_Internet_250277.pdf","x")</f>
        <v>x</v>
      </c>
      <c r="AJ86" s="112" t="str">
        <f>HYPERLINK("http://www.stadt-koeln.de/mediaasset/content/kvb_kinderleicht_und_spielend_einfach__englisch_.pdf","x")</f>
        <v>x</v>
      </c>
      <c r="AK86" s="112" t="str">
        <f>HYPERLINK("https://www.vrsinfo.de/fileadmin/Dateien/downloadcenter/Folder_MobilPassTicket_Refugees01012016.pdf","x")</f>
        <v>x</v>
      </c>
      <c r="AL86" s="112" t="str">
        <f>HYPERLINK("https://www.vrsinfo.de/fileadmin/Dateien/downloadcenter/Willkommen_im_VRS2016_Druck.pdf","x")</f>
        <v>x</v>
      </c>
      <c r="AM86" s="112"/>
      <c r="AN86" s="112" t="str">
        <f>HYPERLINK("https://www.deutschebahn.com/file/de/2191748/eYdgZpqGpp5sMJ2KMKtg2r8aE4Q/10123812/data/infos_fuer_fluechtlinge.pdf","x")</f>
        <v>x</v>
      </c>
      <c r="AO86" s="112"/>
      <c r="AP86" s="112"/>
      <c r="AQ86" s="112"/>
      <c r="AR86" s="112"/>
      <c r="AS86" s="112"/>
      <c r="AT86" s="112"/>
      <c r="AU86" s="112" t="str">
        <f>HYPERLINK("http://www.stadt-koeln.de/mediaasset/content/festkomitee_flyer_2016_d_gb.pdf","x")</f>
        <v>x</v>
      </c>
      <c r="AV86" s="113"/>
      <c r="AW86" s="114" t="str">
        <f t="shared" si="22"/>
        <v>x</v>
      </c>
      <c r="AX86" s="114" t="str">
        <f t="shared" si="23"/>
        <v>x</v>
      </c>
      <c r="AY86" s="112" t="str">
        <f>HYPERLINK("http://fi-lohmar-siegburg.de/data/documents/Findefix_arabisch-Bildwoerterbuch.pdf","x")</f>
        <v>x</v>
      </c>
      <c r="AZ86" s="111"/>
      <c r="BA86" s="112" t="str">
        <f t="shared" si="24"/>
        <v>x</v>
      </c>
      <c r="BB86" s="112" t="str">
        <f t="shared" si="25"/>
        <v>x</v>
      </c>
      <c r="BC86" s="111"/>
      <c r="BD86" s="111"/>
      <c r="BE86" s="112" t="str">
        <f>HYPERLINK("http://fi-lohmar-siegburg.de/data/documents/communicationboard-arabic-english.pdf","x")</f>
        <v>x</v>
      </c>
      <c r="BF86" s="112"/>
      <c r="BG86" s="111"/>
      <c r="BH86" s="112" t="str">
        <f>HYPERLINK("http://www.refugeephrasebook.de/pdf/germany150920.pdf","x")</f>
        <v>x</v>
      </c>
      <c r="BI86" s="112" t="str">
        <f>HYPERLINK("https://www.advanced-online.eu/downloads/RefugeePhrasebookCards_German-English.pdf","x")</f>
        <v>x</v>
      </c>
      <c r="BJ86" s="112" t="str">
        <f>HYPERLINK("http://www.klett-sprachen.de/download/8638/W100255_Refugees_Welcome_Wortschatz.pdf","x")</f>
        <v>x</v>
      </c>
      <c r="BK86" s="111"/>
      <c r="BL86" s="112" t="str">
        <f>HYPERLINK("http://www.bundessprachenamt.de/deutsch/wir_ueber_uns/nachrichten/2015/20151103/Verständigungshilfe_Englisch_26_11_2015.pdf","x")</f>
        <v>x</v>
      </c>
      <c r="BM86" s="112" t="str">
        <f>HYPERLINK("http://www.frnrw.de/images/Aus_den_Initiativen/Ehrenamtler/2015/Dictionary_x10_print-2.pdf","x")</f>
        <v>x</v>
      </c>
      <c r="BN86" s="112" t="str">
        <f>HYPERLINK("http://www.medbox.org/toolboxes/kleines-worterbuch-little-dictionary-deutsch-englisch-arabisch/preview","x")</f>
        <v>x</v>
      </c>
      <c r="BO86" s="112" t="str">
        <f>HYPERLINK("http://mylanguages.org/dari_phrases.php","x")</f>
        <v>x</v>
      </c>
      <c r="BP86" s="111"/>
      <c r="BQ86" s="111"/>
      <c r="BR86" s="111"/>
      <c r="BS86" s="112" t="str">
        <f t="shared" si="26"/>
        <v>x</v>
      </c>
      <c r="BT86" s="112"/>
      <c r="BU86" s="111"/>
      <c r="BV86" s="112" t="str">
        <f t="shared" si="27"/>
        <v>x</v>
      </c>
      <c r="BW86" s="112" t="str">
        <f>HYPERLINK("http://www.welcomegrooves.de/wp-content/uploads/2015/10/welcomegrooves_DE-ENGLISH1.pdf","x")</f>
        <v>x</v>
      </c>
      <c r="BX86" s="112"/>
      <c r="BY86" s="112"/>
      <c r="BZ86" s="112"/>
      <c r="CA86" s="112" t="str">
        <f t="shared" si="28"/>
        <v>x</v>
      </c>
      <c r="CB86" s="112" t="str">
        <f t="shared" si="29"/>
        <v>x</v>
      </c>
      <c r="CC86" s="112" t="str">
        <f t="shared" si="30"/>
        <v>x</v>
      </c>
      <c r="CD86" s="112"/>
      <c r="CE86" s="112"/>
      <c r="CF86" s="111"/>
      <c r="CG86" s="112" t="str">
        <f>HYPERLINK("http://www.braunschweig.de/leben/frauen/hilfe/Ohne-Gewalt-leben.pdf","x")</f>
        <v>x</v>
      </c>
      <c r="CH86" s="112" t="str">
        <f>HYPERLINK("http://mifkjf.rlp.de/fileadmin/mifkjf/Frauen/Gewalt_gegen_Frauen/Downloads/Broschueren_Flyer/Flyer_Gewalt_englisch.pdf","x")</f>
        <v>x</v>
      </c>
      <c r="CI86" s="112" t="str">
        <f>HYPERLINK("https://www.hilfetelefon.de/fileadmin/hilfetelefon_de/Materialien/Flyer/Infoflyer_Hilfetelefon_Gewalt_gegen_Frauen141105_b2.pdf","x")</f>
        <v>x</v>
      </c>
      <c r="CJ86" s="112" t="str">
        <f>HYPERLINK("https://www.hilfetelefon.de/fileadmin/hilfetelefon_de/Materialien/weitere_werbemittel/Klappflyer_Vorder-_und_Rueckseite_opt2.pdf","x")</f>
        <v>x</v>
      </c>
      <c r="CK86" s="112" t="str">
        <f t="shared" si="31"/>
        <v>x</v>
      </c>
      <c r="CL86" s="112" t="str">
        <f>HYPERLINK("http://www.frauenberatungsstelle.de/pdf/Migrantinnen-beraten-Migrantinnen.pdf","x")</f>
        <v>x</v>
      </c>
      <c r="CM86" s="112" t="str">
        <f>HYPERLINK("http://www.frauenleben.org/spezielle_beratungsangebote/sexualisierte_gewalt.htm","x")</f>
        <v>x</v>
      </c>
      <c r="CN86" s="112"/>
      <c r="CO86" s="112"/>
      <c r="CP86" s="112" t="str">
        <f>HYPERLINK("http://www.schwanger-und-viele-fragen.de/en/","x")</f>
        <v>x</v>
      </c>
      <c r="CQ86" s="112"/>
      <c r="CR86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86" s="112" t="str">
        <f>HYPERLINK("http://en.beststart.org/for_parents/are-you-looking-resources-languages-other-english-and-french","x")</f>
        <v>x</v>
      </c>
      <c r="CT86" s="112"/>
      <c r="CU86" s="112" t="str">
        <f>HYPERLINK("http://www.profamilia.de/fileadmin/publikationen/Erwachsene/mehrsprachig/Bro_Verhuetung_engl_2013.pdf","x")</f>
        <v>x</v>
      </c>
      <c r="CV86" s="112" t="str">
        <f>HYPERLINK("http://www.profamilia.de/fileadmin/publikationen/Erwachsene/mehrsprachig/Bro_Pille_danach_Faltblatt_140122_RZ.pdf","x")</f>
        <v>x</v>
      </c>
      <c r="CW86" s="112" t="str">
        <f>HYPERLINK("http://www.profamilia.de/fileadmin/publikationen/Reihe_Verhuetungsmethoden/Einleger_englisch.pdf","x")</f>
        <v>x</v>
      </c>
      <c r="CX86" s="112" t="str">
        <f>HYPERLINK("http://www.profamilia.de/fileadmin/publikationen/Reihe_Koerper_und_Sexualtitaet/Schwangerschaftsabbruch_englisch_2010.pdf","x")</f>
        <v>x</v>
      </c>
      <c r="CY86" s="112" t="str">
        <f>HYPERLINK("http://www.caritas-schwarzwald-alb-donau.de/68854.html","x")</f>
        <v>x</v>
      </c>
      <c r="CZ86" s="112" t="str">
        <f>HYPERLINK("http://www.dgfpi.de/tl_files/download/medien/unwissen-macht-en.pdf","x")</f>
        <v>x</v>
      </c>
      <c r="DA86" s="112"/>
      <c r="DB86" s="112"/>
      <c r="DC86" s="115" t="str">
        <f>HYPERLINK("http://www.kindersicherheit.de/pdf/2013_BAG_Tomi_and_Mila_Deutsch_English.pdf","x")</f>
        <v>x</v>
      </c>
      <c r="DD86" s="112"/>
      <c r="DE86" s="112"/>
      <c r="DF86" s="112" t="str">
        <f t="shared" si="32"/>
        <v>x</v>
      </c>
      <c r="DG86" s="115" t="str">
        <f t="shared" si="33"/>
        <v>x</v>
      </c>
      <c r="DH86" s="112" t="str">
        <f t="shared" si="34"/>
        <v>x</v>
      </c>
      <c r="DI86" s="112" t="str">
        <f t="shared" si="35"/>
        <v>x</v>
      </c>
      <c r="DJ86" s="112"/>
      <c r="DK86" s="112"/>
      <c r="DL86" s="112"/>
      <c r="DM86" s="112"/>
      <c r="DN86" s="112"/>
      <c r="DO86" s="112" t="str">
        <f>HYPERLINK("http://www.wdrmaus.de/sachgeschichten/maus-international/","x")</f>
        <v>x</v>
      </c>
      <c r="DP86" s="111"/>
      <c r="DQ86" s="111"/>
      <c r="DR86" s="112" t="str">
        <f>HYPERLINK("https://broschueren.nordrheinwestfalendirekt.de/broschuerenservice/msw/eng-das-schulsystem-in-nordrhein-westfalen-einfach-und-schnell-erklaert/1902","x")</f>
        <v>x</v>
      </c>
      <c r="DS86" s="112" t="str">
        <f>HYPERLINK("http://bildung.koeln.de/materialbibliothek/download.php?idx=8e2a9f658e9fa830ce17dc18f0fb0268","x")</f>
        <v>x</v>
      </c>
      <c r="DT86" s="112" t="str">
        <f>HYPERLINK("http://bildung.koeln.de/materialbibliothek/download.php?idx=90aff7e7259385cadb46c517317f1446","x")</f>
        <v>x</v>
      </c>
      <c r="DU86" s="112"/>
      <c r="DV86" s="112" t="str">
        <f>HYPERLINK("https://www.bmbf.de/pub/Kausa_Elternbroschuere_englisch.pdf","x")</f>
        <v>x</v>
      </c>
      <c r="DW86" s="112"/>
      <c r="DX86" s="112" t="str">
        <f>HYPERLINK("http://www.wissenschaft.nrw.de/studium/informieren/informationen-fuer-fluechtlinge-die-in-nrw-studieren-moechten/","x")</f>
        <v>x</v>
      </c>
      <c r="DY86" s="112" t="str">
        <f>HYPERLINK("http://www.bamf.de/SharedDocs/Anlagen/DE/Publikationen/Flyer/AnerkennungBerufsabschluss/berufliche_anerkennung_akademische-heilberufe_en.pdf?__blob=publicationFile","x")</f>
        <v>x</v>
      </c>
      <c r="DZ86" s="112" t="str">
        <f>HYPERLINK("http://www.bamf.de/SharedDocs/Anlagen/EN/Publikationen/Flyer/AnerkennungBerufsabschluss/anerkennung-berufsabschluss.pdf?__blob=publicationFile","x")</f>
        <v>x</v>
      </c>
      <c r="EA86" s="112" t="str">
        <f>HYPERLINK("http://www.bamf.de/SharedDocs/Anlagen/EN/Publikationen/Flyer/AnerkennungBerufsabschluss/anerkennung-berufsabschluss_ausland.pdf?__blob=publicationFile","x")</f>
        <v>x</v>
      </c>
      <c r="EB86" s="112" t="str">
        <f>HYPERLINK("http://www.bamf.de/SharedDocs/Anlagen/EN/Publikationen/Broschueren/willkommen-in-deutschland-info-blaue-karte-eu_en.pdf?__blob=publicationFile","x")</f>
        <v>x</v>
      </c>
      <c r="EC86" s="112" t="str">
        <f>HYPERLINK("http://www.bamf.de/SharedDocs/Anlagen/EN/Publikationen/Flyer/Berufsbezsprachf-ESF-BAMF/berufsbezsprachf-esf-bamf.pdf?__blob=publicationFile","x")</f>
        <v>x</v>
      </c>
      <c r="ED86" s="111"/>
      <c r="EE86" s="111"/>
      <c r="EF86" s="111"/>
      <c r="EG86" s="111"/>
      <c r="EH86" s="111"/>
      <c r="EI86" s="111"/>
      <c r="EJ86" s="112"/>
      <c r="EK86" s="112" t="str">
        <f>HYPERLINK("http://fluechtlingsrat-bw.de/files/Dateien/Dokumente/Materialbestellung/2014-12-flyer%20arbeitserlaubnis%20EN%20WEB.pdf","x")</f>
        <v>x</v>
      </c>
      <c r="EL86" s="112" t="str">
        <f>HYPERLINK("http://www.aponet.de/englisch/20151019-fuer-den-notfall-wichtige-rufnummern-im-ueberblick.html","x")</f>
        <v>x</v>
      </c>
      <c r="EM86" s="112" t="str">
        <f>HYPERLINK("http://www.kvs-sachsen.de/fileadmin/img/Mitglieder/Asylbewerber/Allg-Informationen/Anlage_1_Englisch_LEK.pdf","x")</f>
        <v>x</v>
      </c>
      <c r="EN86" s="112" t="str">
        <f>HYPERLINK("http://www.medizin-hilft-fluechtlingen.de/images/Dokumente/gSch/gSch_eng.pdf","x")</f>
        <v>x</v>
      </c>
      <c r="EO86" s="112" t="str">
        <f>HYPERLINK("http://www.aponet.de/englisch/medical-care-for-asylum-seekers.html","x")</f>
        <v>x</v>
      </c>
      <c r="EP86" s="117" t="str">
        <f>HYPERLINK("http://www.medi-bild.de/pdf/anamnese/Welche_Sprache.pdf","x")</f>
        <v>x</v>
      </c>
      <c r="EQ86" s="117" t="str">
        <f>HYPERLINK("http://www.armut-gesundheit.de/fileadmin/redakteur/dokumente/Anamnesebogen%20-%20englischnew.pdf","x")</f>
        <v>x</v>
      </c>
      <c r="ER86" s="112" t="str">
        <f>HYPERLINK("http://www.kvs-sachsen.de/fileadmin/img/Mitglieder/Asylbewerber/Allg-Informationen/Anlagen_2-1_2-2_Englisch_LEK.pdf","x")</f>
        <v>x</v>
      </c>
      <c r="ES86" s="111"/>
      <c r="ET86" s="111"/>
      <c r="EU86" s="112" t="str">
        <f>HYPERLINK("http://www.medizin-hilft-fluechtlingen.de/images/Dokumente/ein/ein_engl.pdf","x")</f>
        <v>x</v>
      </c>
      <c r="EV86" s="112" t="str">
        <f>HYPERLINK("http://www.adler-apotheke-hh.de/fileadmin/user_upload/PDF-Dateien/Dosierzettel_mehrsprachig_AUF_0_.pdf","x")</f>
        <v>x</v>
      </c>
      <c r="EW86" s="112" t="str">
        <f t="shared" si="36"/>
        <v>x</v>
      </c>
      <c r="EX86" s="112" t="str">
        <f>HYPERLINK("http://www.rki.de/DE/Content/Infekt/IfSG/Belehrungsbogen/belehrungsbogen_eltern_englisch.pdf?__blob=publicationFile","x")</f>
        <v>x</v>
      </c>
      <c r="EY86" s="112" t="str">
        <f>HYPERLINK("http://www.bzga.de/infomaterialien/?sid=236","x")</f>
        <v>x</v>
      </c>
      <c r="EZ86" s="112" t="str">
        <f>HYPERLINK("https://www.mh-hannover.de/fileadmin/mhh/bilder/aktuelles_presse/pressestelle/bilder/Pilzvergif_English.pdf","x")</f>
        <v>x</v>
      </c>
      <c r="FA86" s="112"/>
      <c r="FB86" s="112" t="str">
        <f>HYPERLINK("http://static.apotheken-umschau.de/media/gp/article_506373/bildwoerterbuch.pdf","x")</f>
        <v>x</v>
      </c>
      <c r="FC86" s="112" t="str">
        <f>HYPERLINK("https://www.studentenwerke.de/sites/default/files/gesundheitswoerterbuch.pdf","x")</f>
        <v>x</v>
      </c>
      <c r="FD86" s="112" t="str">
        <f t="shared" si="37"/>
        <v>x</v>
      </c>
      <c r="FE86" s="112" t="str">
        <f>HYPERLINK("http://sghanstedt.elbnetz.com/ueber-uns/","x")</f>
        <v>x</v>
      </c>
      <c r="FF86" s="112" t="str">
        <f>HYPERLINK("http://www.fuhlenhagen.com/pdf_dateien/uebertzungshilfe_aerzte_mehrsprachig.pdf","x")</f>
        <v>x</v>
      </c>
      <c r="FG86" s="112" t="str">
        <f>HYPERLINK("http://www.tipdoc.de/grafik/asyl/Gesundheitsheft_Asyl.pdf","x")</f>
        <v>x</v>
      </c>
      <c r="FH86" s="111"/>
      <c r="FI86" s="111"/>
      <c r="FJ86" s="112" t="str">
        <f>HYPERLINK("http://www.bundesgesundheitsministerium.de/fileadmin/dateien/Publikationen/Gesundheit/Broschueren/Ratgeber_Asylsuchende/Ratgeber_Asylsuchende_engl.pdf","x")</f>
        <v>x</v>
      </c>
      <c r="FK86" s="112" t="str">
        <f>HYPERLINK("http://www.rki.de/DE/Content/Infekt/Impfen/Materialien/Downloads-Impfkalender/Impfkalender_Englisch.pdf?__blob=publicationFile","x")</f>
        <v>x</v>
      </c>
      <c r="FL86" s="112" t="str">
        <f>HYPERLINK("http://www.ethno-medizinisches-zentrum.de/images/PDF-Files/impfwegweiser_englisch_2013_online.pdf","x")</f>
        <v>x</v>
      </c>
      <c r="FM86" s="112"/>
      <c r="FN86" s="112" t="str">
        <f>HYPERLINK("http://www.rki.de/DE/Content/Infekt/Impfen/Materialien/Glossar-Downloads/glossar-de-englisch.pdf?__blob=publicationFile","x")</f>
        <v>x</v>
      </c>
      <c r="FO86" s="112" t="str">
        <f>HYPERLINK("http://www.euro.who.int/__data/assets/pdf_file/0005/160754/VPDs_Signs-symptoms-complications.pdf?ua=1","x")</f>
        <v>x</v>
      </c>
      <c r="FP86" s="112" t="str">
        <f>HYPERLINK("http://www.rki.de/DE/Content/Infekt/Impfen/Materialien/Downloads-MMR/MMR-Impfinfo-englisch.pdf?__blob=publicationFile","x")</f>
        <v>x</v>
      </c>
      <c r="FQ86" s="112" t="str">
        <f>HYPERLINK("http://www.rki.de/DE/Content/InfAZ/P/Polio/Ausbruch_Syrien/Informationsblatt_Polio_Englisch.pdf?__blob=publicationFile","x")</f>
        <v>x</v>
      </c>
      <c r="FR86" s="112" t="str">
        <f>HYPERLINK("http://www.rki.de/DE/Content/Infekt/Impfen/Materialien/Downloads_HepA/Aufklaerung_HAV-Impfung_Englisch.pdf?__blob=publicationFile","x")</f>
        <v>x</v>
      </c>
      <c r="FS86" s="112" t="str">
        <f>HYPERLINK("http://www.rki.de/DE/Content/Infekt/Impfen/Materialien/Downloads_Pneumokokken/Aufklaerung_Pneumo-Impfung_Englisch.pdf?__blob=publicationFile","x")</f>
        <v>x</v>
      </c>
      <c r="FT86" s="112" t="str">
        <f>HYPERLINK("http://www.rki.de/DE/Content/Infekt/Impfen/Materialien/Downloads-DTaPIPVHibHepB/DTaPIPVHibHepB-englisch.pdf?__blob=publicationFile","x")</f>
        <v>x</v>
      </c>
      <c r="FU86" s="112" t="str">
        <f>HYPERLINK("http://www.rki.de/DE/Content/Infekt/Impfen/Materialien/Downloads-Varizellen/Varizellen-Impfinfo-englisch.pdf;jsessionid=65B697F4EE7EDA8A1ED9E2C4CD6C74EC.2_cid363?__blob=publicationFile","x")</f>
        <v>x</v>
      </c>
      <c r="FV86" s="112" t="str">
        <f>HYPERLINK("http://www.rki.de/DE/Content/Infekt/Impfen/Materialien/Downloads-Tdap-IPV/Tdap-IPV-englisch.pdf?__blob=publicationFile","x")</f>
        <v>x</v>
      </c>
      <c r="FW86" s="112" t="str">
        <f>HYPERLINK("http://www.rki.de/DE/Content/Infekt/Impfen/Materialien/Downloads-Influenza_nasal/Influenza_nasal-englisch.pdf?__blob=publicationFile","x")</f>
        <v>x</v>
      </c>
      <c r="FX86" s="111"/>
      <c r="FY86" s="112"/>
      <c r="FZ86" s="112"/>
      <c r="GA86" s="111"/>
      <c r="GB86" s="111"/>
      <c r="GC86" s="111"/>
      <c r="GD86" s="112" t="str">
        <f>HYPERLINK("http://www.ethno-medizinisches-zentrum.de/images/PDF-Files/lf_diabete_englisch.pdf","x")</f>
        <v>x</v>
      </c>
      <c r="GE86" s="111"/>
      <c r="GF86" s="111"/>
      <c r="GG86" s="111"/>
      <c r="GH86" s="112"/>
      <c r="GI86" s="111"/>
      <c r="GJ86" s="111"/>
      <c r="GK86" s="112" t="str">
        <f>HYPERLINK("http://www.tipdoc.de/bus/pdf/hiv/HIV%20ESP_Webseite.pdf","x")</f>
        <v>x</v>
      </c>
      <c r="GL86" s="111"/>
      <c r="GM86" s="112" t="str">
        <f>HYPERLINK("http://www.rki.de/DE/Content/Infekt/Impfen/Materialien/Downloads-Influenza/Influenza-englisch.pdf?__blob=publicationFile","x")</f>
        <v>x</v>
      </c>
      <c r="GN86" s="111"/>
      <c r="GO86" s="112" t="str">
        <f>HYPERLINK("http://www.aponet.de/englisch/20151111-so-unterscheiden-sich-grippe-und-erkaeltung.html","x")</f>
        <v>x</v>
      </c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2" t="str">
        <f t="shared" si="38"/>
        <v>x</v>
      </c>
      <c r="HD86" s="112" t="str">
        <f>HYPERLINK("https://www.zahnaerzte-wl.de/images/_PDF-suche/KZV_ZÄK/ENDSTAND_Ankreuzbogen_Ich_verstehe.pdf","x")</f>
        <v>x</v>
      </c>
      <c r="HE86" s="112" t="str">
        <f>HYPERLINK("https://www.zahnaerzte-wl.de/images/_PDF-suche/KZV_ZÄK/Anschreiben_Patienten_englisch.pdf","x")</f>
        <v>x</v>
      </c>
      <c r="HF86" s="112" t="str">
        <f>HYPERLINK("https://www.zahnaerzte-wl.de/images/_PDF-suche/KZV_ZÄK/Fragebogen_englisch.pdf","x")</f>
        <v>x</v>
      </c>
      <c r="HG86" s="112" t="str">
        <f>HYPERLINK("https://www.zahnaerzte-wl.de/images/_PDF-suche/KZV_ZÄK/Patientenerhebungsbogen_englisch.pdf","x")</f>
        <v>x</v>
      </c>
      <c r="HH86" s="112"/>
      <c r="HI86" s="112" t="str">
        <f>HYPERLINK("http://www.bvkm.de/fileadmin/web_data/Behinderung_und_Migration_englisch_2014.pdf","x")</f>
        <v>x</v>
      </c>
      <c r="HJ86" s="112"/>
      <c r="HK86" s="112" t="str">
        <f>HYPERLINK("http://www.psychenet.de/en/mental-health/knowledge/depression.html","x")</f>
        <v>x</v>
      </c>
      <c r="HL86" s="111"/>
      <c r="HM86" s="112" t="str">
        <f>HYPERLINK("http://www.psychenet.de/en/mental-health/knowledge/psychoses.html","x")</f>
        <v>x</v>
      </c>
      <c r="HN86" s="112" t="str">
        <f>HYPERLINK("http://www.psychenet.de/en/mental-health/knowledge/somatoform-disorders.html","x")</f>
        <v>x</v>
      </c>
      <c r="HO86" s="112" t="str">
        <f>HYPERLINK("http://www.psychenet.de/en/mental-health/knowledge/anorexia.html","x")</f>
        <v>x</v>
      </c>
      <c r="HP86" s="112" t="str">
        <f>HYPERLINK("http://www.psychenet.de/en/mental-health/knowledge/bulimia.html","x")</f>
        <v>x</v>
      </c>
      <c r="HQ86" s="112" t="str">
        <f>HYPERLINK("http://www.psychenet.de/en/mental-health/knowledge/bipolar-disorder.html","x")</f>
        <v>x</v>
      </c>
      <c r="HR86" s="112" t="str">
        <f>HYPERLINK("http://www.psychenet.de/en/mental-health/knowledge/panic-and-agoraphobia.html","x")</f>
        <v>x</v>
      </c>
      <c r="HS86" s="112" t="str">
        <f>HYPERLINK("http://www.psychenet.de/en/mental-health/knowledge/social-phobia.html","x")</f>
        <v>x</v>
      </c>
      <c r="HT86" s="112" t="str">
        <f>HYPERLINK("http://www.psychenet.de/en/mental-health/knowledge/generalized-anxiety-disorder.html","x")</f>
        <v>x</v>
      </c>
      <c r="HU86" s="112"/>
      <c r="HV86" s="112" t="str">
        <f>HYPERLINK("http://www.psychenet.de/en/mental-health/knowledge/information-and-support.html","x")</f>
        <v>x</v>
      </c>
      <c r="HW86" s="112"/>
      <c r="HX86" s="112" t="str">
        <f>HYPERLINK("http://www.bkk-psychisch-gesund.de/fileadmin/user_upload/Dokumente/Versicherte/Broschueren/Wegweiser_Psychotherapie_englisch.pdf","x")</f>
        <v>x</v>
      </c>
      <c r="HY86" s="112" t="str">
        <f t="shared" si="39"/>
        <v>x</v>
      </c>
      <c r="HZ86" s="112" t="str">
        <f t="shared" si="40"/>
        <v>x</v>
      </c>
      <c r="IA86" s="112" t="str">
        <f>HYPERLINK("http://peacefulheart.se/wp-content/uploads/2012/02/TTT_English_2013.pdf","x")</f>
        <v>x</v>
      </c>
      <c r="IB86" s="112"/>
      <c r="IC86" s="112"/>
      <c r="ID86" s="112" t="str">
        <f>HYPERLINK("http://www.susannestein.de/VIA-online/trauma-picture-book.pdf","x")</f>
        <v>x</v>
      </c>
      <c r="IE86" s="112" t="str">
        <f>HYPERLINK("http://www.psychenet.de/en/mental-health/knowledge/alcohol-in-adolescence.html","x")</f>
        <v>x</v>
      </c>
      <c r="IF86" s="112"/>
      <c r="IG86" s="112"/>
      <c r="IH86" s="111"/>
      <c r="II86" s="112" t="str">
        <f>HYPERLINK("http://www.caritas.de/hilfeundberatung/onlineberatung/suchtberatung/haeufiggestelltefragensucht/haeufiggestelltefragen-sucht","x")</f>
        <v>x</v>
      </c>
      <c r="IJ86" s="112" t="str">
        <f>HYPERLINK("http://www.dhs.de/fileadmin/user_upload/pdf/Broschueren/Ein_Angebot_an_alle-Englisch.pdf","x")</f>
        <v>x</v>
      </c>
      <c r="IK86" s="112" t="str">
        <f>HYPERLINK("http://www.bamf.de/SharedDocs/Anlagen/EN/Publikationen/Flyer/Lassen-Sie-Sich-Beraten/lassen-sie-sich-beraten.pdf?__blob=publicationFile","x")</f>
        <v>x</v>
      </c>
      <c r="IL86" s="115" t="str">
        <f>HYPERLINK("http://www.bamf.de/SharedDocs/Anlagen/EN/Publikationen/Flyer/flyer-erstorientierung-asylsuchende.pdf?__blob=publicationFile","x")</f>
        <v>x</v>
      </c>
      <c r="IM86" s="112" t="str">
        <f>HYPERLINK("http://www.frnrw.de/index.php/inhaltliche-themen/arbeitshilfen/item/3710-erstinfos-fuer-asylsuchende","x")</f>
        <v>x</v>
      </c>
      <c r="IN86" s="112" t="str">
        <f>HYPERLINK("http://www.bamf.de/SharedDocs/Anlagen/EN/Publikationen/Broschueren/willkommen-in-deutschland.pdf;jsessionid=2D72CB108E4AC02BBB9659E7D9A589B2.1_cid368?__blob=publicationFile","x")</f>
        <v>x</v>
      </c>
      <c r="IO86" s="112"/>
      <c r="IP86" s="112"/>
      <c r="IQ86" s="112" t="str">
        <f>HYPERLINK("http://www.bamf.de/SharedDocs/Anlagen/EN/Publikationen/Flyer/Lernen-Sie-Deutsch/lernen-sie-deutsch.pdf?__blob=publicationFile","x")</f>
        <v>x</v>
      </c>
      <c r="IR86" s="112" t="str">
        <f>HYPERLINK("http://www.asyl.net/fileadmin/user_upload/redaktion/Dokumente/Arbeitshilfen/150910_Wie_l%C3%A4uft_ein_Asylverfahren_ab_%C3%9Cberblickstext_Englisch.pdf","x")</f>
        <v>x</v>
      </c>
      <c r="IS86" s="111"/>
      <c r="IT86" s="112" t="str">
        <f>HYPERLINK("http://www.bamf.de/SharedDocs/Anlagen/EN/Publikationen/Flyer/ablauf-asylverfahren.pdf;jsessionid=DBD4307960D761935FCC3E0325D459A1.1_cid294?__blob=publicationFile","x")</f>
        <v>x</v>
      </c>
      <c r="IU86" s="111"/>
      <c r="IV86" s="112" t="str">
        <f>HYPERLINK("http://www.asyl.net/fileadmin/user_upload/infoblatt_anhoerung/Infoblatt_2015_en_fin.pdf","x")</f>
        <v>x</v>
      </c>
      <c r="IW86" s="112"/>
      <c r="IX86" s="112" t="str">
        <f>HYPERLINK("http://www.berlin.de/labo/willkommen-in-berlin/service/downloads/artikel.273193.php","x")</f>
        <v>x</v>
      </c>
      <c r="IY86" s="112" t="str">
        <f>HYPERLINK("http://www.bamf.de/SharedDocs/Anlagen/EN/Publikationen/Broschueren/broschuere-eat-a4.pdf?__blob=publicationFile","x")</f>
        <v>x</v>
      </c>
      <c r="IZ86" s="111"/>
      <c r="JA86" s="112" t="str">
        <f>HYPERLINK("http://fluechtlingsrat-bw.de/informationen-fuer-fluechtlinge.html","x")</f>
        <v>x</v>
      </c>
      <c r="JB86" s="111"/>
      <c r="JC86" s="112" t="str">
        <f>HYPERLINK("http://www.bamf.de/SharedDocs/Anlagen/EN/Publikationen/Flyer/20150223_ura2_en.pdf?__blob=publicationFile","x")</f>
        <v>x</v>
      </c>
      <c r="JD86" s="111"/>
      <c r="JE86" s="112"/>
      <c r="JF86" s="112"/>
      <c r="JG86" s="112" t="str">
        <f>HYPERLINK("http://www.bamf.de/SharedDocs/Anlagen/EN/Publikationen/Flyer/Ehegattennachzug/ehegattennachzug.pdf?__blob=publicationFile","x")</f>
        <v>x</v>
      </c>
      <c r="JH86" s="112" t="str">
        <f>HYPERLINK("https://familyreunion-syria.diplo.de/webportal/index.html#start","x")</f>
        <v>x</v>
      </c>
      <c r="JI86" s="112" t="str">
        <f>HYPERLINK("http://ec.europa.eu/dgs/home-affairs/what-we-do/networks/european_migration_network/docs/emn-glossary-en-version.pdf","x")</f>
        <v>x</v>
      </c>
      <c r="JJ86" s="112"/>
      <c r="JK86" s="112" t="str">
        <f>HYPERLINK("https://www.arbeitsagentur.de/web/wcm/idc/groups/public/documents/webdatei/mdaw/mjgz/~edisp/l6019022dstbai784628.pdf?_ba.sid=L6019022DSTBAI784625","x")</f>
        <v>x</v>
      </c>
      <c r="JL86" s="112" t="str">
        <f>HYPERLINK("http://www.kub-berlin.org/formularprojekt/de/englisch-antraege-und-anlagen-uebersetzungshilfen/","x")</f>
        <v>x</v>
      </c>
      <c r="JM86" s="112" t="str">
        <f>HYPERLINK("https://www.arbeitsagentur.de/web/content/DE/Formulare/Detail/index.htm?dfContentId=L6019022DSTBAI485740","x")</f>
        <v>x</v>
      </c>
      <c r="JN86" s="112"/>
      <c r="JO86" s="112"/>
      <c r="JP86" s="112"/>
      <c r="JQ86" s="112"/>
      <c r="JR86" s="112" t="str">
        <f>HYPERLINK("http://www.ibla-germany.de/merkblaetter.php","x")</f>
        <v>x</v>
      </c>
      <c r="JS86" s="112"/>
      <c r="JT86" s="112" t="str">
        <f>HYPERLINK("http://www.b-umf.de/images/willkommen/willkommensbroschureenglisch-web.pdf","x")</f>
        <v>x</v>
      </c>
      <c r="JU86" s="111"/>
      <c r="JV86" s="111"/>
      <c r="JW86" s="112"/>
      <c r="JX86" s="112" t="str">
        <f>HYPERLINK("https://www.arbeitsagentur.de/web/wcm/idc/groups/public/documents/webdatei/mdaw/mjgz/~edisp/l6019022dstbai784636.pdf?_ba.sid=L6019022DSTBAI784633","x")</f>
        <v>x</v>
      </c>
      <c r="JY86" s="112"/>
      <c r="JZ86" s="112"/>
      <c r="KA86" s="112"/>
      <c r="KB86" s="112" t="str">
        <f>HYPERLINK("http://www.refugeeguide.de/dl/RefugeeGuide_en_925.pdf","x")</f>
        <v>x</v>
      </c>
      <c r="KC86" s="112" t="str">
        <f>HYPERLINK("http://www.gesetze-im-internet.de/englisch_gg/basic_law_for_the_federal_republic_of_germany.pdf","x")</f>
        <v>x</v>
      </c>
      <c r="KD86" s="112" t="str">
        <f>HYPERLINK("http://www.wedel.de/fileadmin/user_upload/media/pdf/Rathaus_und_Politik/20160118_PM_Broschuere.pdf","x")</f>
        <v>x</v>
      </c>
      <c r="KE86" s="112" t="str">
        <f>HYPERLINK("http://www.frauenrechte.de/online/images/downloads/allgemein/TDF_Flyer_Women_Men.pdf","x")</f>
        <v>x</v>
      </c>
      <c r="KF86" s="112" t="str">
        <f>HYPERLINK("http://sab.landtag.sachsen.de/dokumente/landtagskurier/Grundwerte-A5-international_web_08012016.pdf","x")</f>
        <v>x</v>
      </c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  <c r="KY86" s="112"/>
      <c r="KZ86" s="112"/>
      <c r="LA86" s="112"/>
      <c r="LB86" s="112"/>
      <c r="LC86" s="111"/>
      <c r="LD86" s="112"/>
      <c r="LE86" s="112"/>
      <c r="LF86" s="112"/>
      <c r="LG86" s="112"/>
      <c r="LH86" s="112"/>
      <c r="LI86" s="112"/>
      <c r="LJ86" s="112"/>
      <c r="LK86" s="112"/>
      <c r="LL86" s="112"/>
      <c r="LM86" s="112"/>
      <c r="LN86" s="112"/>
      <c r="LO86" s="112"/>
      <c r="LP86" s="112"/>
      <c r="LQ86" s="112"/>
      <c r="LR86" s="112"/>
      <c r="LS86" s="112"/>
      <c r="LT86" s="112"/>
      <c r="LU86" s="112"/>
      <c r="LV86" s="112"/>
      <c r="LW86" s="112"/>
      <c r="LX86" s="112"/>
      <c r="LY86" s="112"/>
      <c r="LZ86" s="112"/>
      <c r="MA86" s="112"/>
      <c r="MB86" s="112"/>
      <c r="MC86" s="111"/>
      <c r="MD86" s="112" t="str">
        <f>HYPERLINK("http://www.rki.de/DE/Content/Infekt/IfSG/Belehrungsbogen/belehrungsbogen_lebensmittel_englisch.pdf?__blob=publicationFile","x")</f>
        <v>x</v>
      </c>
      <c r="ME86" s="112"/>
      <c r="MF86" s="112" t="str">
        <f>HYPERLINK("http://www.gdv.de/wp-content/uploads/2016/01/Information_Brandschutz_Fluechtlingsheim_-Sicherheit_mehrsprachig.pdf","x")</f>
        <v>x</v>
      </c>
      <c r="MG86" s="112" t="str">
        <f>HYPERLINK("http://www.gdv.de/wp-content/uploads/2016/01/Information_Verhalten-im-Brandfall_mehrsprachig.pdf","x")</f>
        <v>x</v>
      </c>
      <c r="MH86" s="112" t="str">
        <f>HYPERLINK("http://www.aha-region.de/fileadmin/Download/pdf/aha_Plakat_Muelltrennung_en.pdf","x")</f>
        <v>x</v>
      </c>
      <c r="MI86" s="112" t="str">
        <f>HYPERLINK("http://www.kindersicherheit.de/pdf/2012_poster_achtunggiftig_8sprachig.pdf","x")</f>
        <v>x</v>
      </c>
    </row>
    <row r="87" spans="1:347" x14ac:dyDescent="0.25">
      <c r="A87" s="102" t="s">
        <v>139</v>
      </c>
      <c r="B87" s="127" t="s">
        <v>489</v>
      </c>
      <c r="C87" s="102"/>
      <c r="D87" s="102"/>
      <c r="E87" s="102"/>
      <c r="F87" s="102"/>
      <c r="G87" s="102"/>
      <c r="H87" s="102"/>
      <c r="I87" s="102"/>
      <c r="J87" s="102"/>
      <c r="K87" s="103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2"/>
      <c r="AP87" s="112"/>
      <c r="AQ87" s="112"/>
      <c r="AR87" s="112"/>
      <c r="AS87" s="112"/>
      <c r="AT87" s="112"/>
      <c r="AU87" s="112"/>
      <c r="AV87" s="113"/>
      <c r="AW87" s="114" t="str">
        <f t="shared" si="22"/>
        <v>x</v>
      </c>
      <c r="AX87" s="114" t="str">
        <f t="shared" si="23"/>
        <v>x</v>
      </c>
      <c r="AY87" s="111"/>
      <c r="AZ87" s="111"/>
      <c r="BA87" s="112" t="str">
        <f t="shared" si="24"/>
        <v>x</v>
      </c>
      <c r="BB87" s="112" t="str">
        <f t="shared" si="25"/>
        <v>x</v>
      </c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2" t="str">
        <f t="shared" si="26"/>
        <v>x</v>
      </c>
      <c r="BT87" s="112"/>
      <c r="BU87" s="111"/>
      <c r="BV87" s="112" t="str">
        <f t="shared" si="27"/>
        <v>x</v>
      </c>
      <c r="BW87" s="112"/>
      <c r="BX87" s="112"/>
      <c r="BY87" s="112"/>
      <c r="BZ87" s="112"/>
      <c r="CA87" s="112" t="str">
        <f t="shared" si="28"/>
        <v>x</v>
      </c>
      <c r="CB87" s="112" t="str">
        <f t="shared" si="29"/>
        <v>x</v>
      </c>
      <c r="CC87" s="112" t="str">
        <f t="shared" si="30"/>
        <v>x</v>
      </c>
      <c r="CD87" s="112"/>
      <c r="CE87" s="112"/>
      <c r="CF87" s="111"/>
      <c r="CG87" s="111"/>
      <c r="CH87" s="111"/>
      <c r="CI87" s="111"/>
      <c r="CJ87" s="112"/>
      <c r="CK87" s="112" t="str">
        <f t="shared" si="31"/>
        <v>x</v>
      </c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5"/>
      <c r="DD87" s="112"/>
      <c r="DE87" s="112"/>
      <c r="DF87" s="112" t="str">
        <f t="shared" si="32"/>
        <v>x</v>
      </c>
      <c r="DG87" s="115" t="str">
        <f t="shared" si="33"/>
        <v>x</v>
      </c>
      <c r="DH87" s="112" t="str">
        <f t="shared" si="34"/>
        <v>x</v>
      </c>
      <c r="DI87" s="112" t="str">
        <f t="shared" si="35"/>
        <v>x</v>
      </c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2"/>
      <c r="DV87" s="111"/>
      <c r="DW87" s="111"/>
      <c r="DX87" s="111"/>
      <c r="DY87" s="111"/>
      <c r="DZ87" s="111"/>
      <c r="EA87" s="112" t="str">
        <f>HYPERLINK("http://www.bamf.de/SharedDocs/Anlagen/DE/Publikationen/Flyer/AnerkennungBerufsabschluss/anerkennung-berufsabschluss_ausland_in.pdf?__blob=publicationFile","x")</f>
        <v>x</v>
      </c>
      <c r="EB87" s="112"/>
      <c r="EC87" s="112"/>
      <c r="ED87" s="111"/>
      <c r="EE87" s="111"/>
      <c r="EF87" s="111"/>
      <c r="EG87" s="111"/>
      <c r="EH87" s="111"/>
      <c r="EI87" s="111"/>
      <c r="EJ87" s="112"/>
      <c r="EK87" s="112"/>
      <c r="EL87" s="111"/>
      <c r="EM87" s="112"/>
      <c r="EN87" s="112"/>
      <c r="EO87" s="111"/>
      <c r="EP87" s="117"/>
      <c r="EQ87" s="118"/>
      <c r="ER87" s="112"/>
      <c r="ES87" s="111"/>
      <c r="ET87" s="111"/>
      <c r="EU87" s="111"/>
      <c r="EV87" s="111"/>
      <c r="EW87" s="112" t="str">
        <f t="shared" si="36"/>
        <v>x</v>
      </c>
      <c r="EX87" s="111"/>
      <c r="EY87" s="111"/>
      <c r="EZ87" s="111"/>
      <c r="FA87" s="111"/>
      <c r="FB87" s="111"/>
      <c r="FC87" s="111"/>
      <c r="FD87" s="112" t="str">
        <f t="shared" si="37"/>
        <v>x</v>
      </c>
      <c r="FE87" s="112"/>
      <c r="FF87" s="111"/>
      <c r="FG87" s="111"/>
      <c r="FH87" s="111"/>
      <c r="FI87" s="111"/>
      <c r="FJ87" s="112"/>
      <c r="FK87" s="112"/>
      <c r="FL87" s="111"/>
      <c r="FM87" s="111"/>
      <c r="FN87" s="112"/>
      <c r="FO87" s="112"/>
      <c r="FP87" s="112"/>
      <c r="FQ87" s="111"/>
      <c r="FR87" s="112"/>
      <c r="FS87" s="112"/>
      <c r="FT87" s="112"/>
      <c r="FU87" s="112"/>
      <c r="FV87" s="112"/>
      <c r="FW87" s="112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2"/>
      <c r="GI87" s="111"/>
      <c r="GJ87" s="111"/>
      <c r="GK87" s="111"/>
      <c r="GL87" s="111"/>
      <c r="GM87" s="112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2" t="str">
        <f t="shared" si="38"/>
        <v>x</v>
      </c>
      <c r="HD87" s="111"/>
      <c r="HE87" s="111"/>
      <c r="HF87" s="111"/>
      <c r="HG87" s="111"/>
      <c r="HH87" s="111"/>
      <c r="HI87" s="111"/>
      <c r="HJ87" s="111"/>
      <c r="HK87" s="112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2" t="str">
        <f t="shared" si="39"/>
        <v>x</v>
      </c>
      <c r="HZ87" s="112" t="str">
        <f t="shared" si="40"/>
        <v>x</v>
      </c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2"/>
      <c r="IL87" s="111"/>
      <c r="IM87" s="111"/>
      <c r="IN87" s="111"/>
      <c r="IO87" s="111"/>
      <c r="IP87" s="111"/>
      <c r="IQ87" s="112"/>
      <c r="IR87" s="112"/>
      <c r="IS87" s="111"/>
      <c r="IT87" s="111"/>
      <c r="IU87" s="111"/>
      <c r="IV87" s="112"/>
      <c r="IW87" s="112"/>
      <c r="IX87" s="112"/>
      <c r="IY87" s="112"/>
      <c r="IZ87" s="111"/>
      <c r="JA87" s="111"/>
      <c r="JB87" s="111"/>
      <c r="JC87" s="112"/>
      <c r="JD87" s="111"/>
      <c r="JE87" s="112"/>
      <c r="JF87" s="112"/>
      <c r="JG87" s="112"/>
      <c r="JH87" s="112"/>
      <c r="JI87" s="111"/>
      <c r="JJ87" s="112"/>
      <c r="JK87" s="112"/>
      <c r="JL87" s="112"/>
      <c r="JM87" s="112"/>
      <c r="JN87" s="112"/>
      <c r="JO87" s="112"/>
      <c r="JP87" s="112"/>
      <c r="JQ87" s="112"/>
      <c r="JR87" s="112"/>
      <c r="JS87" s="112"/>
      <c r="JT87" s="112"/>
      <c r="JU87" s="111"/>
      <c r="JV87" s="111"/>
      <c r="JW87" s="112"/>
      <c r="JX87" s="112"/>
      <c r="JY87" s="111"/>
      <c r="JZ87" s="111"/>
      <c r="KA87" s="111"/>
      <c r="KB87" s="111"/>
      <c r="KC87" s="111"/>
      <c r="KD87" s="111"/>
      <c r="KE87" s="111"/>
      <c r="KF87" s="112"/>
      <c r="KG87" s="111"/>
      <c r="KH87" s="111"/>
      <c r="KI87" s="111"/>
      <c r="KJ87" s="111"/>
      <c r="KK87" s="111"/>
      <c r="KL87" s="111"/>
      <c r="KM87" s="111"/>
      <c r="KN87" s="111"/>
      <c r="KO87" s="111"/>
      <c r="KP87" s="111"/>
      <c r="KQ87" s="111"/>
      <c r="KR87" s="111"/>
      <c r="KS87" s="111"/>
      <c r="KT87" s="111"/>
      <c r="KU87" s="111"/>
      <c r="KV87" s="111"/>
      <c r="KW87" s="111"/>
      <c r="KX87" s="111"/>
      <c r="KY87" s="111"/>
      <c r="KZ87" s="111"/>
      <c r="LA87" s="111"/>
      <c r="LB87" s="111"/>
      <c r="LC87" s="111"/>
      <c r="LD87" s="111"/>
      <c r="LE87" s="111"/>
      <c r="LF87" s="111"/>
      <c r="LG87" s="111"/>
      <c r="LH87" s="111"/>
      <c r="LI87" s="111"/>
      <c r="LJ87" s="111"/>
      <c r="LK87" s="111"/>
      <c r="LL87" s="111"/>
      <c r="LM87" s="111"/>
      <c r="LN87" s="111"/>
      <c r="LO87" s="111"/>
      <c r="LP87" s="111"/>
      <c r="LQ87" s="111"/>
      <c r="LR87" s="111"/>
      <c r="LS87" s="111"/>
      <c r="LT87" s="111"/>
      <c r="LU87" s="111"/>
      <c r="LV87" s="111"/>
      <c r="LW87" s="111"/>
      <c r="LX87" s="111"/>
      <c r="LY87" s="111"/>
      <c r="LZ87" s="111"/>
      <c r="MA87" s="111"/>
      <c r="MB87" s="111"/>
      <c r="MC87" s="111"/>
      <c r="MD87" s="111"/>
      <c r="ME87" s="111"/>
      <c r="MF87" s="111"/>
      <c r="MG87" s="111"/>
      <c r="MH87" s="111"/>
      <c r="MI87" s="111"/>
    </row>
    <row r="88" spans="1:347" x14ac:dyDescent="0.25">
      <c r="A88" s="102" t="s">
        <v>53</v>
      </c>
      <c r="B88" s="127" t="s">
        <v>1</v>
      </c>
      <c r="C88" s="102"/>
      <c r="D88" s="102"/>
      <c r="E88" s="102"/>
      <c r="F88" s="102"/>
      <c r="G88" s="102"/>
      <c r="H88" s="102"/>
      <c r="I88" s="102"/>
      <c r="J88" s="102"/>
      <c r="K88" s="103"/>
      <c r="L88" s="112" t="str">
        <f>HYPERLINK("http://sghanstedt.elbnetz.com/ueber-uns/","x")</f>
        <v>x</v>
      </c>
      <c r="M88" s="111"/>
      <c r="N88" s="112" t="str">
        <f>HYPERLINK("http://www.ag-fluechtlingshilfe-wetterau.de/uploads/infos/170.pdf","x")</f>
        <v>x</v>
      </c>
      <c r="O88" s="112" t="str">
        <f>HYPERLINK("http://www.ag-fluechtlingshilfe-wetterau.de/uploads/infos/220.pdf","x")</f>
        <v>x</v>
      </c>
      <c r="P88" s="112" t="str">
        <f>HYPERLINK("http://www.awb-ahrweiler.de/admin/data/ddownload/Abfall%20Sonderhinweise-Arabisch%202015.pdf","x")</f>
        <v>x</v>
      </c>
      <c r="Q88" s="112" t="str">
        <f>HYPERLINK("http://www.ag-fluechtlingshilfe-wetterau.de/uploads/infos/221.pdf","x")</f>
        <v>x</v>
      </c>
      <c r="R88" s="112" t="str">
        <f>HYPERLINK("http://www.konto.org/download/merkblatt-basiskonto-asylbewerber-arabisch.pdf","x")</f>
        <v>x</v>
      </c>
      <c r="S88" s="112"/>
      <c r="T88" s="112" t="str">
        <f>HYPERLINK("https://antworten.sparkasse.de/wp-content/uploads/2015/10/Arabisch.pdf","x")</f>
        <v>x</v>
      </c>
      <c r="U88" s="112" t="str">
        <f>HYPERLINK("http://www.ag-fluechtlingshilfe-wetterau.de/uploads/infos/191.pdf","x")</f>
        <v>x</v>
      </c>
      <c r="V88" s="112"/>
      <c r="W88" s="112"/>
      <c r="X8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8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88" s="112"/>
      <c r="AA88" s="112"/>
      <c r="AB88" s="112"/>
      <c r="AC88" s="112"/>
      <c r="AD88" s="112" t="str">
        <f>HYPERLINK("http://www.rundfunkbeitrag.de/e175/e1629/Informationsflyer_Buergerinnen_und_Buerger_arabisch.pdf","x")</f>
        <v>x</v>
      </c>
      <c r="AE88" s="112"/>
      <c r="AF88" s="112" t="str">
        <f>HYPERLINK("http://www.kub-berlin.org/formularprojekt/de/arabisch-antraege-und-anlagen/","x")</f>
        <v>x</v>
      </c>
      <c r="AG88" s="112" t="str">
        <f>HYPERLINK("http://asyl-in-moenchengladbach.de/wp-content/uploads/2015/11/100711-Flyer_arab.pdf","x")</f>
        <v>x</v>
      </c>
      <c r="AH88" s="111"/>
      <c r="AI88" s="112" t="str">
        <f>HYPERLINK("https://www.adac.de/sp/stiftung/_mmm/pdf/SGE_FOL_Verkehrssicherheit_Fl%C3%BCchtlinge_A3_01_16_Internet_250277.pdf","x")</f>
        <v>x</v>
      </c>
      <c r="AJ88" s="112" t="str">
        <f>HYPERLINK("http://www.stadt-koeln.de/mediaasset/content/العربية_kvb_kinderleicht_und_spielend_einfach__arabisch_.pdf","x")</f>
        <v>x</v>
      </c>
      <c r="AK88" s="112" t="str">
        <f>HYPERLINK("https://www.vrsinfo.de/fileadmin/Dateien/downloadcenter/Folder_MobilPassTicket_Refugees01012016.pdf","x")</f>
        <v>x</v>
      </c>
      <c r="AL88" s="112" t="str">
        <f>HYPERLINK("https://www.vrsinfo.de/fileadmin/Dateien/downloadcenter/Willkommen_im_VRS2016_Druck.pdf","x")</f>
        <v>x</v>
      </c>
      <c r="AM88" s="112"/>
      <c r="AN88" s="112" t="str">
        <f>HYPERLINK("https://www.deutschebahn.com/file/de/2191748/eYdgZpqGpp5sMJ2KMKtg2r8aE4Q/10123812/data/infos_fuer_fluechtlinge.pdf","x")</f>
        <v>x</v>
      </c>
      <c r="AO88" s="112"/>
      <c r="AP88" s="112"/>
      <c r="AQ88" s="112"/>
      <c r="AR88" s="112"/>
      <c r="AS88" s="112"/>
      <c r="AT88" s="112" t="str">
        <f>HYPERLINK("http://www.koelnerkarneval.de/fileadmin/content/images/news/Festkomitee_Flyer_DE_AR.pdf","x")</f>
        <v>x</v>
      </c>
      <c r="AU88" s="112"/>
      <c r="AV88" s="114" t="str">
        <f>HYPERLINK("http://www.studentenwerke.de/de/content/illustriertes-wohnheimw%C3%B6rterbuch-1","x")</f>
        <v>x</v>
      </c>
      <c r="AW88" s="114" t="str">
        <f t="shared" si="22"/>
        <v>x</v>
      </c>
      <c r="AX88" s="114" t="str">
        <f t="shared" si="23"/>
        <v>x</v>
      </c>
      <c r="AY88" s="112" t="str">
        <f>HYPERLINK("http://fi-lohmar-siegburg.de/data/documents/Findefix_arabisch-Bildwoerterbuch.pdf","x")</f>
        <v>x</v>
      </c>
      <c r="AZ88" s="111"/>
      <c r="BA88" s="112" t="str">
        <f t="shared" si="24"/>
        <v>x</v>
      </c>
      <c r="BB88" s="112" t="str">
        <f t="shared" si="25"/>
        <v>x</v>
      </c>
      <c r="BC88" s="112"/>
      <c r="BD88" s="112" t="str">
        <f>HYPERLINK("http://www.rehavista.de/?at=Mat_Boardmaker&amp;d=1&amp;dtype=mat&amp;id=1014","x")</f>
        <v>x</v>
      </c>
      <c r="BE88" s="112" t="str">
        <f>HYPERLINK("http://fi-lohmar-siegburg.de/data/documents/communicationboard-arabic-english.pdf","x")</f>
        <v>x</v>
      </c>
      <c r="BF88" s="112" t="str">
        <f>HYPERLINK("http://fi-lohmar-siegburg.de/data/documents/communicationboard-arabic-french.pdf","x")</f>
        <v>x</v>
      </c>
      <c r="BG88" s="111"/>
      <c r="BH88" s="112" t="str">
        <f>HYPERLINK("http://www.refugeephrasebook.de/pdf/germany150920.pdf","x")</f>
        <v>x</v>
      </c>
      <c r="BI88" s="112" t="str">
        <f>HYPERLINK("https://www.advanced-online.eu/downloads/RefugeePhrasebookCards_German-Arabic.pdf","x")</f>
        <v>x</v>
      </c>
      <c r="BJ88" s="112" t="str">
        <f>HYPERLINK("http://www.klett-sprachen.de/download/8638/W100255_Refugees_Welcome_Wortschatz.pdf","x")</f>
        <v>x</v>
      </c>
      <c r="BK88" s="112" t="str">
        <f>HYPERLINK("http://www.agf-trier.de/sites/default/files/bersetzungshilfe%20allgemein%20Arab..pdf","x")</f>
        <v>x</v>
      </c>
      <c r="BL88" s="112" t="str">
        <f>HYPERLINK("http://www.bundessprachenamt.de/deutsch/wir_ueber_uns/nachrichten/2015/20151103/Verständigungshilfe_Syrisch-Arabisch_07_12_2015.pdf","x")</f>
        <v>x</v>
      </c>
      <c r="BM88" s="112" t="str">
        <f>HYPERLINK("http://www.frnrw.de/images/Aus_den_Initiativen/Ehrenamtler/2015/Dictionary_x10_print-2.pdf","x")</f>
        <v>x</v>
      </c>
      <c r="BN88" s="112" t="str">
        <f>HYPERLINK("http://www.medbox.org/toolboxes/kleines-worterbuch-little-dictionary-deutsch-englisch-arabisch/preview","x")</f>
        <v>x</v>
      </c>
      <c r="BO88" s="111"/>
      <c r="BP88" s="111"/>
      <c r="BQ88" s="112" t="str">
        <f>HYPERLINK("https://www.friedensdorf.de/documents/Woerterbuch_Arabisch.pdf","x")</f>
        <v>x</v>
      </c>
      <c r="BR88" s="111"/>
      <c r="BS88" s="112" t="str">
        <f t="shared" si="26"/>
        <v>x</v>
      </c>
      <c r="BT88" s="112" t="str">
        <f>HYPERLINK("http://de.langenscheidt.com/doc/arabisch-deutsch-sprachfuehrer.pdf","x")</f>
        <v>x</v>
      </c>
      <c r="BU88" s="111"/>
      <c r="BV88" s="112" t="str">
        <f t="shared" si="27"/>
        <v>x</v>
      </c>
      <c r="BW88" s="112" t="str">
        <f>HYPERLINK("http://www.welcomegrooves.de/wp-content/uploads/2015/10/welcomegrooves_DE-ARABISCH.pdf","x")</f>
        <v>x</v>
      </c>
      <c r="BX88" s="112"/>
      <c r="BY88" s="112"/>
      <c r="BZ88" s="112" t="str">
        <f>HYPERLINK("http://fluechtlingshilfe-nettetal.de/ausbildung/video-sprachkurse-deutsch-fuer-fluechtlinge/video-sprachkurs-syrisch-deutsch/","x")</f>
        <v>x</v>
      </c>
      <c r="CA88" s="112" t="str">
        <f t="shared" si="28"/>
        <v>x</v>
      </c>
      <c r="CB88" s="112" t="str">
        <f t="shared" si="29"/>
        <v>x</v>
      </c>
      <c r="CC88" s="112" t="str">
        <f t="shared" si="30"/>
        <v>x</v>
      </c>
      <c r="CD88" s="112"/>
      <c r="CE88" s="112"/>
      <c r="CF88" s="112" t="str">
        <f>HYPERLINK("http://www.agf-trier.de/sites/default/files/bersetzungshilfe%20%20f%C3%BCr%20Frauen%20Arab..pdf","x")</f>
        <v>x</v>
      </c>
      <c r="CG88" s="112" t="str">
        <f>HYPERLINK("http://www.braunschweig.de/leben/frauen/hilfe/Ohne-Gewalt-leben.pdf","x")</f>
        <v>x</v>
      </c>
      <c r="CH88" s="112" t="str">
        <f>HYPERLINK("http://mifkjf.rlp.de/fileadmin/mifkjf/Frauen/Gewalt_gegen_Frauen/Downloads/Broschueren_Flyer/Flyer_Gewalt_arabisch_fuer_ANSICHT.pdf","x")</f>
        <v>x</v>
      </c>
      <c r="CI88" s="112"/>
      <c r="CJ88" s="112" t="str">
        <f>HYPERLINK("https://www.hilfetelefon.de/fileadmin/hilfetelefon_de/Materialien/weitere_werbemittel/Klappflyer_Vorder-_und_Rueckseite_opt2.pdf","x")</f>
        <v>x</v>
      </c>
      <c r="CK88" s="112" t="str">
        <f t="shared" si="31"/>
        <v>x</v>
      </c>
      <c r="CL88" s="112" t="str">
        <f>HYPERLINK("http://www.frauenberatungsstelle.de/pdf/Migrantinnen-beraten-Migrantinnen.pdf","x")</f>
        <v>x</v>
      </c>
      <c r="CM88" s="112"/>
      <c r="CN88" s="112"/>
      <c r="CO88" s="112"/>
      <c r="CP88" s="112" t="str">
        <f>HYPERLINK("http://www.schwanger-und-viele-fragen.de/ar/","x")</f>
        <v>x</v>
      </c>
      <c r="CQ88" s="112"/>
      <c r="CR8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88" s="112"/>
      <c r="CT88" s="112"/>
      <c r="CU88" s="112" t="str">
        <f>HYPERLINK("http://www.profamilia.de/fileadmin/publikationen/Erwachsene/mehrsprachig/verhuetung_arabisch.pdf","x")</f>
        <v>x</v>
      </c>
      <c r="CV88" s="112"/>
      <c r="CW88" s="112"/>
      <c r="CX88" s="112"/>
      <c r="CY88" s="112" t="str">
        <f>HYPERLINK("http://www.caritas-schwarzwald-alb-donau.de/68854.html","x")</f>
        <v>x</v>
      </c>
      <c r="CZ88" s="112"/>
      <c r="DA88" s="112" t="str">
        <f>HYPERLINK("http://sichere-orte-schaffen.de/wp-content/uploads/Minibrosch_Fluechtlinge_multilang.pdf","x")</f>
        <v>x</v>
      </c>
      <c r="DB88" s="112"/>
      <c r="DC88" s="115" t="str">
        <f>HYPERLINK("http://www.kindersicherheit.de/pdf/2012_Bilderbuch-Gift-Arabisch.pdf","x")</f>
        <v>x</v>
      </c>
      <c r="DD88" s="112"/>
      <c r="DE88" s="112"/>
      <c r="DF88" s="112" t="str">
        <f t="shared" si="32"/>
        <v>x</v>
      </c>
      <c r="DG88" s="115" t="str">
        <f t="shared" si="33"/>
        <v>x</v>
      </c>
      <c r="DH88" s="112" t="str">
        <f t="shared" si="34"/>
        <v>x</v>
      </c>
      <c r="DI88" s="112" t="str">
        <f t="shared" si="35"/>
        <v>x</v>
      </c>
      <c r="DJ88" s="112" t="str">
        <f>HYPERLINK("http://www.bibliomedia.ch/de/angebote/dokumente/Glossar_arabisch.pdf","x")</f>
        <v>x</v>
      </c>
      <c r="DK88" s="112"/>
      <c r="DL88" s="112" t="str">
        <f>HYPERLINK("http://www.carlsen.de/sites/default/files/Walter-ebook_arabisch_klein.pdf","x")</f>
        <v>x</v>
      </c>
      <c r="DM88" s="112"/>
      <c r="DN88" s="112"/>
      <c r="DO88" s="112" t="str">
        <f>HYPERLINK("http://www.wdrmaus.de/sachgeschichten/maus-international/","x")</f>
        <v>x</v>
      </c>
      <c r="DP88" s="111"/>
      <c r="DQ88" s="112" t="str">
        <f>HYPERLINK("http://tipdoc.de/bus/grafik/kinder-tip/SCHULTIP_give_didacta.pdf","x")</f>
        <v>x</v>
      </c>
      <c r="DR88" s="112" t="str">
        <f>HYPERLINK("https://broschueren.nordrheinwestfalendirekt.de/broschuerenservice/msw/ar-das-schulsystem-in-nordrhein-westfalen-einfach-und-schnell-erklaert/1901","x")</f>
        <v>x</v>
      </c>
      <c r="DS88" s="112" t="str">
        <f>HYPERLINK("http://bildung.koeln.de/materialbibliothek/download.php?idx=7479da9798519efb4e1944d46a76011b","x")</f>
        <v>x</v>
      </c>
      <c r="DT88" s="112" t="str">
        <f>HYPERLINK("http://bildung.koeln.de/materialbibliothek/download.php?idx=dd3a964c240308ea1c8e0d161e49e314","x")</f>
        <v>x</v>
      </c>
      <c r="DU88" s="112"/>
      <c r="DV88" s="112" t="str">
        <f>HYPERLINK("https://www.bmbf.de/pub/Kausa_Elternbroschuere_arabisch.pdf","x")</f>
        <v>x</v>
      </c>
      <c r="DW88" s="112"/>
      <c r="DX88" s="112" t="str">
        <f>HYPERLINK("http://www.wissenschaft.nrw.de/studium/informieren/informationen-fuer-fluechtlinge-die-in-nrw-studieren-moechten/","x")</f>
        <v>x</v>
      </c>
      <c r="DY88" s="112" t="str">
        <f>HYPERLINK("http://www.bamf.de/SharedDocs/Anlagen/DE/Publikationen/Flyer/AnerkennungBerufsabschluss/berufliche_anerkennung_akademische-heilberufe_ar.pdf?__blob=publicationFile","x")</f>
        <v>x</v>
      </c>
      <c r="DZ88" s="112" t="str">
        <f>HYPERLINK("http://www.bamf.de/SharedDocs/Anlagen/DE/Publikationen/Flyer/AnerkennungBerufsabschluss/anerkennung-berufsabschluss_ar.pdf?__blob=publicationFile","x")</f>
        <v>x</v>
      </c>
      <c r="EA88" s="112" t="str">
        <f>HYPERLINK("http://www.bamf.de/SharedDocs/Anlagen/DE/Publikationen/Flyer/AnerkennungBerufsabschluss/anerkennung-berufsabschluss_ausland_ar.pdf?__blob=publicationFile","x")</f>
        <v>x</v>
      </c>
      <c r="EB88" s="112" t="str">
        <f>HYPERLINK("http://www.bamf.de/SharedDocs/Anlagen/DE/Publikationen/Broschueren/willkommen-in-deutschland-info-blaue-karte-eu_ar.pdf?__blob=publicationFile","x")</f>
        <v>x</v>
      </c>
      <c r="EC88" s="112" t="str">
        <f>HYPERLINK("http://www.bamf.de/SharedDocs/Anlagen/DE/Publikationen/Flyer/Berufsbezsprachf-ESF-BAMF/berufsbezsprachf-esf-bamf_ar.pdf?__blob=publicationFile","x")</f>
        <v>x</v>
      </c>
      <c r="ED88" s="111"/>
      <c r="EE88" s="111"/>
      <c r="EF88" s="111"/>
      <c r="EG88" s="111"/>
      <c r="EH88" s="111"/>
      <c r="EI88" s="111"/>
      <c r="EJ88" s="112"/>
      <c r="EK88" s="112" t="str">
        <f>HYPERLINK("http://fluechtlingsrat-bw.de/files/Dateien/Dokumente/Materialbestellung/2014-12-flyer%20arbeitserlaubnis%20AR%20WEB_final.pdf","x")</f>
        <v>x</v>
      </c>
      <c r="EL88" s="112" t="str">
        <f>HYPERLINK("http://www.aponet.de/arabisch/20151019-fuer-den-notfall-wichtige-rufnummern-im-ueberblick.html","x")</f>
        <v>x</v>
      </c>
      <c r="EM88" s="112" t="str">
        <f>HYPERLINK("http://www.kvs-sachsen.de/fileadmin/img/Mitglieder/Asylbewerber/Allg-Informationen/Anlage_1_Arabisch_LEK.pdf","x")</f>
        <v>x</v>
      </c>
      <c r="EN88" s="112" t="str">
        <f>HYPERLINK("http://www.medizin-hilft-fluechtlingen.de/images/Dokumente/gSch/gSch_arab.pdf","x")</f>
        <v>x</v>
      </c>
      <c r="EO88" s="112" t="str">
        <f>HYPERLINK("http://www.aponet.de/arabisch/20151016-medizinische-leistungen-fuer-asylbewerber.html","x")</f>
        <v>x</v>
      </c>
      <c r="EP88" s="117" t="str">
        <f>HYPERLINK("http://www.medi-bild.de/pdf/anamnese/Welche_Sprache.pdf","x")</f>
        <v>x</v>
      </c>
      <c r="EQ88" s="117" t="str">
        <f>HYPERLINK("http://www.armut-gesundheit.de/fileadmin/redakteur/dokumente/Anamnesebogen%20-%20Arabischnew.pdf","x")</f>
        <v>x</v>
      </c>
      <c r="ER88" s="112" t="str">
        <f>HYPERLINK("http://www.kvs-sachsen.de/fileadmin/img/Mitglieder/Asylbewerber/Allg-Informationen/Anlagen_2-1_2-2_Arabisch_LEK.pdf","x")</f>
        <v>x</v>
      </c>
      <c r="ES88" s="112"/>
      <c r="ET88" s="112" t="str">
        <f>HYPERLINK("http://www.pharmazeutische-zeitung.de/fileadmin/pdf/Fragebogen_PZ_43_2015.pdf","x")</f>
        <v>x</v>
      </c>
      <c r="EU88" s="112" t="str">
        <f>HYPERLINK("http://www.medizin-hilft-fluechtlingen.de/images/Dokumente/ein/ein_arab.pdf","x")</f>
        <v>x</v>
      </c>
      <c r="EV88" s="112" t="str">
        <f>HYPERLINK("http://www.adler-apotheke-hh.de/fileadmin/user_upload/PDF-Dateien/Dosierzettel_mehrsprachig_AUF_0_.pdf","x")</f>
        <v>x</v>
      </c>
      <c r="EW88" s="112" t="str">
        <f t="shared" si="36"/>
        <v>x</v>
      </c>
      <c r="EX88" s="112" t="str">
        <f>HYPERLINK("http://www.rki.de/DE/Content/Infekt/IfSG/Belehrungsbogen/belehrungsbogen_eltern_arabisch.pdf?__blob=publicationFile","x")</f>
        <v>x</v>
      </c>
      <c r="EY88" s="112" t="str">
        <f>HYPERLINK("http://www.bzga.de/infomaterialien/?sid=236","x")</f>
        <v>x</v>
      </c>
      <c r="EZ88" s="112" t="str">
        <f>HYPERLINK("https://www.mh-hannover.de/fileadmin/mhh/bilder/aktuelles_presse/presseinformationen_news/150921_Pilz_Vergif_Arab_3.pdf","x")</f>
        <v>x</v>
      </c>
      <c r="FA88" s="112"/>
      <c r="FB88" s="112" t="str">
        <f>HYPERLINK("http://static.apotheken-umschau.de/media/gp/article_506373/bildwoerterbuch.pdf","x")</f>
        <v>x</v>
      </c>
      <c r="FC88" s="111"/>
      <c r="FD88" s="112" t="str">
        <f t="shared" si="37"/>
        <v>x</v>
      </c>
      <c r="FE88" s="112" t="str">
        <f>HYPERLINK("http://sghanstedt.elbnetz.com/ueber-uns/","x")</f>
        <v>x</v>
      </c>
      <c r="FF88" s="112" t="str">
        <f>HYPERLINK("http://www.fuhlenhagen.com/pdf_dateien/uebertzungshilfe_aerzte_mehrsprachig.pdf","x")</f>
        <v>x</v>
      </c>
      <c r="FG88" s="112" t="str">
        <f>HYPERLINK("http://www.tipdoc.de/grafik/asyl/Gesundheitsheft_Asyl.pdf","x")</f>
        <v>x</v>
      </c>
      <c r="FH88" s="111"/>
      <c r="FI88" s="111"/>
      <c r="FJ88" s="112" t="str">
        <f>HYPERLINK("http://www.bundesgesundheitsministerium.de/fileadmin/dateien/Publikationen/Gesundheit/Broschueren/Ratgeber_Asylsuchende/Ratgeber_Asylsuchende_arab.PDF","x")</f>
        <v>x</v>
      </c>
      <c r="FK88" s="112" t="str">
        <f>HYPERLINK("http://www.rki.de/DE/Content/Infekt/Impfen/Materialien/Downloads-Impfkalender/Impfkalender_Arabisch.pdf?__blob=publicationFile","x")</f>
        <v>x</v>
      </c>
      <c r="FL88" s="112" t="str">
        <f>HYPERLINK("http://www.ethno-medizinisches-zentrum.de/images/PDF-Files/impfwegweiser_arabbisch_2013_online.pdf","x")</f>
        <v>x</v>
      </c>
      <c r="FM88" s="112"/>
      <c r="FN88" s="112" t="str">
        <f>HYPERLINK("http://www.rki.de/DE/Content/Infekt/Impfen/Materialien/Glossar-Downloads/glossar-de-arabisch.pdf?__blob=publicationFile","x")</f>
        <v>x</v>
      </c>
      <c r="FO88" s="112"/>
      <c r="FP88" s="112" t="str">
        <f>HYPERLINK("http://www.rki.de/DE/Content/Infekt/Impfen/Materialien/Downloads-MMR/MMR-Impfinfo-arabisch.pdf?__blob=publicationFile","x")</f>
        <v>x</v>
      </c>
      <c r="FQ88" s="112" t="str">
        <f>HYPERLINK("http://www.rki.de/DE/Content/InfAZ/P/Polio/Ausbruch_Syrien/Informationsblatt_Polio_Arabisch.pdf?__blob=publicationFile","x")</f>
        <v>x</v>
      </c>
      <c r="FR88" s="112" t="str">
        <f>HYPERLINK("http://www.rki.de/DE/Content/Infekt/Impfen/Materialien/Downloads_HepA/Aufklaerung_HAV-Impfung_arabisch.pdf?__blob=publicationFile","x")</f>
        <v>x</v>
      </c>
      <c r="FS88" s="112" t="str">
        <f>HYPERLINK("http://www.rki.de/DE/Content/Infekt/Impfen/Materialien/Downloads_Pneumokokken/Aufklaerung_Pneumo-Impfung_Arabisch.pdf?__blob=publicationFile","x")</f>
        <v>x</v>
      </c>
      <c r="FT88" s="112" t="str">
        <f>HYPERLINK("http://www.rki.de/DE/Content/Infekt/Impfen/Materialien/Downloads-DTaPIPVHibHepB/DTaPIPVHibHepB_arabisch.pdf?__blob=publicationFile","x")</f>
        <v>x</v>
      </c>
      <c r="FU88" s="112" t="str">
        <f>HYPERLINK("http://www.rki.de/DE/Content/Infekt/Impfen/Materialien/Downloads-Varizellen/Varizellen-Impfinfo-arabisch.pdf;jsessionid=65B697F4EE7EDA8A1ED9E2C4CD6C74EC.2_cid363?__blob=publicationFile","x")</f>
        <v>x</v>
      </c>
      <c r="FV88" s="112" t="str">
        <f>HYPERLINK("http://www.rki.de/DE/Content/Infekt/Impfen/Materialien/Downloads-Tdap-IPV/Tdap-IPV-arabisch.pdf?__blob=publicationFile","x")</f>
        <v>x</v>
      </c>
      <c r="FW88" s="112" t="str">
        <f>HYPERLINK("http://www.rki.de/DE/Content/Infekt/Impfen/Materialien/Downloads-Influenza_nasal/Influenza_nasal-arabisch.pdf?__blob=publicationFile","x")</f>
        <v>x</v>
      </c>
      <c r="FX88" s="112" t="str">
        <f>HYPERLINK("http://www.medical-tribune.de/fileadmin/PDF/Arthrose_arabisch.pdf","x")</f>
        <v>x</v>
      </c>
      <c r="FY88" s="112" t="str">
        <f>HYPERLINK("http://www.medical-tribune.de/fileadmin/PDF/Asthma_arabisch.pdf","x")</f>
        <v>x</v>
      </c>
      <c r="FZ88" s="112" t="str">
        <f>HYPERLINK("http://www.medical-tribune.de/fileadmin/PDF/Bluthochdruck_arabisch.pdf","x")</f>
        <v>x</v>
      </c>
      <c r="GA88" s="112"/>
      <c r="GB88" s="112" t="str">
        <f>HYPERLINK("http://www.medical-tribune.de/fileadmin/PDF/COPD_arabisch.pdf","x")</f>
        <v>x</v>
      </c>
      <c r="GC88" s="112"/>
      <c r="GD88" s="112" t="str">
        <f>HYPERLINK("http://www.ethno-medizinisches-zentrum.de/images/PDF-Files/lf_diabete_arab.pdf","x")</f>
        <v>x</v>
      </c>
      <c r="GE88" s="112"/>
      <c r="GF88" s="112"/>
      <c r="GG88" s="112"/>
      <c r="GH88" s="112"/>
      <c r="GI88" s="112" t="str">
        <f>HYPERLINK("http://www.tipdoc.de/bus/pdf/hepatitis/Hep_B_Webseite.pdf","x")</f>
        <v>x</v>
      </c>
      <c r="GJ88" s="112" t="str">
        <f>HYPERLINK("http://www.tipdoc.de/bus/pdf/hepatitis/Hep_C_Webseite.pdf","x")</f>
        <v>x</v>
      </c>
      <c r="GK88" s="111"/>
      <c r="GL88" s="111"/>
      <c r="GM88" s="112" t="str">
        <f>HYPERLINK("http://www.rki.de/DE/Content/Infekt/Impfen/Materialien/Downloads-Influenza/Influenza-arabisch.pdf?__blob=publicationFile","x")</f>
        <v>x</v>
      </c>
      <c r="GN88" s="112"/>
      <c r="GO88" s="112" t="str">
        <f>HYPERLINK("http://www.aponet.de/arabisch/20151111-so-unterscheiden-sich-grippe-und-erkaeltung.html","x")</f>
        <v>x</v>
      </c>
      <c r="GP88" s="112" t="str">
        <f>HYPERLINK("http://www.tipdoc.de/grafik/pdf/kopflaeuse/Kopflaeuse_ARAB.pdf","x")</f>
        <v>x</v>
      </c>
      <c r="GQ88" s="112"/>
      <c r="GR88" s="112" t="str">
        <f>HYPERLINK("http://www.tipdoc.com/bus/pdf/kraetze/tipdoc_Scabies_ARAB.pdf","x")</f>
        <v>x</v>
      </c>
      <c r="GS88" s="112" t="str">
        <f>HYPERLINK("http://www.tipdoc.com/bus/pdf/MagenDarmHaende/MagenDarmHaende_Arab.pdf","x")</f>
        <v>x</v>
      </c>
      <c r="GT88" s="112"/>
      <c r="GU88" s="112" t="str">
        <f>HYPERLINK("http://www.medical-tribune.de/fileadmin/PDF/Rueckenschmerzen_arabisch.pdf","x")</f>
        <v>x</v>
      </c>
      <c r="GV88" s="112"/>
      <c r="GW88" s="112"/>
      <c r="GX88" s="112" t="str">
        <f>HYPERLINK("http://www.medical-tribune.de/fileadmin/PDF/Schwindel_arabisch.pdf","x")</f>
        <v>x</v>
      </c>
      <c r="GY88" s="112"/>
      <c r="GZ88" s="112"/>
      <c r="HA88" s="112"/>
      <c r="HB88" s="112"/>
      <c r="HC88" s="112" t="str">
        <f t="shared" si="38"/>
        <v>x</v>
      </c>
      <c r="HD88" s="112" t="str">
        <f>HYPERLINK("https://www.zahnaerzte-wl.de/images/_PDF-suche/KZV_ZÄK/ENDSTAND_Ankreuzbogen_Ich_verstehe.pdf","x")</f>
        <v>x</v>
      </c>
      <c r="HE88" s="112" t="str">
        <f>HYPERLINK("https://www.zahnaerzte-wl.de/images/_PDF-suche/KZV_ZÄK/Anschreiben_Patienten_arabisch.pdf","x")</f>
        <v>x</v>
      </c>
      <c r="HF88" s="112" t="str">
        <f>HYPERLINK("https://www.zahnaerzte-wl.de/images/_PDF-suche/KZV_ZÄK/Fragebogen_arabisch.pdf","x")</f>
        <v>x</v>
      </c>
      <c r="HG88" s="112" t="str">
        <f>HYPERLINK("https://www.zahnaerzte-wl.de/images/_PDF-suche/KZV_ZÄK/Patientenerhebungsbogen_arabisch.pdf","x")</f>
        <v>x</v>
      </c>
      <c r="HH88" s="112"/>
      <c r="HI88" s="112"/>
      <c r="HJ88" s="112" t="str">
        <f>HYPERLINK("http://www.ibbc-berlin.de/media/Bro_de-arab.pdf","x")</f>
        <v>x</v>
      </c>
      <c r="HK88" s="112"/>
      <c r="HL88" s="112" t="str">
        <f>HYPERLINK("http://www.ethno-medizinisches-zentrum.de/images/PDF-Files/lf_depression__arab.pdf","x")</f>
        <v>x</v>
      </c>
      <c r="HM88" s="112"/>
      <c r="HN88" s="112"/>
      <c r="HO88" s="112"/>
      <c r="HP88" s="112"/>
      <c r="HQ88" s="112"/>
      <c r="HR88" s="112"/>
      <c r="HS88" s="112"/>
      <c r="HT88" s="112"/>
      <c r="HU88" s="112"/>
      <c r="HV88" s="112"/>
      <c r="HW88" s="112"/>
      <c r="HX88" s="112" t="str">
        <f>HYPERLINK("http://www.bkk-psychisch-gesund.de/fileadmin/user_upload/Dokumente/Versicherte/Broschueren/Wegweiser_Psychotherapie_arabisch.pdf","x")</f>
        <v>x</v>
      </c>
      <c r="HY88" s="112" t="str">
        <f t="shared" si="39"/>
        <v>x</v>
      </c>
      <c r="HZ88" s="112" t="str">
        <f t="shared" si="40"/>
        <v>x</v>
      </c>
      <c r="IA88" s="112"/>
      <c r="IB88" s="112"/>
      <c r="IC88" s="112"/>
      <c r="ID88" s="112" t="str">
        <f>HYPERLINK("http://www.susannestein.de/VIA-online/trauma-bilderbuch-arabisch.pdf","x")</f>
        <v>x</v>
      </c>
      <c r="IE88" s="112"/>
      <c r="IF88" s="112"/>
      <c r="IG88" s="112"/>
      <c r="IH88" s="111"/>
      <c r="II88" s="112"/>
      <c r="IJ88" s="112"/>
      <c r="IK88" s="112" t="str">
        <f>HYPERLINK("http://www.bamf.de/SharedDocs/Anlagen/DE/Publikationen/Flyer/Lassen-Sie-Sich-Beraten/lassen-sie-sich-beraten_ar.pdf?__blob=publicationFile","x")</f>
        <v>x</v>
      </c>
      <c r="IL88" s="112" t="str">
        <f>HYPERLINK("http://www.bamf.de/SharedDocs/Anlagen/DE/Publikationen/Flyer/flyer-erstorientierung-asylsuchende_arabisch.pdf?__blob=publicationFile","x")</f>
        <v>x</v>
      </c>
      <c r="IM88" s="111"/>
      <c r="IN88" s="112" t="str">
        <f>HYPERLINK("https://www.bamf.de/SharedDocs/Anlagen/DE/Publikationen/Broschueren/willkommen-in-deutschland_ar.pdf?__blob=publicationFile","x")</f>
        <v>x</v>
      </c>
      <c r="IO88" s="112"/>
      <c r="IP88" s="111"/>
      <c r="IQ88" s="112" t="str">
        <f>HYPERLINK("http://www.bamf.de/SharedDocs/Anlagen/DE/Publikationen/Flyer/Lernen-Sie-Deutsch/lernen-sie-deutsch_ar.pdf?__blob=publicationFile","x")</f>
        <v>x</v>
      </c>
      <c r="IR88" s="112" t="str">
        <f>HYPERLINK("http://www.asyl.net/fileadmin/user_upload/redaktion/Dokumente/Arbeitshilfen/150910_Wie_l%C3%A4uft_ein_Asylverfahren_ab_%C3%9Cberblickstext_Arabisch.pdf","x")</f>
        <v>x</v>
      </c>
      <c r="IS88" s="111"/>
      <c r="IT88" s="111"/>
      <c r="IU88" s="111"/>
      <c r="IV88" s="112" t="str">
        <f>HYPERLINK("http://www.asyl.net/fileadmin/user_upload/infoblatt_anhoerung/Infoblatt_2015_ar_fin.pdf","x")</f>
        <v>x</v>
      </c>
      <c r="IW88" s="112" t="str">
        <f>HYPERLINK("http://efi-landsberg.de/asyl/wp-content/uploads/2014/04/Merkblatt-Asylbewerber-Fluechtlinge.pdf","x")</f>
        <v>x</v>
      </c>
      <c r="IX88" s="112"/>
      <c r="IY88" s="112" t="str">
        <f>HYPERLINK("http://www.bamf.de/SharedDocs/Anlagen/DE/Publikationen/Broschueren/broschuere-eat-a4-ar-arabisch.pdf?__blob=publicationFile","x")</f>
        <v>x</v>
      </c>
      <c r="IZ88" s="111"/>
      <c r="JA88" s="112" t="str">
        <f>HYPERLINK("http://fluechtlingsrat-bw.de/informationen-fuer-fluechtlinge.html","x")</f>
        <v>x</v>
      </c>
      <c r="JB88" s="111"/>
      <c r="JC88" s="112"/>
      <c r="JD88" s="111"/>
      <c r="JE88" s="112"/>
      <c r="JF88" s="112"/>
      <c r="JG88" s="112" t="str">
        <f>HYPERLINK("http://www.bamf.de/SharedDocs/Anlagen/DE/Publikationen/Flyer/Ehegattennachzug/ehegattennachzug-ar.pdf?__blob=publicationFile","x")</f>
        <v>x</v>
      </c>
      <c r="JH88" s="112" t="str">
        <f>HYPERLINK("https://familyreunion-syria.diplo.de/webportal/index.html#start","x")</f>
        <v>x</v>
      </c>
      <c r="JI88" s="111"/>
      <c r="JJ88" s="112"/>
      <c r="JK88" s="112" t="str">
        <f>HYPERLINK("https://www.arbeitsagentur.de/web/wcm/idc/groups/public/documents/webdatei/mdaw/mjgz/~edisp/l6019022dstbai784629.pdf?_ba.sid=L6019022DSTBAI788745","x")</f>
        <v>x</v>
      </c>
      <c r="JL88" s="112" t="str">
        <f>HYPERLINK("http://www.kub-berlin.org/formularprojekt/de/arabisch-antraege-und-anlagen/","x")</f>
        <v>x</v>
      </c>
      <c r="JM88" s="112" t="str">
        <f>HYPERLINK("https://www.arbeitsagentur.de/web/content/DE/Formulare/Detail/index.htm?dfContentId=L6019022DSTBAI485740","x")</f>
        <v>x</v>
      </c>
      <c r="JN88" s="112"/>
      <c r="JO88" s="112"/>
      <c r="JP88" s="112"/>
      <c r="JQ88" s="112"/>
      <c r="JR88" s="112" t="str">
        <f>HYPERLINK("http://www.ibla-germany.de/merkblaetter.php","x")</f>
        <v>x</v>
      </c>
      <c r="JS88" s="112"/>
      <c r="JT88" s="112" t="str">
        <f>HYPERLINK("http://www.b-umf.de/images/willkommen/willkommensbroschurearabisch-web.pdf","x")</f>
        <v>x</v>
      </c>
      <c r="JU88" s="111"/>
      <c r="JV88" s="111"/>
      <c r="JW88" s="112"/>
      <c r="JX88" s="112"/>
      <c r="JY88" s="112"/>
      <c r="JZ88" s="112"/>
      <c r="KA88" s="112" t="str">
        <f>HYPERLINK("http://www.kas.de/wf/de/33.43117/","x")</f>
        <v>x</v>
      </c>
      <c r="KB88" s="112" t="str">
        <f>HYPERLINK("http://www.refugeeguide.de/dl/RefugeeGuide_ar_930.pdf","x")</f>
        <v>x</v>
      </c>
      <c r="KC88" s="112" t="str">
        <f>HYPERLINK("http://www.bpb.de/shop/buecher/grundgesetz/215136/grundgesetz-auf-arabisch","x")</f>
        <v>x</v>
      </c>
      <c r="KD88" s="112" t="str">
        <f>HYPERLINK("http://www.wedel.de/fileadmin/user_upload/media/pdf/Rathaus_und_Politik/20160118_PM_Broschuere.pdf","x")</f>
        <v>x</v>
      </c>
      <c r="KE88" s="112" t="str">
        <f>HYPERLINK("http://www.frauenrechte.de/online/images/downloads/allgemein/TDF_Flyer_Women_Men.pdf","x")</f>
        <v>x</v>
      </c>
      <c r="KF88" s="112" t="str">
        <f>HYPERLINK("http://sab.landtag.sachsen.de/dokumente/landtagskurier/Grundwerte-A5-international_web_08012016.pdf","x")</f>
        <v>x</v>
      </c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2"/>
      <c r="LC88" s="111"/>
      <c r="LD88" s="111"/>
      <c r="LE88" s="111"/>
      <c r="LF88" s="111"/>
      <c r="LG88" s="112"/>
      <c r="LH88" s="111"/>
      <c r="LI88" s="111"/>
      <c r="LJ88" s="111"/>
      <c r="LK88" s="111"/>
      <c r="LL88" s="111"/>
      <c r="LM88" s="111"/>
      <c r="LN88" s="111"/>
      <c r="LO88" s="111"/>
      <c r="LP88" s="111"/>
      <c r="LQ88" s="111"/>
      <c r="LR88" s="111"/>
      <c r="LS88" s="111"/>
      <c r="LT88" s="112"/>
      <c r="LU88" s="111"/>
      <c r="LV88" s="111"/>
      <c r="LW88" s="111"/>
      <c r="LX88" s="111"/>
      <c r="LY88" s="111"/>
      <c r="LZ88" s="112" t="str">
        <f>HYPERLINK("http://www.bjf.info/projekte/cinemanya","x")</f>
        <v>x</v>
      </c>
      <c r="MA88" s="111"/>
      <c r="MB88" s="111"/>
      <c r="MC88" s="111"/>
      <c r="MD88" s="112" t="str">
        <f>HYPERLINK("http://www.rki.de/DE/Content/Infekt/IfSG/Belehrungsbogen/belehrungsbogen_lebensmittel_arabisch.pdf?__blob=publicationFile","x")</f>
        <v>x</v>
      </c>
      <c r="ME88" s="111"/>
      <c r="MF88" s="112" t="str">
        <f>HYPERLINK("http://www.gdv.de/wp-content/uploads/2016/01/Information_Brandschutz_Fluechtlingsheim_-Sicherheit_mehrsprachig.pdf","x")</f>
        <v>x</v>
      </c>
      <c r="MG88" s="112" t="str">
        <f>HYPERLINK("http://www.gdv.de/wp-content/uploads/2016/01/Information_Verhalten-im-Brandfall_mehrsprachig.pdf","x")</f>
        <v>x</v>
      </c>
      <c r="MH88" s="112" t="str">
        <f>HYPERLINK("http://www.aha-region.de/fileadmin/Download/pdf/aha_Plakat_Muelltrennung_ar.pdf","x")</f>
        <v>x</v>
      </c>
      <c r="MI88" s="112" t="str">
        <f>HYPERLINK("http://www.kindersicherheit.de/pdf/2012_poster_achtunggiftig_8sprachig.pdf","x")</f>
        <v>x</v>
      </c>
    </row>
    <row r="89" spans="1:347" x14ac:dyDescent="0.25">
      <c r="A89" s="102" t="s">
        <v>53</v>
      </c>
      <c r="B89" s="127" t="s">
        <v>480</v>
      </c>
      <c r="C89" s="102"/>
      <c r="D89" s="102"/>
      <c r="E89" s="102"/>
      <c r="F89" s="102"/>
      <c r="G89" s="102"/>
      <c r="H89" s="102"/>
      <c r="I89" s="102"/>
      <c r="J89" s="102"/>
      <c r="K89" s="103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2" t="str">
        <f>HYPERLINK("https://www.vrsinfo.de/fileadmin/Dateien/downloadcenter/Folder_MobilPassTicket_Refugees01012016.pdf","x")</f>
        <v>x</v>
      </c>
      <c r="AL89" s="112" t="str">
        <f>HYPERLINK("https://www.vrsinfo.de/fileadmin/Dateien/downloadcenter/Willkommen_im_VRS2016_Druck.pdf","x")</f>
        <v>x</v>
      </c>
      <c r="AM89" s="112"/>
      <c r="AN89" s="112"/>
      <c r="AO89" s="112"/>
      <c r="AP89" s="112"/>
      <c r="AQ89" s="112"/>
      <c r="AR89" s="112"/>
      <c r="AS89" s="112"/>
      <c r="AT89" s="112"/>
      <c r="AU89" s="112"/>
      <c r="AV89" s="113"/>
      <c r="AW89" s="114" t="str">
        <f t="shared" si="22"/>
        <v>x</v>
      </c>
      <c r="AX89" s="114" t="str">
        <f t="shared" si="23"/>
        <v>x</v>
      </c>
      <c r="AY89" s="112" t="str">
        <f>HYPERLINK("http://fi-lohmar-siegburg.de/data/documents/Findefix_kurdisch-Bildwoerterbuch.pdf","x")</f>
        <v>x</v>
      </c>
      <c r="AZ89" s="111"/>
      <c r="BA89" s="112" t="str">
        <f t="shared" si="24"/>
        <v>x</v>
      </c>
      <c r="BB89" s="112" t="str">
        <f t="shared" si="25"/>
        <v>x</v>
      </c>
      <c r="BC89" s="111"/>
      <c r="BD89" s="111"/>
      <c r="BE89" s="111"/>
      <c r="BF89" s="111"/>
      <c r="BG89" s="111"/>
      <c r="BH89" s="112" t="str">
        <f>HYPERLINK("http://www.refugeephrasebook.de/pdf/germany150920.pdf","x")</f>
        <v>x</v>
      </c>
      <c r="BI89" s="112" t="str">
        <f>HYPERLINK("https://www.advanced-online.eu/downloads/RefugeePhrasebookCards_German-Kurdish-Kurmanji.pdf","x")</f>
        <v>x</v>
      </c>
      <c r="BJ89" s="111"/>
      <c r="BK89" s="111"/>
      <c r="BL89" s="111"/>
      <c r="BM89" s="112" t="str">
        <f>HYPERLINK("http://www.frnrw.de/images/Aus_den_Initiativen/Ehrenamtler/2015/Dictionary_x10_print-2.pdf","x")</f>
        <v>x</v>
      </c>
      <c r="BN89" s="111"/>
      <c r="BO89" s="111"/>
      <c r="BP89" s="111"/>
      <c r="BQ89" s="111"/>
      <c r="BR89" s="111"/>
      <c r="BS89" s="112" t="str">
        <f t="shared" si="26"/>
        <v>x</v>
      </c>
      <c r="BT89" s="112"/>
      <c r="BU89" s="111"/>
      <c r="BV89" s="112" t="str">
        <f t="shared" si="27"/>
        <v>x</v>
      </c>
      <c r="BW89" s="112"/>
      <c r="BX89" s="112"/>
      <c r="BY89" s="112"/>
      <c r="BZ89" s="112"/>
      <c r="CA89" s="112" t="str">
        <f t="shared" si="28"/>
        <v>x</v>
      </c>
      <c r="CB89" s="112" t="str">
        <f t="shared" si="29"/>
        <v>x</v>
      </c>
      <c r="CC89" s="112" t="str">
        <f t="shared" si="30"/>
        <v>x</v>
      </c>
      <c r="CD89" s="112"/>
      <c r="CE89" s="112"/>
      <c r="CF89" s="111"/>
      <c r="CG89" s="112" t="str">
        <f>HYPERLINK("http://www.braunschweig.de/leben/frauen/hilfe/Ohne-Gewalt-leben.pdf","x")</f>
        <v>x</v>
      </c>
      <c r="CH89" s="112"/>
      <c r="CI89" s="112"/>
      <c r="CJ89" s="112"/>
      <c r="CK89" s="112" t="str">
        <f t="shared" si="31"/>
        <v>x</v>
      </c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 t="str">
        <f>HYPERLINK("http://sichere-orte-schaffen.de/wp-content/uploads/Minibrosch_Fluechtlinge_multilang.pdf","x")</f>
        <v>x</v>
      </c>
      <c r="DB89" s="112"/>
      <c r="DC89" s="115"/>
      <c r="DD89" s="112"/>
      <c r="DE89" s="112"/>
      <c r="DF89" s="112" t="str">
        <f t="shared" si="32"/>
        <v>x</v>
      </c>
      <c r="DG89" s="115" t="str">
        <f t="shared" si="33"/>
        <v>x</v>
      </c>
      <c r="DH89" s="112" t="str">
        <f t="shared" si="34"/>
        <v>x</v>
      </c>
      <c r="DI89" s="112" t="str">
        <f t="shared" si="35"/>
        <v>x</v>
      </c>
      <c r="DJ89" s="111"/>
      <c r="DK89" s="111"/>
      <c r="DL89" s="112" t="str">
        <f>HYPERLINK("http://www.carlsen.de/sites/default/files/Walter-ebook_kurdisch_klein.pdf","x")</f>
        <v>x</v>
      </c>
      <c r="DM89" s="112"/>
      <c r="DN89" s="111"/>
      <c r="DO89" s="112" t="str">
        <f>HYPERLINK("http://www.wdrmaus.de/sachgeschichten/maus-international/","x")</f>
        <v>x</v>
      </c>
      <c r="DP89" s="111"/>
      <c r="DQ89" s="111"/>
      <c r="DR89" s="111"/>
      <c r="DS89" s="112" t="str">
        <f>HYPERLINK("http://bildung.koeln.de/materialbibliothek/download.php?idx=fc4887ef7fe884e5adf460bb238faf37","x")</f>
        <v>x</v>
      </c>
      <c r="DT89" s="112" t="str">
        <f>HYPERLINK("http://bildung.koeln.de/materialbibliothek/download.php?idx=99fc6dbeceefa7442b292c74ac93ba58","x")</f>
        <v>x</v>
      </c>
      <c r="DU89" s="112"/>
      <c r="DV89" s="111"/>
      <c r="DW89" s="111"/>
      <c r="DX89" s="111"/>
      <c r="DY89" s="111"/>
      <c r="DZ89" s="111"/>
      <c r="EA89" s="111"/>
      <c r="EB89" s="112"/>
      <c r="EC89" s="111"/>
      <c r="ED89" s="111"/>
      <c r="EE89" s="111"/>
      <c r="EF89" s="111"/>
      <c r="EG89" s="111"/>
      <c r="EH89" s="111"/>
      <c r="EI89" s="111"/>
      <c r="EJ89" s="112"/>
      <c r="EK89" s="112"/>
      <c r="EL89" s="111"/>
      <c r="EM89" s="112" t="str">
        <f>HYPERLINK("http://www.kvs-sachsen.de/fileadmin/img/Mitglieder/Asylbewerber/Allg-Informationen/Anlage_1_Kurmandschi_LEK.pdf","x")</f>
        <v>x</v>
      </c>
      <c r="EN89" s="111"/>
      <c r="EO89" s="111"/>
      <c r="EP89" s="117" t="str">
        <f>HYPERLINK("http://www.medi-bild.de/pdf/anamnese/Welche_Sprache.pdf","x")</f>
        <v>x</v>
      </c>
      <c r="EQ89" s="117" t="str">
        <f>HYPERLINK("http://www.medknowledge.de/migration/tipdoc/anamnesebogen/tipdoc_Anamnese_kurdi.pdf","x")</f>
        <v>x</v>
      </c>
      <c r="ER89" s="112" t="str">
        <f>HYPERLINK("http://www.kvs-sachsen.de/fileadmin/img/Mitglieder/Asylbewerber/Allg-Informationen/Anlagen_2-1_2-2_Kurmandschi_LEK.pdf","x")</f>
        <v>x</v>
      </c>
      <c r="ES89" s="111"/>
      <c r="ET89" s="111"/>
      <c r="EU89" s="111"/>
      <c r="EV89" s="111"/>
      <c r="EW89" s="112" t="str">
        <f t="shared" si="36"/>
        <v>x</v>
      </c>
      <c r="EX89" s="111"/>
      <c r="EY89" s="111"/>
      <c r="EZ89" s="112" t="str">
        <f>HYPERLINK("https://www.mh-hannover.de/fileadmin/mhh/bilder/aktuelles_presse/presseinformationen_news/-Pilzvergif_kurdisch_2.pdf","x")</f>
        <v>x</v>
      </c>
      <c r="FA89" s="112"/>
      <c r="FB89" s="111"/>
      <c r="FC89" s="111"/>
      <c r="FD89" s="112" t="str">
        <f t="shared" si="37"/>
        <v>x</v>
      </c>
      <c r="FE89" s="112" t="str">
        <f>HYPERLINK("http://sghanstedt.elbnetz.com/ueber-uns/","x")</f>
        <v>x</v>
      </c>
      <c r="FF89" s="111"/>
      <c r="FG89" s="111"/>
      <c r="FH89" s="111"/>
      <c r="FI89" s="111"/>
      <c r="FJ89" s="112" t="str">
        <f>HYPERLINK("http://www.bundesgesundheitsministerium.de/fileadmin/dateien/Publikationen/Gesundheit/Broschueren/Ratgeber_Asylsuchende/Ratgeber_Asylsuchende_kurd.pdf","x")</f>
        <v>x</v>
      </c>
      <c r="FK89" s="112" t="str">
        <f>HYPERLINK("http://www.rki.de/DE/Content/Infekt/Impfen/Materialien/Downloads-Impfkalender/Impfkalender_Kurdisch.pdf?__blob=publicationFile","x")</f>
        <v>x</v>
      </c>
      <c r="FL89" s="112" t="str">
        <f>HYPERLINK("http://www.ethno-medizinisches-zentrum.de/images/PDF-Files/impfwegweiser_kurdisch_2014_online.pdf","x")</f>
        <v>x</v>
      </c>
      <c r="FM89" s="112"/>
      <c r="FN89" s="112" t="str">
        <f>HYPERLINK("http://www.rki.de/DE/Content/Infekt/Impfen/Materialien/Glossar-Downloads/glossar-de-kurdisch.pdf?__blob=publicationFile","x")</f>
        <v>x</v>
      </c>
      <c r="FO89" s="112"/>
      <c r="FP89" s="112" t="str">
        <f>HYPERLINK("http://www.rki.de/DE/Content/Infekt/Impfen/Materialien/Downloads-MMR/MMR-Impfinfo-kurdisch.pdf?__blob=publicationFile","x")</f>
        <v>x</v>
      </c>
      <c r="FQ89" s="112"/>
      <c r="FR89" s="112" t="str">
        <f>HYPERLINK("http://www.rki.de/DE/Content/Infekt/Impfen/Materialien/Downloads_HepA/Aufklaerung_HAV-Impfung_Kurdisch.pdf?__blob=publicationFile","x")</f>
        <v>x</v>
      </c>
      <c r="FS89" s="112" t="str">
        <f>HYPERLINK("http://www.rki.de/DE/Content/Infekt/Impfen/Materialien/Downloads_Pneumokokken/Aufklaerung_Pneumo-Impfung_Kurdisch.pdf?__blob=publicationFile","x")</f>
        <v>x</v>
      </c>
      <c r="FT89" s="112" t="str">
        <f>HYPERLINK("http://www.rki.de/DE/Content/Infekt/Impfen/Materialien/Downloads-DTaPIPVHibHepB/DTaPIPVHibHepB-kurdisch.pdf?__blob=publicationFile","x")</f>
        <v>x</v>
      </c>
      <c r="FU89" s="112" t="str">
        <f>HYPERLINK("http://www.rki.de/DE/Content/Infekt/Impfen/Materialien/Downloads-Varizellen/Varizellen-Impfinfo-kurdisch.pdf;jsessionid=65B697F4EE7EDA8A1ED9E2C4CD6C74EC.2_cid363?__blob=publicationFile","x")</f>
        <v>x</v>
      </c>
      <c r="FV89" s="112" t="str">
        <f>HYPERLINK("http://www.rki.de/DE/Content/Infekt/Impfen/Materialien/Downloads-Tdap-IPV/Tdap-IPV-kurdisch.pdf?__blob=publicationFile","x")</f>
        <v>x</v>
      </c>
      <c r="FW89" s="112" t="str">
        <f>HYPERLINK("http://www.rki.de/DE/Content/Infekt/Impfen/Materialien/Downloads-Influenza_nasal/Influenza_nasal-kurdisch.pdf?__blob=publicationFile","x")</f>
        <v>x</v>
      </c>
      <c r="FX89" s="111"/>
      <c r="FY89" s="112"/>
      <c r="FZ89" s="112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2" t="str">
        <f>HYPERLINK("http://www.rki.de/DE/Content/Infekt/Impfen/Materialien/Downloads-Influenza/Influenza-kurdisch.pdf?__blob=publicationFile","x")</f>
        <v>x</v>
      </c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2" t="str">
        <f t="shared" si="38"/>
        <v>x</v>
      </c>
      <c r="HD89" s="112" t="str">
        <f>HYPERLINK("https://www.zahnaerzte-wl.de/images/_PDF-suche/KZV_ZÄK/ENDSTAND_Ankreuzbogen_Ich_verstehe.pdf","x")</f>
        <v>x</v>
      </c>
      <c r="HE89" s="112" t="str">
        <f>HYPERLINK("https://www.zahnaerzte-wl.de/images/_PDF-suche/KZV_ZÄK/Anschreiben_Patienten_kurdisch_kurmandschi.pdf","x")</f>
        <v>x</v>
      </c>
      <c r="HF89" s="112" t="str">
        <f>HYPERLINK("https://www.zahnaerzte-wl.de/images/_PDF-suche/KZV_ZÄK/Fragebogen_kurdisch-kurmandschi.pdf","x")</f>
        <v>x</v>
      </c>
      <c r="HG89" s="112" t="str">
        <f>HYPERLINK("https://www.zahnaerzte-wl.de/images/_PDF-suche/KZV_ZÄK/Patientenerhebungsbogen_kurdisch-kurmandschi.pdf","x")</f>
        <v>x</v>
      </c>
      <c r="HH89" s="112"/>
      <c r="HI89" s="112"/>
      <c r="HJ89" s="112"/>
      <c r="HK89" s="112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2" t="str">
        <f t="shared" si="39"/>
        <v>x</v>
      </c>
      <c r="HZ89" s="112" t="str">
        <f t="shared" si="40"/>
        <v>x</v>
      </c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2"/>
      <c r="IL89" s="112" t="str">
        <f>HYPERLINK("http://www.bamf.de/SharedDocs/Anlagen/DE/Publikationen/Flyer/flyer-erstorientierung-asylsuchende_kurdisch.pdf?__blob=publicationFile","x")</f>
        <v>x</v>
      </c>
      <c r="IM89" s="111"/>
      <c r="IN89" s="111"/>
      <c r="IO89" s="111"/>
      <c r="IP89" s="111"/>
      <c r="IQ89" s="112" t="str">
        <f>HYPERLINK("http://www.bamf.de/SharedDocs/Anlagen/DE/Publikationen/Flyer/Lernen-Sie-Deutsch/lernen-sie-deutsch_ku.pdf?__blob=publicationFile","x")</f>
        <v>x</v>
      </c>
      <c r="IR89" s="112"/>
      <c r="IS89" s="111"/>
      <c r="IT89" s="111"/>
      <c r="IU89" s="111"/>
      <c r="IV89" s="112" t="str">
        <f>HYPERLINK("http://www.asyl.net/fileadmin/user_upload/infoblatt_anhoerung/Kurd_final.pdf","x")</f>
        <v>x</v>
      </c>
      <c r="IW89" s="112"/>
      <c r="IX89" s="112"/>
      <c r="IY89" s="112"/>
      <c r="IZ89" s="111"/>
      <c r="JA89" s="111"/>
      <c r="JB89" s="111"/>
      <c r="JC89" s="112"/>
      <c r="JD89" s="111"/>
      <c r="JE89" s="112"/>
      <c r="JF89" s="112"/>
      <c r="JG89" s="111"/>
      <c r="JH89" s="111"/>
      <c r="JI89" s="111"/>
      <c r="JJ89" s="112"/>
      <c r="JK89" s="112"/>
      <c r="JL89" s="112"/>
      <c r="JM89" s="112"/>
      <c r="JN89" s="112"/>
      <c r="JO89" s="112"/>
      <c r="JP89" s="112"/>
      <c r="JQ89" s="112"/>
      <c r="JR89" s="112"/>
      <c r="JS89" s="112"/>
      <c r="JT89" s="111"/>
      <c r="JU89" s="111"/>
      <c r="JV89" s="111"/>
      <c r="JW89" s="112"/>
      <c r="JX89" s="112"/>
      <c r="JY89" s="112"/>
      <c r="JZ89" s="112"/>
      <c r="KA89" s="112"/>
      <c r="KB89" s="112" t="str">
        <f>HYPERLINK("http://www.refugeeguide.de/dl/RefugeeGuide_ku_1214.pdf","x")</f>
        <v>x</v>
      </c>
      <c r="KC89" s="111"/>
      <c r="KD89" s="112" t="str">
        <f>HYPERLINK("http://www.wedel.de/fileadmin/user_upload/media/pdf/Rathaus_und_Politik/20160118_PM_Broschuere.pdf","x")</f>
        <v>x</v>
      </c>
      <c r="KE89" s="112"/>
      <c r="KF89" s="111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2"/>
      <c r="LC89" s="111"/>
      <c r="LD89" s="111"/>
      <c r="LE89" s="111"/>
      <c r="LF89" s="111"/>
      <c r="LG89" s="111"/>
      <c r="LH89" s="111"/>
      <c r="LI89" s="111"/>
      <c r="LJ89" s="111"/>
      <c r="LK89" s="111"/>
      <c r="LL89" s="111"/>
      <c r="LM89" s="111"/>
      <c r="LN89" s="111"/>
      <c r="LO89" s="111"/>
      <c r="LP89" s="111"/>
      <c r="LQ89" s="111"/>
      <c r="LR89" s="111"/>
      <c r="LS89" s="111"/>
      <c r="LT89" s="111"/>
      <c r="LU89" s="111"/>
      <c r="LV89" s="111"/>
      <c r="LW89" s="111"/>
      <c r="LX89" s="111"/>
      <c r="LY89" s="111"/>
      <c r="LZ89" s="111"/>
      <c r="MA89" s="111"/>
      <c r="MB89" s="111"/>
      <c r="MC89" s="111"/>
      <c r="MD89" s="111"/>
      <c r="ME89" s="111"/>
      <c r="MF89" s="111"/>
      <c r="MG89" s="111"/>
      <c r="MH89" s="111"/>
      <c r="MI89" s="111"/>
    </row>
    <row r="90" spans="1:347" x14ac:dyDescent="0.25">
      <c r="A90" s="102" t="s">
        <v>74</v>
      </c>
      <c r="B90" s="127" t="s">
        <v>17</v>
      </c>
      <c r="C90" s="102"/>
      <c r="D90" s="102"/>
      <c r="E90" s="102"/>
      <c r="F90" s="102"/>
      <c r="G90" s="102"/>
      <c r="H90" s="102"/>
      <c r="I90" s="102"/>
      <c r="J90" s="102"/>
      <c r="K90" s="103"/>
      <c r="L90" s="111"/>
      <c r="M90" s="111"/>
      <c r="N90" s="112" t="str">
        <f>HYPERLINK("http://www.ag-fluechtlingshilfe-wetterau.de/uploads/infos/170.pdf","x")</f>
        <v>x</v>
      </c>
      <c r="O90" s="112"/>
      <c r="P90" s="112" t="str">
        <f>HYPERLINK("https://willkommensteamelmshorn.files.wordpress.com/2015/11/sortieranleitung_pinneberg_2015_farsi.pd","x")</f>
        <v>x</v>
      </c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 t="str">
        <f>HYPERLINK("http://asyl-in-moenchengladbach.de/wp-content/uploads/2015/11/100711-Flyer_farsi.pdf","x")</f>
        <v>x</v>
      </c>
      <c r="AH90" s="112" t="str">
        <f>HYPERLINK("http://sghanstedt.elbnetz.com/ueber-uns/","x")</f>
        <v>x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3"/>
      <c r="AW90" s="114" t="str">
        <f t="shared" si="22"/>
        <v>x</v>
      </c>
      <c r="AX90" s="114" t="str">
        <f t="shared" si="23"/>
        <v>x</v>
      </c>
      <c r="AY90" s="112" t="str">
        <f>HYPERLINK("http://fi-lohmar-siegburg.de/data/documents/Findefix_farsi-Bildwoerterbuch.pdf","x")</f>
        <v>x</v>
      </c>
      <c r="AZ90" s="111"/>
      <c r="BA90" s="112" t="str">
        <f t="shared" si="24"/>
        <v>x</v>
      </c>
      <c r="BB90" s="112" t="str">
        <f t="shared" si="25"/>
        <v>x</v>
      </c>
      <c r="BC90" s="112" t="str">
        <f>HYPERLINK("http://www.tobiidynavox.com/wp-content/uploads/2015/09/Tobii-Dynavox-Kommunikationstafel-farsi-deutsch.pdf","x")</f>
        <v>x</v>
      </c>
      <c r="BD90" s="111"/>
      <c r="BE90" s="111"/>
      <c r="BF90" s="111"/>
      <c r="BG90" s="111"/>
      <c r="BH90" s="111"/>
      <c r="BI90" s="112" t="str">
        <f>HYPERLINK("https://www.advanced-online.eu/downloads/RefugeePhrasebookCards_German-Farsi.pdf","x")</f>
        <v>x</v>
      </c>
      <c r="BJ90" s="111"/>
      <c r="BK90" s="111"/>
      <c r="BL90" s="111"/>
      <c r="BM90" s="111"/>
      <c r="BN90" s="111"/>
      <c r="BO90" s="111"/>
      <c r="BP90" s="111"/>
      <c r="BQ90" s="111"/>
      <c r="BR90" s="111"/>
      <c r="BS90" s="112" t="str">
        <f t="shared" si="26"/>
        <v>x</v>
      </c>
      <c r="BT90" s="112"/>
      <c r="BU90" s="111"/>
      <c r="BV90" s="112" t="str">
        <f t="shared" si="27"/>
        <v>x</v>
      </c>
      <c r="BW90" s="112" t="str">
        <f>HYPERLINK("http://www.welcomegrooves.de/wp-content/uploads/2015/10/welcomegrooves_DE-FARSI.pdf","x")</f>
        <v>x</v>
      </c>
      <c r="BX90" s="112" t="str">
        <f>HYPERLINK("http://www.almanibefarsi.com/","x")</f>
        <v>x</v>
      </c>
      <c r="BY90" s="112"/>
      <c r="BZ90" s="112"/>
      <c r="CA90" s="112" t="str">
        <f t="shared" si="28"/>
        <v>x</v>
      </c>
      <c r="CB90" s="112" t="str">
        <f t="shared" si="29"/>
        <v>x</v>
      </c>
      <c r="CC90" s="112" t="str">
        <f t="shared" si="30"/>
        <v>x</v>
      </c>
      <c r="CD90" s="112"/>
      <c r="CE90" s="112"/>
      <c r="CF90" s="111"/>
      <c r="CG90" s="111"/>
      <c r="CH90" s="111"/>
      <c r="CI90" s="111"/>
      <c r="CJ90" s="111"/>
      <c r="CK90" s="112" t="str">
        <f t="shared" si="31"/>
        <v>x</v>
      </c>
      <c r="CL90" s="112"/>
      <c r="CM90" s="112"/>
      <c r="CN90" s="112"/>
      <c r="CO90" s="112"/>
      <c r="CP90" s="112" t="str">
        <f>HYPERLINK("http://www.schwanger-und-viele-fragen.de/fa/","x")</f>
        <v>x</v>
      </c>
      <c r="CQ90" s="112"/>
      <c r="CR90" s="112"/>
      <c r="CS90" s="112"/>
      <c r="CT90" s="111"/>
      <c r="CU90" s="111"/>
      <c r="CV90" s="111"/>
      <c r="CW90" s="111"/>
      <c r="CX90" s="111"/>
      <c r="CY90" s="111"/>
      <c r="CZ90" s="112"/>
      <c r="DA90" s="112"/>
      <c r="DB90" s="112"/>
      <c r="DC90" s="115"/>
      <c r="DD90" s="112"/>
      <c r="DE90" s="112"/>
      <c r="DF90" s="112" t="str">
        <f t="shared" si="32"/>
        <v>x</v>
      </c>
      <c r="DG90" s="115" t="str">
        <f t="shared" si="33"/>
        <v>x</v>
      </c>
      <c r="DH90" s="112" t="str">
        <f t="shared" si="34"/>
        <v>x</v>
      </c>
      <c r="DI90" s="112" t="str">
        <f t="shared" si="35"/>
        <v>x</v>
      </c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2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7" t="str">
        <f>HYPERLINK("http://www.medi-bild.de/pdf/anamnese/Welche_Sprache.pdf","x")</f>
        <v>x</v>
      </c>
      <c r="EQ90" s="117" t="str">
        <f>HYPERLINK("http://www.medknowledge.de/migration/tipdoc/anamnesebogen/tipdoc_Anamnese_farsi.pdf","x")</f>
        <v>x</v>
      </c>
      <c r="ER90" s="111"/>
      <c r="ES90" s="111"/>
      <c r="ET90" s="111"/>
      <c r="EU90" s="111"/>
      <c r="EV90" s="112" t="str">
        <f>HYPERLINK("http://www.adler-apotheke-hh.de/fileadmin/user_upload/PDF-Dateien/Dosierzettel_mehrsprachig_AUF_0_.pdf","x")</f>
        <v>x</v>
      </c>
      <c r="EW90" s="112" t="str">
        <f t="shared" si="36"/>
        <v>x</v>
      </c>
      <c r="EX90" s="111"/>
      <c r="EY90" s="111"/>
      <c r="EZ90" s="111"/>
      <c r="FA90" s="111"/>
      <c r="FB90" s="111"/>
      <c r="FC90" s="111"/>
      <c r="FD90" s="112" t="str">
        <f t="shared" si="37"/>
        <v>x</v>
      </c>
      <c r="FE90" s="112" t="str">
        <f>HYPERLINK("http://sghanstedt.elbnetz.com/ueber-uns/","x")</f>
        <v>x</v>
      </c>
      <c r="FF90" s="112" t="str">
        <f>HYPERLINK("http://www.fuhlenhagen.com/pdf_dateien/uebertzungshilfe_aerzte_mehrsprachig.pdf","x")</f>
        <v>x</v>
      </c>
      <c r="FG90" s="112" t="str">
        <f>HYPERLINK("http://www.tipdoc.de/grafik/asyl/Gesundheitsheft_Asyl.pdf","x")</f>
        <v>x</v>
      </c>
      <c r="FH90" s="111"/>
      <c r="FI90" s="111"/>
      <c r="FJ90" s="111"/>
      <c r="FK90" s="112" t="str">
        <f>HYPERLINK("http://www.rki.de/DE/Content/Infekt/Impfen/Materialien/Downloads-Impfkalender/Impfkalender_Farsi.pdf?__blob=publicationFile","x")</f>
        <v>x</v>
      </c>
      <c r="FL90" s="111"/>
      <c r="FM90" s="111"/>
      <c r="FN90" s="111"/>
      <c r="FO90" s="111"/>
      <c r="FP90" s="112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2" t="str">
        <f>HYPERLINK("http://www.tipdoc.de/grafik/pdf/kopflaeuse/Kopflaeuse_FARSI.pdf","x")</f>
        <v>x</v>
      </c>
      <c r="GQ90" s="112"/>
      <c r="GR90" s="112" t="str">
        <f>HYPERLINK("http://www.tipdoc.com/bus/pdf/kraetze/tipdoc_Scabies_FARSI.pdf","x")</f>
        <v>x</v>
      </c>
      <c r="GS90" s="112" t="str">
        <f>HYPERLINK("http://www.tipdoc.com/bus/pdf/MagenDarmHaende/MagenDarmHaende_FARSI.pdf","x")</f>
        <v>x</v>
      </c>
      <c r="GT90" s="111"/>
      <c r="GU90" s="111"/>
      <c r="GV90" s="111"/>
      <c r="GW90" s="111"/>
      <c r="GX90" s="111"/>
      <c r="GY90" s="111"/>
      <c r="GZ90" s="111"/>
      <c r="HA90" s="111"/>
      <c r="HB90" s="111"/>
      <c r="HC90" s="112" t="str">
        <f t="shared" si="38"/>
        <v>x</v>
      </c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2" t="str">
        <f t="shared" si="39"/>
        <v>x</v>
      </c>
      <c r="HZ90" s="112" t="str">
        <f t="shared" si="40"/>
        <v>x</v>
      </c>
      <c r="IA90" s="111"/>
      <c r="IB90" s="111"/>
      <c r="IC90" s="111"/>
      <c r="ID90" s="112" t="str">
        <f>HYPERLINK("http://www.susannestein.de/VIA-online/assets/trauma-bilderbuch-farsi.pdf","x")</f>
        <v>x</v>
      </c>
      <c r="IE90" s="111"/>
      <c r="IF90" s="111"/>
      <c r="IG90" s="111"/>
      <c r="IH90" s="111"/>
      <c r="II90" s="111"/>
      <c r="IJ90" s="111"/>
      <c r="IK90" s="111"/>
      <c r="IL90" s="112" t="str">
        <f>HYPERLINK("http://www.bamf.de/SharedDocs/Anlagen/DE/Publikationen/Flyer/flyer-erstorientierung-asylsuchende_farsi.pdf?__blob=publicationFile","x")</f>
        <v>x</v>
      </c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2" t="str">
        <f>HYPERLINK("http://fluechtlingsrat-bw.de/informationen-fuer-fluechtlinge.html","x")</f>
        <v>x</v>
      </c>
      <c r="JB90" s="111"/>
      <c r="JC90" s="111"/>
      <c r="JD90" s="111"/>
      <c r="JE90" s="111"/>
      <c r="JF90" s="111"/>
      <c r="JG90" s="111"/>
      <c r="JH90" s="111"/>
      <c r="JI90" s="111"/>
      <c r="JJ90" s="112"/>
      <c r="JK90" s="112" t="str">
        <f>HYPERLINK("https://www.arbeitsagentur.de/web/wcm/idc/groups/public/documents/webdatei/mdaw/mjkw/~edisp/l6019022dstbai800463.pdf?_ba.sid=L6019022DSTBAI800470","x")</f>
        <v>x</v>
      </c>
      <c r="JL90" s="111"/>
      <c r="JM90" s="111"/>
      <c r="JN90" s="111"/>
      <c r="JO90" s="111"/>
      <c r="JP90" s="111"/>
      <c r="JQ90" s="111"/>
      <c r="JR90" s="111"/>
      <c r="JS90" s="111"/>
      <c r="JT90" s="111"/>
      <c r="JU90" s="111"/>
      <c r="JV90" s="111"/>
      <c r="JW90" s="111"/>
      <c r="JX90" s="111"/>
      <c r="JY90" s="111"/>
      <c r="JZ90" s="111"/>
      <c r="KA90" s="111"/>
      <c r="KB90" s="111"/>
      <c r="KC90" s="111"/>
      <c r="KD90" s="112" t="str">
        <f>HYPERLINK("http://www.wedel.de/fileadmin/user_upload/media/pdf/Rathaus_und_Politik/20160118_PM_Broschuere.pdf","x")</f>
        <v>x</v>
      </c>
      <c r="KE90" s="112" t="str">
        <f>HYPERLINK("http://www.frauenrechte.de/online/images/downloads/allgemein/TDF_Flyer_Women_Men.pdf","x")</f>
        <v>x</v>
      </c>
      <c r="KF90" s="112" t="str">
        <f>HYPERLINK("http://sab.landtag.sachsen.de/dokumente/landtagskurier/Grundwerte-A5-international_web_08012016.pdf","x")</f>
        <v>x</v>
      </c>
      <c r="KG90" s="111"/>
      <c r="KH90" s="111"/>
      <c r="KI90" s="111"/>
      <c r="KJ90" s="111"/>
      <c r="KK90" s="111"/>
      <c r="KL90" s="111"/>
      <c r="KM90" s="111"/>
      <c r="KN90" s="111"/>
      <c r="KO90" s="111"/>
      <c r="KP90" s="111"/>
      <c r="KQ90" s="111"/>
      <c r="KR90" s="111"/>
      <c r="KS90" s="111"/>
      <c r="KT90" s="111"/>
      <c r="KU90" s="111"/>
      <c r="KV90" s="111"/>
      <c r="KW90" s="111"/>
      <c r="KX90" s="111"/>
      <c r="KY90" s="111"/>
      <c r="KZ90" s="111"/>
      <c r="LA90" s="111"/>
      <c r="LB90" s="111"/>
      <c r="LC90" s="111"/>
      <c r="LD90" s="111"/>
      <c r="LE90" s="111"/>
      <c r="LF90" s="111"/>
      <c r="LG90" s="112"/>
      <c r="LH90" s="111"/>
      <c r="LI90" s="111"/>
      <c r="LJ90" s="111"/>
      <c r="LK90" s="111"/>
      <c r="LL90" s="111"/>
      <c r="LM90" s="111"/>
      <c r="LN90" s="111"/>
      <c r="LO90" s="111"/>
      <c r="LP90" s="111"/>
      <c r="LQ90" s="111"/>
      <c r="LR90" s="111"/>
      <c r="LS90" s="111"/>
      <c r="LT90" s="112"/>
      <c r="LU90" s="111"/>
      <c r="LV90" s="111"/>
      <c r="LW90" s="111"/>
      <c r="LX90" s="111"/>
      <c r="LY90" s="111"/>
      <c r="LZ90" s="111"/>
      <c r="MA90" s="111"/>
      <c r="MB90" s="111"/>
      <c r="MC90" s="111"/>
      <c r="MD90" s="111"/>
      <c r="ME90" s="111"/>
      <c r="MF90" s="112" t="str">
        <f>HYPERLINK("http://www.gdv.de/wp-content/uploads/2016/01/Information_Brandschutz_Fluechtlingsheim_-Sicherheit_mehrsprachig.pdf","x")</f>
        <v>x</v>
      </c>
      <c r="MG90" s="112" t="str">
        <f>HYPERLINK("http://www.gdv.de/wp-content/uploads/2016/01/Information_Verhalten-im-Brandfall_mehrsprachig.pdf","x")</f>
        <v>x</v>
      </c>
      <c r="MH90" s="112"/>
      <c r="MI90" s="112" t="str">
        <f>HYPERLINK("http://www.kindersicherheit.de/pdf/2012_poster_achtunggiftig_8sprachig.pdf","x")</f>
        <v>x</v>
      </c>
    </row>
    <row r="91" spans="1:347" x14ac:dyDescent="0.25">
      <c r="A91" s="102" t="s">
        <v>74</v>
      </c>
      <c r="B91" s="127" t="s">
        <v>480</v>
      </c>
      <c r="C91" s="102"/>
      <c r="D91" s="102"/>
      <c r="E91" s="102"/>
      <c r="F91" s="102"/>
      <c r="G91" s="102"/>
      <c r="H91" s="102"/>
      <c r="I91" s="102"/>
      <c r="J91" s="102"/>
      <c r="K91" s="103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2" t="str">
        <f>HYPERLINK("https://www.vrsinfo.de/fileadmin/Dateien/downloadcenter/Folder_MobilPassTicket_Refugees01012016.pdf","x")</f>
        <v>x</v>
      </c>
      <c r="AL91" s="112" t="str">
        <f>HYPERLINK("https://www.vrsinfo.de/fileadmin/Dateien/downloadcenter/Willkommen_im_VRS2016_Druck.pdf","x")</f>
        <v>x</v>
      </c>
      <c r="AM91" s="112"/>
      <c r="AN91" s="112"/>
      <c r="AO91" s="112"/>
      <c r="AP91" s="112"/>
      <c r="AQ91" s="112"/>
      <c r="AR91" s="112"/>
      <c r="AS91" s="112"/>
      <c r="AT91" s="112"/>
      <c r="AU91" s="112"/>
      <c r="AV91" s="113"/>
      <c r="AW91" s="114" t="str">
        <f t="shared" si="22"/>
        <v>x</v>
      </c>
      <c r="AX91" s="114" t="str">
        <f t="shared" si="23"/>
        <v>x</v>
      </c>
      <c r="AY91" s="112" t="str">
        <f>HYPERLINK("http://fi-lohmar-siegburg.de/data/documents/Findefix_kurdisch-Bildwoerterbuch.pdf","x")</f>
        <v>x</v>
      </c>
      <c r="AZ91" s="111"/>
      <c r="BA91" s="112" t="str">
        <f t="shared" si="24"/>
        <v>x</v>
      </c>
      <c r="BB91" s="112" t="str">
        <f t="shared" si="25"/>
        <v>x</v>
      </c>
      <c r="BC91" s="111"/>
      <c r="BD91" s="111"/>
      <c r="BE91" s="111"/>
      <c r="BF91" s="111"/>
      <c r="BG91" s="111"/>
      <c r="BH91" s="112" t="str">
        <f>HYPERLINK("http://www.refugeephrasebook.de/pdf/germany150920.pdf","x")</f>
        <v>x</v>
      </c>
      <c r="BI91" s="112" t="str">
        <f>HYPERLINK("https://www.advanced-online.eu/downloads/RefugeePhrasebookCards_German-Kurdish-Kurmanji.pdf","x")</f>
        <v>x</v>
      </c>
      <c r="BJ91" s="111"/>
      <c r="BK91" s="111"/>
      <c r="BL91" s="111"/>
      <c r="BM91" s="112" t="str">
        <f>HYPERLINK("http://www.frnrw.de/images/Aus_den_Initiativen/Ehrenamtler/2015/Dictionary_x10_print-2.pdf","x")</f>
        <v>x</v>
      </c>
      <c r="BN91" s="111"/>
      <c r="BO91" s="111"/>
      <c r="BP91" s="111"/>
      <c r="BQ91" s="111"/>
      <c r="BR91" s="111"/>
      <c r="BS91" s="112" t="str">
        <f t="shared" si="26"/>
        <v>x</v>
      </c>
      <c r="BT91" s="112"/>
      <c r="BU91" s="111"/>
      <c r="BV91" s="112" t="str">
        <f t="shared" si="27"/>
        <v>x</v>
      </c>
      <c r="BW91" s="112"/>
      <c r="BX91" s="112"/>
      <c r="BY91" s="112"/>
      <c r="BZ91" s="112"/>
      <c r="CA91" s="112" t="str">
        <f t="shared" si="28"/>
        <v>x</v>
      </c>
      <c r="CB91" s="112" t="str">
        <f t="shared" si="29"/>
        <v>x</v>
      </c>
      <c r="CC91" s="112" t="str">
        <f t="shared" si="30"/>
        <v>x</v>
      </c>
      <c r="CD91" s="112"/>
      <c r="CE91" s="112"/>
      <c r="CF91" s="111"/>
      <c r="CG91" s="112" t="str">
        <f>HYPERLINK("http://www.braunschweig.de/leben/frauen/hilfe/Ohne-Gewalt-leben.pdf","x")</f>
        <v>x</v>
      </c>
      <c r="CH91" s="112"/>
      <c r="CI91" s="112"/>
      <c r="CJ91" s="112"/>
      <c r="CK91" s="112" t="str">
        <f t="shared" si="31"/>
        <v>x</v>
      </c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 t="str">
        <f>HYPERLINK("http://sichere-orte-schaffen.de/wp-content/uploads/Minibrosch_Fluechtlinge_multilang.pdf","x")</f>
        <v>x</v>
      </c>
      <c r="DB91" s="112"/>
      <c r="DC91" s="115"/>
      <c r="DD91" s="112"/>
      <c r="DE91" s="112"/>
      <c r="DF91" s="112" t="str">
        <f t="shared" si="32"/>
        <v>x</v>
      </c>
      <c r="DG91" s="115" t="str">
        <f t="shared" si="33"/>
        <v>x</v>
      </c>
      <c r="DH91" s="112" t="str">
        <f t="shared" si="34"/>
        <v>x</v>
      </c>
      <c r="DI91" s="112" t="str">
        <f t="shared" si="35"/>
        <v>x</v>
      </c>
      <c r="DJ91" s="111"/>
      <c r="DK91" s="111"/>
      <c r="DL91" s="112" t="str">
        <f>HYPERLINK("http://www.carlsen.de/sites/default/files/Walter-ebook_kurdisch_klein.pdf","x")</f>
        <v>x</v>
      </c>
      <c r="DM91" s="112"/>
      <c r="DN91" s="111"/>
      <c r="DO91" s="112" t="str">
        <f>HYPERLINK("http://www.wdrmaus.de/sachgeschichten/maus-international/","x")</f>
        <v>x</v>
      </c>
      <c r="DP91" s="111"/>
      <c r="DQ91" s="111"/>
      <c r="DR91" s="111"/>
      <c r="DS91" s="112" t="str">
        <f>HYPERLINK("http://bildung.koeln.de/materialbibliothek/download.php?idx=fc4887ef7fe884e5adf460bb238faf37","x")</f>
        <v>x</v>
      </c>
      <c r="DT91" s="112" t="str">
        <f>HYPERLINK("http://bildung.koeln.de/materialbibliothek/download.php?idx=99fc6dbeceefa7442b292c74ac93ba58","x")</f>
        <v>x</v>
      </c>
      <c r="DU91" s="112"/>
      <c r="DV91" s="111"/>
      <c r="DW91" s="111"/>
      <c r="DX91" s="111"/>
      <c r="DY91" s="111"/>
      <c r="DZ91" s="111"/>
      <c r="EA91" s="111"/>
      <c r="EB91" s="112"/>
      <c r="EC91" s="111"/>
      <c r="ED91" s="111"/>
      <c r="EE91" s="111"/>
      <c r="EF91" s="111"/>
      <c r="EG91" s="111"/>
      <c r="EH91" s="111"/>
      <c r="EI91" s="111"/>
      <c r="EJ91" s="112"/>
      <c r="EK91" s="112"/>
      <c r="EL91" s="111"/>
      <c r="EM91" s="112" t="str">
        <f>HYPERLINK("http://www.kvs-sachsen.de/fileadmin/img/Mitglieder/Asylbewerber/Allg-Informationen/Anlage_1_Kurmandschi_LEK.pdf","x")</f>
        <v>x</v>
      </c>
      <c r="EN91" s="111"/>
      <c r="EO91" s="111"/>
      <c r="EP91" s="117" t="str">
        <f>HYPERLINK("http://www.medi-bild.de/pdf/anamnese/Welche_Sprache.pdf","x")</f>
        <v>x</v>
      </c>
      <c r="EQ91" s="117" t="str">
        <f>HYPERLINK("http://www.medknowledge.de/migration/tipdoc/anamnesebogen/tipdoc_Anamnese_kurdi.pdf","x")</f>
        <v>x</v>
      </c>
      <c r="ER91" s="112" t="str">
        <f>HYPERLINK("http://www.kvs-sachsen.de/fileadmin/img/Mitglieder/Asylbewerber/Allg-Informationen/Anlagen_2-1_2-2_Kurmandschi_LEK.pdf","x")</f>
        <v>x</v>
      </c>
      <c r="ES91" s="111"/>
      <c r="ET91" s="111"/>
      <c r="EU91" s="111"/>
      <c r="EV91" s="111"/>
      <c r="EW91" s="112" t="str">
        <f t="shared" si="36"/>
        <v>x</v>
      </c>
      <c r="EX91" s="111"/>
      <c r="EY91" s="111"/>
      <c r="EZ91" s="112" t="str">
        <f>HYPERLINK("https://www.mh-hannover.de/fileadmin/mhh/bilder/aktuelles_presse/presseinformationen_news/-Pilzvergif_kurdisch_2.pdf","x")</f>
        <v>x</v>
      </c>
      <c r="FA91" s="112"/>
      <c r="FB91" s="111"/>
      <c r="FC91" s="111"/>
      <c r="FD91" s="112" t="str">
        <f t="shared" si="37"/>
        <v>x</v>
      </c>
      <c r="FE91" s="112" t="str">
        <f>HYPERLINK("http://sghanstedt.elbnetz.com/ueber-uns/","x")</f>
        <v>x</v>
      </c>
      <c r="FF91" s="111"/>
      <c r="FG91" s="111"/>
      <c r="FH91" s="111"/>
      <c r="FI91" s="111"/>
      <c r="FJ91" s="112" t="str">
        <f>HYPERLINK("http://www.bundesgesundheitsministerium.de/fileadmin/dateien/Publikationen/Gesundheit/Broschueren/Ratgeber_Asylsuchende/Ratgeber_Asylsuchende_kurd.pdf","x")</f>
        <v>x</v>
      </c>
      <c r="FK91" s="112" t="str">
        <f>HYPERLINK("http://www.rki.de/DE/Content/Infekt/Impfen/Materialien/Downloads-Impfkalender/Impfkalender_Kurdisch.pdf?__blob=publicationFile","x")</f>
        <v>x</v>
      </c>
      <c r="FL91" s="112" t="str">
        <f>HYPERLINK("http://www.ethno-medizinisches-zentrum.de/images/PDF-Files/impfwegweiser_kurdisch_2014_online.pdf","x")</f>
        <v>x</v>
      </c>
      <c r="FM91" s="112"/>
      <c r="FN91" s="112" t="str">
        <f>HYPERLINK("http://www.rki.de/DE/Content/Infekt/Impfen/Materialien/Glossar-Downloads/glossar-de-kurdisch.pdf?__blob=publicationFile","x")</f>
        <v>x</v>
      </c>
      <c r="FO91" s="112"/>
      <c r="FP91" s="112" t="str">
        <f>HYPERLINK("http://www.rki.de/DE/Content/Infekt/Impfen/Materialien/Downloads-MMR/MMR-Impfinfo-kurdisch.pdf?__blob=publicationFile","x")</f>
        <v>x</v>
      </c>
      <c r="FQ91" s="112"/>
      <c r="FR91" s="112" t="str">
        <f>HYPERLINK("http://www.rki.de/DE/Content/Infekt/Impfen/Materialien/Downloads_HepA/Aufklaerung_HAV-Impfung_Kurdisch.pdf?__blob=publicationFile","x")</f>
        <v>x</v>
      </c>
      <c r="FS91" s="112" t="str">
        <f>HYPERLINK("http://www.rki.de/DE/Content/Infekt/Impfen/Materialien/Downloads_Pneumokokken/Aufklaerung_Pneumo-Impfung_Kurdisch.pdf?__blob=publicationFile","x")</f>
        <v>x</v>
      </c>
      <c r="FT91" s="112" t="str">
        <f>HYPERLINK("http://www.rki.de/DE/Content/Infekt/Impfen/Materialien/Downloads-DTaPIPVHibHepB/DTaPIPVHibHepB-kurdisch.pdf?__blob=publicationFile","x")</f>
        <v>x</v>
      </c>
      <c r="FU91" s="112" t="str">
        <f>HYPERLINK("http://www.rki.de/DE/Content/Infekt/Impfen/Materialien/Downloads-Varizellen/Varizellen-Impfinfo-kurdisch.pdf;jsessionid=65B697F4EE7EDA8A1ED9E2C4CD6C74EC.2_cid363?__blob=publicationFile","x")</f>
        <v>x</v>
      </c>
      <c r="FV91" s="112" t="str">
        <f>HYPERLINK("http://www.rki.de/DE/Content/Infekt/Impfen/Materialien/Downloads-Tdap-IPV/Tdap-IPV-kurdisch.pdf?__blob=publicationFile","x")</f>
        <v>x</v>
      </c>
      <c r="FW91" s="112" t="str">
        <f>HYPERLINK("http://www.rki.de/DE/Content/Infekt/Impfen/Materialien/Downloads-Influenza_nasal/Influenza_nasal-kurdisch.pdf?__blob=publicationFile","x")</f>
        <v>x</v>
      </c>
      <c r="FX91" s="111"/>
      <c r="FY91" s="112"/>
      <c r="FZ91" s="112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2" t="str">
        <f>HYPERLINK("http://www.rki.de/DE/Content/Infekt/Impfen/Materialien/Downloads-Influenza/Influenza-kurdisch.pdf?__blob=publicationFile","x")</f>
        <v>x</v>
      </c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2" t="str">
        <f t="shared" si="38"/>
        <v>x</v>
      </c>
      <c r="HD91" s="112" t="str">
        <f>HYPERLINK("https://www.zahnaerzte-wl.de/images/_PDF-suche/KZV_ZÄK/ENDSTAND_Ankreuzbogen_Ich_verstehe.pdf","x")</f>
        <v>x</v>
      </c>
      <c r="HE91" s="112" t="str">
        <f>HYPERLINK("https://www.zahnaerzte-wl.de/images/_PDF-suche/KZV_ZÄK/Anschreiben_Patienten_kurdisch_kurmandschi.pdf","x")</f>
        <v>x</v>
      </c>
      <c r="HF91" s="112" t="str">
        <f>HYPERLINK("https://www.zahnaerzte-wl.de/images/_PDF-suche/KZV_ZÄK/Fragebogen_kurdisch-kurmandschi.pdf","x")</f>
        <v>x</v>
      </c>
      <c r="HG91" s="112" t="str">
        <f>HYPERLINK("https://www.zahnaerzte-wl.de/images/_PDF-suche/KZV_ZÄK/Patientenerhebungsbogen_kurdisch-kurmandschi.pdf","x")</f>
        <v>x</v>
      </c>
      <c r="HH91" s="112"/>
      <c r="HI91" s="112"/>
      <c r="HJ91" s="112"/>
      <c r="HK91" s="112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2" t="str">
        <f t="shared" si="39"/>
        <v>x</v>
      </c>
      <c r="HZ91" s="112" t="str">
        <f t="shared" si="40"/>
        <v>x</v>
      </c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2"/>
      <c r="IL91" s="112" t="str">
        <f>HYPERLINK("http://www.bamf.de/SharedDocs/Anlagen/DE/Publikationen/Flyer/flyer-erstorientierung-asylsuchende_kurdisch.pdf?__blob=publicationFile","x")</f>
        <v>x</v>
      </c>
      <c r="IM91" s="111"/>
      <c r="IN91" s="111"/>
      <c r="IO91" s="111"/>
      <c r="IP91" s="111"/>
      <c r="IQ91" s="112" t="str">
        <f>HYPERLINK("http://www.bamf.de/SharedDocs/Anlagen/DE/Publikationen/Flyer/Lernen-Sie-Deutsch/lernen-sie-deutsch_ku.pdf?__blob=publicationFile","x")</f>
        <v>x</v>
      </c>
      <c r="IR91" s="112"/>
      <c r="IS91" s="111"/>
      <c r="IT91" s="111"/>
      <c r="IU91" s="111"/>
      <c r="IV91" s="112" t="str">
        <f>HYPERLINK("http://www.asyl.net/fileadmin/user_upload/infoblatt_anhoerung/Kurd_final.pdf","x")</f>
        <v>x</v>
      </c>
      <c r="IW91" s="112"/>
      <c r="IX91" s="112"/>
      <c r="IY91" s="112"/>
      <c r="IZ91" s="111"/>
      <c r="JA91" s="111"/>
      <c r="JB91" s="111"/>
      <c r="JC91" s="112"/>
      <c r="JD91" s="111"/>
      <c r="JE91" s="112"/>
      <c r="JF91" s="112"/>
      <c r="JG91" s="111"/>
      <c r="JH91" s="111"/>
      <c r="JI91" s="111"/>
      <c r="JJ91" s="112"/>
      <c r="JK91" s="112"/>
      <c r="JL91" s="112"/>
      <c r="JM91" s="112"/>
      <c r="JN91" s="112"/>
      <c r="JO91" s="112"/>
      <c r="JP91" s="112"/>
      <c r="JQ91" s="112"/>
      <c r="JR91" s="112"/>
      <c r="JS91" s="112"/>
      <c r="JT91" s="111"/>
      <c r="JU91" s="111"/>
      <c r="JV91" s="111"/>
      <c r="JW91" s="112"/>
      <c r="JX91" s="112"/>
      <c r="JY91" s="112"/>
      <c r="JZ91" s="112"/>
      <c r="KA91" s="112"/>
      <c r="KB91" s="112" t="str">
        <f>HYPERLINK("http://www.refugeeguide.de/dl/RefugeeGuide_ku_1214.pdf","x")</f>
        <v>x</v>
      </c>
      <c r="KC91" s="111"/>
      <c r="KD91" s="112" t="str">
        <f>HYPERLINK("http://www.wedel.de/fileadmin/user_upload/media/pdf/Rathaus_und_Politik/20160118_PM_Broschuere.pdf","x")</f>
        <v>x</v>
      </c>
      <c r="KE91" s="112"/>
      <c r="KF91" s="111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2"/>
      <c r="LC91" s="111"/>
      <c r="LD91" s="111"/>
      <c r="LE91" s="111"/>
      <c r="LF91" s="111"/>
      <c r="LG91" s="111"/>
      <c r="LH91" s="111"/>
      <c r="LI91" s="111"/>
      <c r="LJ91" s="111"/>
      <c r="LK91" s="111"/>
      <c r="LL91" s="111"/>
      <c r="LM91" s="111"/>
      <c r="LN91" s="111"/>
      <c r="LO91" s="111"/>
      <c r="LP91" s="111"/>
      <c r="LQ91" s="111"/>
      <c r="LR91" s="111"/>
      <c r="LS91" s="111"/>
      <c r="LT91" s="111"/>
      <c r="LU91" s="111"/>
      <c r="LV91" s="111"/>
      <c r="LW91" s="111"/>
      <c r="LX91" s="111"/>
      <c r="LY91" s="111"/>
      <c r="LZ91" s="111"/>
      <c r="MA91" s="111"/>
      <c r="MB91" s="111"/>
      <c r="MC91" s="111"/>
      <c r="MD91" s="111"/>
      <c r="ME91" s="111"/>
      <c r="MF91" s="111"/>
      <c r="MG91" s="111"/>
      <c r="MH91" s="111"/>
      <c r="MI91" s="111"/>
    </row>
    <row r="92" spans="1:347" x14ac:dyDescent="0.25">
      <c r="A92" s="102" t="s">
        <v>74</v>
      </c>
      <c r="B92" s="127" t="s">
        <v>481</v>
      </c>
      <c r="C92" s="102"/>
      <c r="D92" s="102"/>
      <c r="E92" s="102"/>
      <c r="F92" s="102"/>
      <c r="G92" s="102"/>
      <c r="H92" s="102"/>
      <c r="I92" s="102"/>
      <c r="J92" s="102"/>
      <c r="K92" s="103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2"/>
      <c r="AP92" s="112"/>
      <c r="AQ92" s="112"/>
      <c r="AR92" s="112"/>
      <c r="AS92" s="112"/>
      <c r="AT92" s="112"/>
      <c r="AU92" s="112"/>
      <c r="AV92" s="113"/>
      <c r="AW92" s="114" t="str">
        <f t="shared" si="22"/>
        <v>x</v>
      </c>
      <c r="AX92" s="114" t="str">
        <f t="shared" si="23"/>
        <v>x</v>
      </c>
      <c r="AY92" s="111"/>
      <c r="AZ92" s="111"/>
      <c r="BA92" s="112" t="str">
        <f t="shared" si="24"/>
        <v>x</v>
      </c>
      <c r="BB92" s="112" t="str">
        <f t="shared" si="25"/>
        <v>x</v>
      </c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2" t="str">
        <f t="shared" si="26"/>
        <v>x</v>
      </c>
      <c r="BT92" s="112"/>
      <c r="BU92" s="111"/>
      <c r="BV92" s="112" t="str">
        <f t="shared" si="27"/>
        <v>x</v>
      </c>
      <c r="BW92" s="112"/>
      <c r="BX92" s="112"/>
      <c r="BY92" s="112"/>
      <c r="BZ92" s="112"/>
      <c r="CA92" s="112" t="str">
        <f t="shared" si="28"/>
        <v>x</v>
      </c>
      <c r="CB92" s="112" t="str">
        <f t="shared" si="29"/>
        <v>x</v>
      </c>
      <c r="CC92" s="112" t="str">
        <f t="shared" si="30"/>
        <v>x</v>
      </c>
      <c r="CD92" s="112"/>
      <c r="CE92" s="112"/>
      <c r="CF92" s="111"/>
      <c r="CG92" s="111"/>
      <c r="CH92" s="111"/>
      <c r="CI92" s="111"/>
      <c r="CJ92" s="112"/>
      <c r="CK92" s="112" t="str">
        <f t="shared" si="31"/>
        <v>x</v>
      </c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5"/>
      <c r="DD92" s="112"/>
      <c r="DE92" s="112"/>
      <c r="DF92" s="112" t="str">
        <f t="shared" si="32"/>
        <v>x</v>
      </c>
      <c r="DG92" s="115" t="str">
        <f t="shared" si="33"/>
        <v>x</v>
      </c>
      <c r="DH92" s="112" t="str">
        <f t="shared" si="34"/>
        <v>x</v>
      </c>
      <c r="DI92" s="112" t="str">
        <f t="shared" si="35"/>
        <v>x</v>
      </c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2"/>
      <c r="DV92" s="111"/>
      <c r="DW92" s="111"/>
      <c r="DX92" s="111"/>
      <c r="DY92" s="111"/>
      <c r="DZ92" s="111"/>
      <c r="EA92" s="111"/>
      <c r="EB92" s="112"/>
      <c r="EC92" s="112"/>
      <c r="ED92" s="111"/>
      <c r="EE92" s="111"/>
      <c r="EF92" s="111"/>
      <c r="EG92" s="111"/>
      <c r="EH92" s="111"/>
      <c r="EI92" s="111"/>
      <c r="EJ92" s="112"/>
      <c r="EK92" s="112"/>
      <c r="EL92" s="111"/>
      <c r="EM92" s="112" t="str">
        <f>HYPERLINK("http://www.kvs-sachsen.de/fileadmin/img/Mitglieder/Asylbewerber/Allg-Informationen/Anlage_1_Sorani_LEK.pdf","x")</f>
        <v>x</v>
      </c>
      <c r="EN92" s="112"/>
      <c r="EO92" s="111"/>
      <c r="EP92" s="117"/>
      <c r="EQ92" s="118"/>
      <c r="ER92" s="112" t="str">
        <f>HYPERLINK("http://www.kvs-sachsen.de/fileadmin/img/Mitglieder/Asylbewerber/Allg-Informationen/Anlagen_2-1_2-2_Sorani_LEK.pdf","x")</f>
        <v>x</v>
      </c>
      <c r="ES92" s="111"/>
      <c r="ET92" s="111"/>
      <c r="EU92" s="111"/>
      <c r="EV92" s="111"/>
      <c r="EW92" s="112" t="str">
        <f t="shared" si="36"/>
        <v>x</v>
      </c>
      <c r="EX92" s="111"/>
      <c r="EY92" s="111"/>
      <c r="EZ92" s="111"/>
      <c r="FA92" s="111"/>
      <c r="FB92" s="111"/>
      <c r="FC92" s="111"/>
      <c r="FD92" s="112" t="str">
        <f t="shared" si="37"/>
        <v>x</v>
      </c>
      <c r="FE92" s="112"/>
      <c r="FF92" s="111"/>
      <c r="FG92" s="111"/>
      <c r="FH92" s="111"/>
      <c r="FI92" s="111"/>
      <c r="FJ92" s="112"/>
      <c r="FK92" s="112"/>
      <c r="FL92" s="111"/>
      <c r="FM92" s="111"/>
      <c r="FN92" s="112"/>
      <c r="FO92" s="112"/>
      <c r="FP92" s="112"/>
      <c r="FQ92" s="111"/>
      <c r="FR92" s="112"/>
      <c r="FS92" s="112"/>
      <c r="FT92" s="112"/>
      <c r="FU92" s="112"/>
      <c r="FV92" s="112"/>
      <c r="FW92" s="112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2"/>
      <c r="GI92" s="111"/>
      <c r="GJ92" s="111"/>
      <c r="GK92" s="111"/>
      <c r="GL92" s="111"/>
      <c r="GM92" s="112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2" t="str">
        <f t="shared" si="38"/>
        <v>x</v>
      </c>
      <c r="HD92" s="112" t="str">
        <f>HYPERLINK("https://www.zahnaerzte-wl.de/images/_PDF-suche/KZV_ZÄK/ENDSTAND_Ankreuzbogen_Ich_verstehe.pdf","x")</f>
        <v>x</v>
      </c>
      <c r="HE92" s="112" t="str">
        <f>HYPERLINK("https://www.zahnaerzte-wl.de/images/_PDF-suche/KZV_ZÄK/Anschreiben_Patienten_kurdisch_sorani.pdf","x")</f>
        <v>x</v>
      </c>
      <c r="HF92" s="112" t="str">
        <f>HYPERLINK("https://www.zahnaerzte-wl.de/images/_PDF-suche/KZV_ZÄK/Fragebogen_Kurdisch-Sorani.pdf","x")</f>
        <v>x</v>
      </c>
      <c r="HG92" s="112" t="str">
        <f>HYPERLINK("https://www.zahnaerzte-wl.de/images/_PDF-suche/KZV_ZÄK/Patientenerhebungsbogen_Kurdisch-Sorani.pdf","x")</f>
        <v>x</v>
      </c>
      <c r="HH92" s="111"/>
      <c r="HI92" s="111"/>
      <c r="HJ92" s="111"/>
      <c r="HK92" s="112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2" t="str">
        <f t="shared" si="39"/>
        <v>x</v>
      </c>
      <c r="HZ92" s="112" t="str">
        <f t="shared" si="40"/>
        <v>x</v>
      </c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2"/>
      <c r="IL92" s="111"/>
      <c r="IM92" s="111"/>
      <c r="IN92" s="111"/>
      <c r="IO92" s="111"/>
      <c r="IP92" s="111"/>
      <c r="IQ92" s="112"/>
      <c r="IR92" s="112"/>
      <c r="IS92" s="111"/>
      <c r="IT92" s="111"/>
      <c r="IU92" s="111"/>
      <c r="IV92" s="112"/>
      <c r="IW92" s="112"/>
      <c r="IX92" s="112"/>
      <c r="IY92" s="112"/>
      <c r="IZ92" s="111"/>
      <c r="JA92" s="111"/>
      <c r="JB92" s="111"/>
      <c r="JC92" s="112"/>
      <c r="JD92" s="111"/>
      <c r="JE92" s="112"/>
      <c r="JF92" s="112"/>
      <c r="JG92" s="112"/>
      <c r="JH92" s="112"/>
      <c r="JI92" s="111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1"/>
      <c r="JV92" s="111"/>
      <c r="JW92" s="112"/>
      <c r="JX92" s="112"/>
      <c r="JY92" s="111"/>
      <c r="JZ92" s="111"/>
      <c r="KA92" s="111"/>
      <c r="KB92" s="111"/>
      <c r="KC92" s="111"/>
      <c r="KD92" s="111"/>
      <c r="KE92" s="111"/>
      <c r="KF92" s="112"/>
      <c r="KG92" s="111"/>
      <c r="KH92" s="111"/>
      <c r="KI92" s="111"/>
      <c r="KJ92" s="111"/>
      <c r="KK92" s="111"/>
      <c r="KL92" s="111"/>
      <c r="KM92" s="111"/>
      <c r="KN92" s="111"/>
      <c r="KO92" s="111"/>
      <c r="KP92" s="111"/>
      <c r="KQ92" s="111"/>
      <c r="KR92" s="111"/>
      <c r="KS92" s="111"/>
      <c r="KT92" s="111"/>
      <c r="KU92" s="111"/>
      <c r="KV92" s="111"/>
      <c r="KW92" s="111"/>
      <c r="KX92" s="111"/>
      <c r="KY92" s="111"/>
      <c r="KZ92" s="111"/>
      <c r="LA92" s="111"/>
      <c r="LB92" s="111"/>
      <c r="LC92" s="111"/>
      <c r="LD92" s="111"/>
      <c r="LE92" s="111"/>
      <c r="LF92" s="111"/>
      <c r="LG92" s="111"/>
      <c r="LH92" s="111"/>
      <c r="LI92" s="111"/>
      <c r="LJ92" s="111"/>
      <c r="LK92" s="111"/>
      <c r="LL92" s="111"/>
      <c r="LM92" s="111"/>
      <c r="LN92" s="111"/>
      <c r="LO92" s="111"/>
      <c r="LP92" s="111"/>
      <c r="LQ92" s="111"/>
      <c r="LR92" s="111"/>
      <c r="LS92" s="111"/>
      <c r="LT92" s="111"/>
      <c r="LU92" s="111"/>
      <c r="LV92" s="111"/>
      <c r="LW92" s="111"/>
      <c r="LX92" s="111"/>
      <c r="LY92" s="111"/>
      <c r="LZ92" s="111"/>
      <c r="MA92" s="111"/>
      <c r="MB92" s="111"/>
      <c r="MC92" s="111"/>
      <c r="MD92" s="111"/>
      <c r="ME92" s="111"/>
      <c r="MF92" s="111"/>
      <c r="MG92" s="111"/>
      <c r="MH92" s="111"/>
      <c r="MI92" s="111"/>
    </row>
    <row r="93" spans="1:347" x14ac:dyDescent="0.25">
      <c r="A93" s="102" t="s">
        <v>74</v>
      </c>
      <c r="B93" s="127" t="s">
        <v>33</v>
      </c>
      <c r="C93" s="102"/>
      <c r="D93" s="102"/>
      <c r="E93" s="102"/>
      <c r="F93" s="102"/>
      <c r="G93" s="102"/>
      <c r="H93" s="102"/>
      <c r="I93" s="102"/>
      <c r="J93" s="102"/>
      <c r="K93" s="103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2"/>
      <c r="AP93" s="112"/>
      <c r="AQ93" s="112"/>
      <c r="AR93" s="112"/>
      <c r="AS93" s="112"/>
      <c r="AT93" s="112"/>
      <c r="AU93" s="112"/>
      <c r="AV93" s="113"/>
      <c r="AW93" s="114" t="str">
        <f t="shared" si="22"/>
        <v>x</v>
      </c>
      <c r="AX93" s="114" t="str">
        <f t="shared" si="23"/>
        <v>x</v>
      </c>
      <c r="AY93" s="111"/>
      <c r="AZ93" s="111"/>
      <c r="BA93" s="112" t="str">
        <f t="shared" si="24"/>
        <v>x</v>
      </c>
      <c r="BB93" s="112" t="str">
        <f t="shared" si="25"/>
        <v>x</v>
      </c>
      <c r="BC93" s="111"/>
      <c r="BD93" s="111"/>
      <c r="BE93" s="111"/>
      <c r="BF93" s="111"/>
      <c r="BG93" s="111"/>
      <c r="BH93" s="111"/>
      <c r="BI93" s="111"/>
      <c r="BJ93" s="111"/>
      <c r="BK93" s="112" t="str">
        <f>HYPERLINK("http://www.agf-trier.de/sites/default/files/bersetzungshilfe%20persisch%20allgemein.pdf","x")</f>
        <v>x</v>
      </c>
      <c r="BL93" s="111"/>
      <c r="BM93" s="111"/>
      <c r="BN93" s="111"/>
      <c r="BO93" s="111"/>
      <c r="BP93" s="111"/>
      <c r="BQ93" s="111"/>
      <c r="BR93" s="111"/>
      <c r="BS93" s="112" t="str">
        <f t="shared" si="26"/>
        <v>x</v>
      </c>
      <c r="BT93" s="112"/>
      <c r="BU93" s="111"/>
      <c r="BV93" s="112" t="str">
        <f t="shared" si="27"/>
        <v>x</v>
      </c>
      <c r="BW93" s="112"/>
      <c r="BX93" s="112"/>
      <c r="BY93" s="112"/>
      <c r="BZ93" s="112" t="str">
        <f>HYPERLINK("http://fluechtlingshilfe-nettetal.de/ausbildung/video-sprachkurse-deutsch-fuer-fluechtlinge/video-sprachkurs-persisch-deutsch/","x")</f>
        <v>x</v>
      </c>
      <c r="CA93" s="112" t="str">
        <f t="shared" si="28"/>
        <v>x</v>
      </c>
      <c r="CB93" s="112" t="str">
        <f t="shared" si="29"/>
        <v>x</v>
      </c>
      <c r="CC93" s="112" t="str">
        <f t="shared" si="30"/>
        <v>x</v>
      </c>
      <c r="CD93" s="112"/>
      <c r="CE93" s="112"/>
      <c r="CF93" s="112" t="str">
        <f>HYPERLINK("http://www.agf-trier.de/sites/default/files/bersetzungshilfe%20persisch%20f%C3%BCr%20Frauen.pdf","x")</f>
        <v>x</v>
      </c>
      <c r="CG93" s="112"/>
      <c r="CH93" s="112"/>
      <c r="CI93" s="112"/>
      <c r="CJ93" s="112" t="str">
        <f>HYPERLINK("https://www.hilfetelefon.de/fileadmin/hilfetelefon_de/Materialien/weitere_werbemittel/Klappflyer_Vorder-_und_Rueckseite_opt2.pdf","x")</f>
        <v>x</v>
      </c>
      <c r="CK93" s="112" t="str">
        <f t="shared" si="31"/>
        <v>x</v>
      </c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5"/>
      <c r="DD93" s="112"/>
      <c r="DE93" s="112"/>
      <c r="DF93" s="112" t="str">
        <f t="shared" si="32"/>
        <v>x</v>
      </c>
      <c r="DG93" s="115" t="str">
        <f t="shared" si="33"/>
        <v>x</v>
      </c>
      <c r="DH93" s="112" t="str">
        <f t="shared" si="34"/>
        <v>x</v>
      </c>
      <c r="DI93" s="112" t="str">
        <f t="shared" si="35"/>
        <v>x</v>
      </c>
      <c r="DJ93" s="111"/>
      <c r="DK93" s="111"/>
      <c r="DL93" s="112" t="str">
        <f>HYPERLINK("http://www.carlsen.de/sites/default/files/Walter-ebook_persisch_klein.pdf","x")</f>
        <v>x</v>
      </c>
      <c r="DM93" s="112"/>
      <c r="DN93" s="111"/>
      <c r="DO93" s="111"/>
      <c r="DP93" s="111"/>
      <c r="DQ93" s="111"/>
      <c r="DR93" s="111"/>
      <c r="DS93" s="112" t="str">
        <f>HYPERLINK("http://bildung.koeln.de/materialbibliothek/download.php?idx=67bc9eaf4628647c0c02985518a62471","x")</f>
        <v>x</v>
      </c>
      <c r="DT93" s="112" t="str">
        <f>HYPERLINK("http://bildung.koeln.de/materialbibliothek/download.php?idx=acc88150a5d4a01f5f2daa7f41d7bb34","x")</f>
        <v>x</v>
      </c>
      <c r="DU93" s="112"/>
      <c r="DV93" s="112" t="str">
        <f>HYPERLINK("https://www.bmbf.de/pub/KAUSA_Elternratgeber_deutsch_persisch_bf.pdf","x")</f>
        <v>x</v>
      </c>
      <c r="DW93" s="111"/>
      <c r="DX93" s="111"/>
      <c r="DY93" s="111"/>
      <c r="DZ93" s="111"/>
      <c r="EA93" s="111"/>
      <c r="EB93" s="112"/>
      <c r="EC93" s="111"/>
      <c r="ED93" s="111"/>
      <c r="EE93" s="111"/>
      <c r="EF93" s="111"/>
      <c r="EG93" s="111"/>
      <c r="EH93" s="111"/>
      <c r="EI93" s="111"/>
      <c r="EJ93" s="112"/>
      <c r="EK93" s="112"/>
      <c r="EL93" s="112" t="str">
        <f>HYPERLINK("http://www.aponet.de/persisch/20151019-fuer-den-notfall-wichtige-rufnummern-im-ueberblick.html","x")</f>
        <v>x</v>
      </c>
      <c r="EM93" s="111"/>
      <c r="EN93" s="112" t="str">
        <f>HYPERLINK("http://www.medizin-hilft-fluechtlingen.de/images/Dokumente/gSch/gSch_per.pdf","x")</f>
        <v>x</v>
      </c>
      <c r="EO93" s="112"/>
      <c r="EP93" s="117"/>
      <c r="EQ93" s="117" t="str">
        <f>HYPERLINK("http://www.armut-gesundheit.de/fileadmin/redakteur/dokumente/Anamnesebogen%20-%20persischnew.pdf","x")</f>
        <v>x</v>
      </c>
      <c r="ER93" s="111"/>
      <c r="ES93" s="111"/>
      <c r="ET93" s="112" t="str">
        <f>HYPERLINK("http://www.narz-avn.de/_uploads/files/tipps/Persisch_Fragebogen_PZ_46_2015.pdf","x")</f>
        <v>x</v>
      </c>
      <c r="EU93" s="112" t="str">
        <f>HYPERLINK("http://www.medizin-hilft-fluechtlingen.de/images/Dokumente/ein/ein_far.pdf","x")</f>
        <v>x</v>
      </c>
      <c r="EV93" s="112"/>
      <c r="EW93" s="112" t="str">
        <f t="shared" si="36"/>
        <v>x</v>
      </c>
      <c r="EX93" s="111"/>
      <c r="EY93" s="111"/>
      <c r="EZ93" s="112" t="str">
        <f>HYPERLINK("https://www.mh-hannover.de/fileadmin/mhh/bilder/aktuelles_presse/presseinformationen_news/Warnung-Knollenblaetterpiz-persisch.pdf","x")</f>
        <v>x</v>
      </c>
      <c r="FA93" s="112"/>
      <c r="FB93" s="111"/>
      <c r="FC93" s="111"/>
      <c r="FD93" s="112" t="str">
        <f t="shared" si="37"/>
        <v>x</v>
      </c>
      <c r="FE93" s="111"/>
      <c r="FF93" s="111"/>
      <c r="FG93" s="111"/>
      <c r="FH93" s="111"/>
      <c r="FI93" s="111"/>
      <c r="FJ93" s="112"/>
      <c r="FK93" s="111"/>
      <c r="FL93" s="112" t="str">
        <f>HYPERLINK("http://www.ethno-medizinisches-zentrum.de/images/PDF-Files/impfwegweiser_persisch_2013_online.pdf","x")</f>
        <v>x</v>
      </c>
      <c r="FM93" s="112"/>
      <c r="FN93" s="112" t="str">
        <f>HYPERLINK("http://www.rki.de/DE/Content/Infekt/Impfen/Materialien/Glossar-Downloads/glossar-de-farsi.pdf?__blob=publicationFile","x")</f>
        <v>x</v>
      </c>
      <c r="FO93" s="112"/>
      <c r="FP93" s="112" t="str">
        <f>HYPERLINK("http://www.rki.de/DE/Content/Infekt/Impfen/Materialien/Downloads-MMR/MMR-Impfinfo-persisch.pdf?__blob=publicationFile","x")</f>
        <v>x</v>
      </c>
      <c r="FQ93" s="112"/>
      <c r="FR93" s="112" t="str">
        <f>HYPERLINK("http://www.rki.de/DE/Content/Infekt/Impfen/Materialien/Downloads_HepA/Aufklaerung_HAV-Impfung_Persisch.pdf?__blob=publicationFile","x")</f>
        <v>x</v>
      </c>
      <c r="FS93" s="112" t="str">
        <f>HYPERLINK("http://www.rki.de/DE/Content/Infekt/Impfen/Materialien/Downloads_Pneumokokken/Aufklaerung_Pneumo-Impfung_Persisch.pdf?__blob=publicationFile","x")</f>
        <v>x</v>
      </c>
      <c r="FT93" s="112" t="str">
        <f>HYPERLINK("http://www.rki.de/DE/Content/Infekt/Impfen/Materialien/Downloads-DTaPIPVHibHepB/DTaPIPVHibHepB-persisch.pdf?__blob=publicationFile","x")</f>
        <v>x</v>
      </c>
      <c r="FU93" s="112" t="str">
        <f>HYPERLINK("http://www.rki.de/DE/Content/Infekt/Impfen/Materialien/Downloads-Varizellen/Varizellen-Impfinfo-persisch.pdf;jsessionid=65B697F4EE7EDA8A1ED9E2C4CD6C74EC.2_cid363?__blob=publicationFile","x")</f>
        <v>x</v>
      </c>
      <c r="FV93" s="112" t="str">
        <f>HYPERLINK("http://www.rki.de/DE/Content/Infekt/Impfen/Materialien/Downloads-Tdap-IPV/Tdap-IPV-persisch.pdf?__blob=publicationFile","x")</f>
        <v>x</v>
      </c>
      <c r="FW93" s="112" t="str">
        <f>HYPERLINK("http://www.rki.de/DE/Content/Infekt/Impfen/Materialien/Downloads-Influenza_nasal/Influenza_nasal-persisch.pdf?__blob=publicationFile","x")</f>
        <v>x</v>
      </c>
      <c r="FX93" s="111"/>
      <c r="FY93" s="112"/>
      <c r="FZ93" s="112"/>
      <c r="GA93" s="111"/>
      <c r="GB93" s="111"/>
      <c r="GC93" s="111"/>
      <c r="GD93" s="111"/>
      <c r="GE93" s="111"/>
      <c r="GF93" s="111"/>
      <c r="GG93" s="111"/>
      <c r="GH93" s="112"/>
      <c r="GI93" s="111"/>
      <c r="GJ93" s="111"/>
      <c r="GK93" s="111"/>
      <c r="GL93" s="111"/>
      <c r="GM93" s="112" t="str">
        <f>HYPERLINK("http://www.rki.de/DE/Content/Infekt/Impfen/Materialien/Downloads-Influenza/Influenza-persisch.pdf?__blob=publicationFile","x")</f>
        <v>x</v>
      </c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2" t="str">
        <f t="shared" si="38"/>
        <v>x</v>
      </c>
      <c r="HD93" s="112" t="str">
        <f>HYPERLINK("https://www.zahnaerzte-wl.de/images/_PDF-suche/KZV_ZÄK/ENDSTAND_Ankreuzbogen_Ich_verstehe.pdf","x")</f>
        <v>x</v>
      </c>
      <c r="HE93" s="112" t="str">
        <f>HYPERLINK("https://www.zahnaerzte-wl.de/images/_PDF-suche/KZV_ZÄK/Anschreiben_Patienten_persisch.pdf","x")</f>
        <v>x</v>
      </c>
      <c r="HF93" s="112" t="str">
        <f>HYPERLINK("https://www.zahnaerzte-wl.de/images/_PDF-suche/KZV_ZÄK/Fragebogen_persisch.pdf","x")</f>
        <v>x</v>
      </c>
      <c r="HG93" s="112" t="str">
        <f>HYPERLINK("https://www.zahnaerzte-wl.de/images/_PDF-suche/KZV_ZÄK/Patientenerhebungsbogen_persisch.pdf","x")</f>
        <v>x</v>
      </c>
      <c r="HH93" s="112"/>
      <c r="HI93" s="112"/>
      <c r="HJ93" s="112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2" t="str">
        <f t="shared" si="39"/>
        <v>x</v>
      </c>
      <c r="HZ93" s="112" t="str">
        <f t="shared" si="40"/>
        <v>x</v>
      </c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2"/>
      <c r="IL93" s="111"/>
      <c r="IM93" s="111"/>
      <c r="IN93" s="111"/>
      <c r="IO93" s="111"/>
      <c r="IP93" s="111"/>
      <c r="IQ93" s="112" t="str">
        <f>HYPERLINK("http://www.bamf.de/SharedDocs/Anlagen/DE/Publikationen/Flyer/Lernen-Sie-Deutsch/lernen-sie-deutsch_fa.pdf?__blob=publicationFile","x")</f>
        <v>x</v>
      </c>
      <c r="IR93" s="112"/>
      <c r="IS93" s="111"/>
      <c r="IT93" s="111"/>
      <c r="IU93" s="111"/>
      <c r="IV93" s="112" t="str">
        <f>HYPERLINK("http://www.asyl.net/fileadmin/user_upload/infoblatt_anhoerung/Pers_final.pdf","x")</f>
        <v>x</v>
      </c>
      <c r="IW93" s="112"/>
      <c r="IX93" s="112"/>
      <c r="IY93" s="112" t="str">
        <f>HYPERLINK("http://www.bamf.de/SharedDocs/Anlagen/DE/Publikationen/Broschueren/broschuere-eat-a4-fa-persisch.pdf?__blob=publicationFile","x")</f>
        <v>x</v>
      </c>
      <c r="IZ93" s="111"/>
      <c r="JA93" s="111"/>
      <c r="JB93" s="111"/>
      <c r="JC93" s="112"/>
      <c r="JD93" s="111"/>
      <c r="JE93" s="112"/>
      <c r="JF93" s="112"/>
      <c r="JG93" s="111"/>
      <c r="JH93" s="111"/>
      <c r="JI93" s="111"/>
      <c r="JJ93" s="112"/>
      <c r="JK93" s="112"/>
      <c r="JL93" s="112"/>
      <c r="JM93" s="112"/>
      <c r="JN93" s="112"/>
      <c r="JO93" s="112"/>
      <c r="JP93" s="112"/>
      <c r="JQ93" s="112"/>
      <c r="JR93" s="112" t="str">
        <f>HYPERLINK("http://www.ibla-germany.de/merkblaetter.php","x")</f>
        <v>x</v>
      </c>
      <c r="JS93" s="112"/>
      <c r="JT93" s="111"/>
      <c r="JU93" s="111"/>
      <c r="JV93" s="111"/>
      <c r="JW93" s="112"/>
      <c r="JX93" s="112"/>
      <c r="JY93" s="111"/>
      <c r="JZ93" s="111"/>
      <c r="KA93" s="111"/>
      <c r="KB93" s="111"/>
      <c r="KC93" s="111"/>
      <c r="KD93" s="111"/>
      <c r="KE93" s="111"/>
      <c r="KF93" s="111"/>
      <c r="KG93" s="111"/>
      <c r="KH93" s="111"/>
      <c r="KI93" s="111"/>
      <c r="KJ93" s="111"/>
      <c r="KK93" s="111"/>
      <c r="KL93" s="111"/>
      <c r="KM93" s="111"/>
      <c r="KN93" s="111"/>
      <c r="KO93" s="111"/>
      <c r="KP93" s="111"/>
      <c r="KQ93" s="111"/>
      <c r="KR93" s="111"/>
      <c r="KS93" s="111"/>
      <c r="KT93" s="111"/>
      <c r="KU93" s="111"/>
      <c r="KV93" s="111"/>
      <c r="KW93" s="111"/>
      <c r="KX93" s="111"/>
      <c r="KY93" s="111"/>
      <c r="KZ93" s="111"/>
      <c r="LA93" s="111"/>
      <c r="LB93" s="111"/>
      <c r="LC93" s="111"/>
      <c r="LD93" s="111"/>
      <c r="LE93" s="111"/>
      <c r="LF93" s="111"/>
      <c r="LG93" s="111"/>
      <c r="LH93" s="111"/>
      <c r="LI93" s="111"/>
      <c r="LJ93" s="111"/>
      <c r="LK93" s="111"/>
      <c r="LL93" s="111"/>
      <c r="LM93" s="111"/>
      <c r="LN93" s="111"/>
      <c r="LO93" s="111"/>
      <c r="LP93" s="111"/>
      <c r="LQ93" s="111"/>
      <c r="LR93" s="111"/>
      <c r="LS93" s="111"/>
      <c r="LT93" s="111"/>
      <c r="LU93" s="111"/>
      <c r="LV93" s="111"/>
      <c r="LW93" s="111"/>
      <c r="LX93" s="111"/>
      <c r="LY93" s="111"/>
      <c r="LZ93" s="111"/>
      <c r="MA93" s="111"/>
      <c r="MB93" s="111"/>
      <c r="MC93" s="111"/>
      <c r="MD93" s="111"/>
      <c r="ME93" s="111"/>
      <c r="MF93" s="111"/>
      <c r="MG93" s="111"/>
      <c r="MH93" s="111"/>
      <c r="MI93" s="111"/>
    </row>
    <row r="94" spans="1:347" x14ac:dyDescent="0.25">
      <c r="A94" s="102" t="s">
        <v>54</v>
      </c>
      <c r="B94" s="127" t="s">
        <v>1</v>
      </c>
      <c r="C94" s="102"/>
      <c r="D94" s="102"/>
      <c r="E94" s="102"/>
      <c r="F94" s="102"/>
      <c r="G94" s="102"/>
      <c r="H94" s="102"/>
      <c r="I94" s="102"/>
      <c r="J94" s="102"/>
      <c r="K94" s="103"/>
      <c r="L94" s="112" t="str">
        <f>HYPERLINK("http://sghanstedt.elbnetz.com/ueber-uns/","x")</f>
        <v>x</v>
      </c>
      <c r="M94" s="111"/>
      <c r="N94" s="112" t="str">
        <f>HYPERLINK("http://www.ag-fluechtlingshilfe-wetterau.de/uploads/infos/170.pdf","x")</f>
        <v>x</v>
      </c>
      <c r="O94" s="112" t="str">
        <f>HYPERLINK("http://www.ag-fluechtlingshilfe-wetterau.de/uploads/infos/220.pdf","x")</f>
        <v>x</v>
      </c>
      <c r="P94" s="112" t="str">
        <f>HYPERLINK("http://www.awb-ahrweiler.de/admin/data/ddownload/Abfall%20Sonderhinweise-Arabisch%202015.pdf","x")</f>
        <v>x</v>
      </c>
      <c r="Q94" s="112" t="str">
        <f>HYPERLINK("http://www.ag-fluechtlingshilfe-wetterau.de/uploads/infos/221.pdf","x")</f>
        <v>x</v>
      </c>
      <c r="R94" s="112" t="str">
        <f>HYPERLINK("http://www.konto.org/download/merkblatt-basiskonto-asylbewerber-arabisch.pdf","x")</f>
        <v>x</v>
      </c>
      <c r="S94" s="112"/>
      <c r="T94" s="112" t="str">
        <f>HYPERLINK("https://antworten.sparkasse.de/wp-content/uploads/2015/10/Arabisch.pdf","x")</f>
        <v>x</v>
      </c>
      <c r="U94" s="112" t="str">
        <f>HYPERLINK("http://www.ag-fluechtlingshilfe-wetterau.de/uploads/infos/191.pdf","x")</f>
        <v>x</v>
      </c>
      <c r="V94" s="112"/>
      <c r="W94" s="112"/>
      <c r="X94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4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4" s="112"/>
      <c r="AA94" s="112"/>
      <c r="AB94" s="112"/>
      <c r="AC94" s="112"/>
      <c r="AD94" s="112" t="str">
        <f>HYPERLINK("http://www.rundfunkbeitrag.de/e175/e1629/Informationsflyer_Buergerinnen_und_Buerger_arabisch.pdf","x")</f>
        <v>x</v>
      </c>
      <c r="AE94" s="112"/>
      <c r="AF94" s="112" t="str">
        <f>HYPERLINK("http://www.kub-berlin.org/formularprojekt/de/arabisch-antraege-und-anlagen/","x")</f>
        <v>x</v>
      </c>
      <c r="AG94" s="112" t="str">
        <f>HYPERLINK("http://asyl-in-moenchengladbach.de/wp-content/uploads/2015/11/100711-Flyer_arab.pdf","x")</f>
        <v>x</v>
      </c>
      <c r="AH94" s="111"/>
      <c r="AI94" s="112" t="str">
        <f>HYPERLINK("https://www.adac.de/sp/stiftung/_mmm/pdf/SGE_FOL_Verkehrssicherheit_Fl%C3%BCchtlinge_A3_01_16_Internet_250277.pdf","x")</f>
        <v>x</v>
      </c>
      <c r="AJ94" s="112" t="str">
        <f>HYPERLINK("http://www.stadt-koeln.de/mediaasset/content/العربية_kvb_kinderleicht_und_spielend_einfach__arabisch_.pdf","x")</f>
        <v>x</v>
      </c>
      <c r="AK94" s="112" t="str">
        <f>HYPERLINK("https://www.vrsinfo.de/fileadmin/Dateien/downloadcenter/Folder_MobilPassTicket_Refugees01012016.pdf","x")</f>
        <v>x</v>
      </c>
      <c r="AL94" s="112" t="str">
        <f>HYPERLINK("https://www.vrsinfo.de/fileadmin/Dateien/downloadcenter/Willkommen_im_VRS2016_Druck.pdf","x")</f>
        <v>x</v>
      </c>
      <c r="AM94" s="112"/>
      <c r="AN94" s="112" t="str">
        <f>HYPERLINK("https://www.deutschebahn.com/file/de/2191748/eYdgZpqGpp5sMJ2KMKtg2r8aE4Q/10123812/data/infos_fuer_fluechtlinge.pdf","x")</f>
        <v>x</v>
      </c>
      <c r="AO94" s="112"/>
      <c r="AP94" s="112"/>
      <c r="AQ94" s="112"/>
      <c r="AR94" s="112"/>
      <c r="AS94" s="112"/>
      <c r="AT94" s="112" t="str">
        <f>HYPERLINK("http://www.koelnerkarneval.de/fileadmin/content/images/news/Festkomitee_Flyer_DE_AR.pdf","x")</f>
        <v>x</v>
      </c>
      <c r="AU94" s="112"/>
      <c r="AV94" s="114" t="str">
        <f>HYPERLINK("http://www.studentenwerke.de/de/content/illustriertes-wohnheimw%C3%B6rterbuch-1","x")</f>
        <v>x</v>
      </c>
      <c r="AW94" s="114" t="str">
        <f t="shared" si="22"/>
        <v>x</v>
      </c>
      <c r="AX94" s="114" t="str">
        <f t="shared" si="23"/>
        <v>x</v>
      </c>
      <c r="AY94" s="112" t="str">
        <f>HYPERLINK("http://fi-lohmar-siegburg.de/data/documents/Findefix_arabisch-Bildwoerterbuch.pdf","x")</f>
        <v>x</v>
      </c>
      <c r="AZ94" s="111"/>
      <c r="BA94" s="112" t="str">
        <f t="shared" si="24"/>
        <v>x</v>
      </c>
      <c r="BB94" s="112" t="str">
        <f t="shared" si="25"/>
        <v>x</v>
      </c>
      <c r="BC94" s="112"/>
      <c r="BD94" s="112" t="str">
        <f>HYPERLINK("http://www.rehavista.de/?at=Mat_Boardmaker&amp;d=1&amp;dtype=mat&amp;id=1014","x")</f>
        <v>x</v>
      </c>
      <c r="BE94" s="112" t="str">
        <f>HYPERLINK("http://fi-lohmar-siegburg.de/data/documents/communicationboard-arabic-english.pdf","x")</f>
        <v>x</v>
      </c>
      <c r="BF94" s="112" t="str">
        <f>HYPERLINK("http://fi-lohmar-siegburg.de/data/documents/communicationboard-arabic-french.pdf","x")</f>
        <v>x</v>
      </c>
      <c r="BG94" s="111"/>
      <c r="BH94" s="112" t="str">
        <f>HYPERLINK("http://www.refugeephrasebook.de/pdf/germany150920.pdf","x")</f>
        <v>x</v>
      </c>
      <c r="BI94" s="112" t="str">
        <f>HYPERLINK("https://www.advanced-online.eu/downloads/RefugeePhrasebookCards_German-Arabic.pdf","x")</f>
        <v>x</v>
      </c>
      <c r="BJ94" s="112" t="str">
        <f>HYPERLINK("http://www.klett-sprachen.de/download/8638/W100255_Refugees_Welcome_Wortschatz.pdf","x")</f>
        <v>x</v>
      </c>
      <c r="BK94" s="112" t="str">
        <f>HYPERLINK("http://www.agf-trier.de/sites/default/files/bersetzungshilfe%20allgemein%20Arab..pdf","x")</f>
        <v>x</v>
      </c>
      <c r="BL94" s="112" t="str">
        <f>HYPERLINK("http://www.bundessprachenamt.de/deutsch/wir_ueber_uns/nachrichten/2015/20151103/Verständigungshilfe_Syrisch-Arabisch_07_12_2015.pdf","x")</f>
        <v>x</v>
      </c>
      <c r="BM94" s="112" t="str">
        <f>HYPERLINK("http://www.frnrw.de/images/Aus_den_Initiativen/Ehrenamtler/2015/Dictionary_x10_print-2.pdf","x")</f>
        <v>x</v>
      </c>
      <c r="BN94" s="112" t="str">
        <f>HYPERLINK("http://www.medbox.org/toolboxes/kleines-worterbuch-little-dictionary-deutsch-englisch-arabisch/preview","x")</f>
        <v>x</v>
      </c>
      <c r="BO94" s="111"/>
      <c r="BP94" s="111"/>
      <c r="BQ94" s="112" t="str">
        <f>HYPERLINK("https://www.friedensdorf.de/documents/Woerterbuch_Arabisch.pdf","x")</f>
        <v>x</v>
      </c>
      <c r="BR94" s="111"/>
      <c r="BS94" s="112" t="str">
        <f t="shared" si="26"/>
        <v>x</v>
      </c>
      <c r="BT94" s="112" t="str">
        <f>HYPERLINK("http://de.langenscheidt.com/doc/arabisch-deutsch-sprachfuehrer.pdf","x")</f>
        <v>x</v>
      </c>
      <c r="BU94" s="111"/>
      <c r="BV94" s="112" t="str">
        <f t="shared" si="27"/>
        <v>x</v>
      </c>
      <c r="BW94" s="112" t="str">
        <f>HYPERLINK("http://www.welcomegrooves.de/wp-content/uploads/2015/10/welcomegrooves_DE-ARABISCH.pdf","x")</f>
        <v>x</v>
      </c>
      <c r="BX94" s="112"/>
      <c r="BY94" s="112"/>
      <c r="BZ94" s="112" t="str">
        <f>HYPERLINK("http://fluechtlingshilfe-nettetal.de/ausbildung/video-sprachkurse-deutsch-fuer-fluechtlinge/video-sprachkurs-syrisch-deutsch/","x")</f>
        <v>x</v>
      </c>
      <c r="CA94" s="112" t="str">
        <f t="shared" si="28"/>
        <v>x</v>
      </c>
      <c r="CB94" s="112" t="str">
        <f t="shared" si="29"/>
        <v>x</v>
      </c>
      <c r="CC94" s="112" t="str">
        <f t="shared" si="30"/>
        <v>x</v>
      </c>
      <c r="CD94" s="112"/>
      <c r="CE94" s="112"/>
      <c r="CF94" s="112" t="str">
        <f>HYPERLINK("http://www.agf-trier.de/sites/default/files/bersetzungshilfe%20%20f%C3%BCr%20Frauen%20Arab..pdf","x")</f>
        <v>x</v>
      </c>
      <c r="CG94" s="112" t="str">
        <f>HYPERLINK("http://www.braunschweig.de/leben/frauen/hilfe/Ohne-Gewalt-leben.pdf","x")</f>
        <v>x</v>
      </c>
      <c r="CH94" s="112" t="str">
        <f>HYPERLINK("http://mifkjf.rlp.de/fileadmin/mifkjf/Frauen/Gewalt_gegen_Frauen/Downloads/Broschueren_Flyer/Flyer_Gewalt_arabisch_fuer_ANSICHT.pdf","x")</f>
        <v>x</v>
      </c>
      <c r="CI94" s="112"/>
      <c r="CJ94" s="112" t="str">
        <f>HYPERLINK("https://www.hilfetelefon.de/fileadmin/hilfetelefon_de/Materialien/weitere_werbemittel/Klappflyer_Vorder-_und_Rueckseite_opt2.pdf","x")</f>
        <v>x</v>
      </c>
      <c r="CK94" s="112" t="str">
        <f t="shared" si="31"/>
        <v>x</v>
      </c>
      <c r="CL94" s="112" t="str">
        <f>HYPERLINK("http://www.frauenberatungsstelle.de/pdf/Migrantinnen-beraten-Migrantinnen.pdf","x")</f>
        <v>x</v>
      </c>
      <c r="CM94" s="112"/>
      <c r="CN94" s="112"/>
      <c r="CO94" s="112"/>
      <c r="CP94" s="112" t="str">
        <f>HYPERLINK("http://www.schwanger-und-viele-fragen.de/ar/","x")</f>
        <v>x</v>
      </c>
      <c r="CQ94" s="112"/>
      <c r="CR94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4" s="112"/>
      <c r="CT94" s="112"/>
      <c r="CU94" s="112" t="str">
        <f>HYPERLINK("http://www.profamilia.de/fileadmin/publikationen/Erwachsene/mehrsprachig/verhuetung_arabisch.pdf","x")</f>
        <v>x</v>
      </c>
      <c r="CV94" s="112"/>
      <c r="CW94" s="112"/>
      <c r="CX94" s="112"/>
      <c r="CY94" s="112" t="str">
        <f>HYPERLINK("http://www.caritas-schwarzwald-alb-donau.de/68854.html","x")</f>
        <v>x</v>
      </c>
      <c r="CZ94" s="112"/>
      <c r="DA94" s="112" t="str">
        <f>HYPERLINK("http://sichere-orte-schaffen.de/wp-content/uploads/Minibrosch_Fluechtlinge_multilang.pdf","x")</f>
        <v>x</v>
      </c>
      <c r="DB94" s="112"/>
      <c r="DC94" s="115" t="str">
        <f>HYPERLINK("http://www.kindersicherheit.de/pdf/2012_Bilderbuch-Gift-Arabisch.pdf","x")</f>
        <v>x</v>
      </c>
      <c r="DD94" s="112"/>
      <c r="DE94" s="112"/>
      <c r="DF94" s="112" t="str">
        <f t="shared" si="32"/>
        <v>x</v>
      </c>
      <c r="DG94" s="115" t="str">
        <f t="shared" si="33"/>
        <v>x</v>
      </c>
      <c r="DH94" s="112" t="str">
        <f t="shared" si="34"/>
        <v>x</v>
      </c>
      <c r="DI94" s="112" t="str">
        <f t="shared" si="35"/>
        <v>x</v>
      </c>
      <c r="DJ94" s="112" t="str">
        <f>HYPERLINK("http://www.bibliomedia.ch/de/angebote/dokumente/Glossar_arabisch.pdf","x")</f>
        <v>x</v>
      </c>
      <c r="DK94" s="112"/>
      <c r="DL94" s="112" t="str">
        <f>HYPERLINK("http://www.carlsen.de/sites/default/files/Walter-ebook_arabisch_klein.pdf","x")</f>
        <v>x</v>
      </c>
      <c r="DM94" s="112"/>
      <c r="DN94" s="112"/>
      <c r="DO94" s="112" t="str">
        <f>HYPERLINK("http://www.wdrmaus.de/sachgeschichten/maus-international/","x")</f>
        <v>x</v>
      </c>
      <c r="DP94" s="111"/>
      <c r="DQ94" s="112" t="str">
        <f>HYPERLINK("http://tipdoc.de/bus/grafik/kinder-tip/SCHULTIP_give_didacta.pdf","x")</f>
        <v>x</v>
      </c>
      <c r="DR94" s="112" t="str">
        <f>HYPERLINK("https://broschueren.nordrheinwestfalendirekt.de/broschuerenservice/msw/ar-das-schulsystem-in-nordrhein-westfalen-einfach-und-schnell-erklaert/1901","x")</f>
        <v>x</v>
      </c>
      <c r="DS94" s="112" t="str">
        <f>HYPERLINK("http://bildung.koeln.de/materialbibliothek/download.php?idx=7479da9798519efb4e1944d46a76011b","x")</f>
        <v>x</v>
      </c>
      <c r="DT94" s="112" t="str">
        <f>HYPERLINK("http://bildung.koeln.de/materialbibliothek/download.php?idx=dd3a964c240308ea1c8e0d161e49e314","x")</f>
        <v>x</v>
      </c>
      <c r="DU94" s="112"/>
      <c r="DV94" s="112" t="str">
        <f>HYPERLINK("https://www.bmbf.de/pub/Kausa_Elternbroschuere_arabisch.pdf","x")</f>
        <v>x</v>
      </c>
      <c r="DW94" s="112"/>
      <c r="DX94" s="112" t="str">
        <f>HYPERLINK("http://www.wissenschaft.nrw.de/studium/informieren/informationen-fuer-fluechtlinge-die-in-nrw-studieren-moechten/","x")</f>
        <v>x</v>
      </c>
      <c r="DY94" s="112" t="str">
        <f>HYPERLINK("http://www.bamf.de/SharedDocs/Anlagen/DE/Publikationen/Flyer/AnerkennungBerufsabschluss/berufliche_anerkennung_akademische-heilberufe_ar.pdf?__blob=publicationFile","x")</f>
        <v>x</v>
      </c>
      <c r="DZ94" s="112" t="str">
        <f>HYPERLINK("http://www.bamf.de/SharedDocs/Anlagen/DE/Publikationen/Flyer/AnerkennungBerufsabschluss/anerkennung-berufsabschluss_ar.pdf?__blob=publicationFile","x")</f>
        <v>x</v>
      </c>
      <c r="EA94" s="112" t="str">
        <f>HYPERLINK("http://www.bamf.de/SharedDocs/Anlagen/DE/Publikationen/Flyer/AnerkennungBerufsabschluss/anerkennung-berufsabschluss_ausland_ar.pdf?__blob=publicationFile","x")</f>
        <v>x</v>
      </c>
      <c r="EB94" s="112" t="str">
        <f>HYPERLINK("http://www.bamf.de/SharedDocs/Anlagen/DE/Publikationen/Broschueren/willkommen-in-deutschland-info-blaue-karte-eu_ar.pdf?__blob=publicationFile","x")</f>
        <v>x</v>
      </c>
      <c r="EC94" s="112" t="str">
        <f>HYPERLINK("http://www.bamf.de/SharedDocs/Anlagen/DE/Publikationen/Flyer/Berufsbezsprachf-ESF-BAMF/berufsbezsprachf-esf-bamf_ar.pdf?__blob=publicationFile","x")</f>
        <v>x</v>
      </c>
      <c r="ED94" s="111"/>
      <c r="EE94" s="111"/>
      <c r="EF94" s="111"/>
      <c r="EG94" s="111"/>
      <c r="EH94" s="111"/>
      <c r="EI94" s="111"/>
      <c r="EJ94" s="112"/>
      <c r="EK94" s="112" t="str">
        <f>HYPERLINK("http://fluechtlingsrat-bw.de/files/Dateien/Dokumente/Materialbestellung/2014-12-flyer%20arbeitserlaubnis%20AR%20WEB_final.pdf","x")</f>
        <v>x</v>
      </c>
      <c r="EL94" s="112" t="str">
        <f>HYPERLINK("http://www.aponet.de/arabisch/20151019-fuer-den-notfall-wichtige-rufnummern-im-ueberblick.html","x")</f>
        <v>x</v>
      </c>
      <c r="EM94" s="112" t="str">
        <f>HYPERLINK("http://www.kvs-sachsen.de/fileadmin/img/Mitglieder/Asylbewerber/Allg-Informationen/Anlage_1_Arabisch_LEK.pdf","x")</f>
        <v>x</v>
      </c>
      <c r="EN94" s="112" t="str">
        <f>HYPERLINK("http://www.medizin-hilft-fluechtlingen.de/images/Dokumente/gSch/gSch_arab.pdf","x")</f>
        <v>x</v>
      </c>
      <c r="EO94" s="112" t="str">
        <f>HYPERLINK("http://www.aponet.de/arabisch/20151016-medizinische-leistungen-fuer-asylbewerber.html","x")</f>
        <v>x</v>
      </c>
      <c r="EP94" s="117" t="str">
        <f t="shared" ref="EP94:EP104" si="41">HYPERLINK("http://www.medi-bild.de/pdf/anamnese/Welche_Sprache.pdf","x")</f>
        <v>x</v>
      </c>
      <c r="EQ94" s="117" t="str">
        <f>HYPERLINK("http://www.armut-gesundheit.de/fileadmin/redakteur/dokumente/Anamnesebogen%20-%20Arabischnew.pdf","x")</f>
        <v>x</v>
      </c>
      <c r="ER94" s="112" t="str">
        <f>HYPERLINK("http://www.kvs-sachsen.de/fileadmin/img/Mitglieder/Asylbewerber/Allg-Informationen/Anlagen_2-1_2-2_Arabisch_LEK.pdf","x")</f>
        <v>x</v>
      </c>
      <c r="ES94" s="112"/>
      <c r="ET94" s="112" t="str">
        <f>HYPERLINK("http://www.pharmazeutische-zeitung.de/fileadmin/pdf/Fragebogen_PZ_43_2015.pdf","x")</f>
        <v>x</v>
      </c>
      <c r="EU94" s="112" t="str">
        <f>HYPERLINK("http://www.medizin-hilft-fluechtlingen.de/images/Dokumente/ein/ein_arab.pdf","x")</f>
        <v>x</v>
      </c>
      <c r="EV94" s="112" t="str">
        <f>HYPERLINK("http://www.adler-apotheke-hh.de/fileadmin/user_upload/PDF-Dateien/Dosierzettel_mehrsprachig_AUF_0_.pdf","x")</f>
        <v>x</v>
      </c>
      <c r="EW94" s="112" t="str">
        <f t="shared" si="36"/>
        <v>x</v>
      </c>
      <c r="EX94" s="112" t="str">
        <f>HYPERLINK("http://www.rki.de/DE/Content/Infekt/IfSG/Belehrungsbogen/belehrungsbogen_eltern_arabisch.pdf?__blob=publicationFile","x")</f>
        <v>x</v>
      </c>
      <c r="EY94" s="112" t="str">
        <f>HYPERLINK("http://www.bzga.de/infomaterialien/?sid=236","x")</f>
        <v>x</v>
      </c>
      <c r="EZ94" s="112" t="str">
        <f>HYPERLINK("https://www.mh-hannover.de/fileadmin/mhh/bilder/aktuelles_presse/presseinformationen_news/150921_Pilz_Vergif_Arab_3.pdf","x")</f>
        <v>x</v>
      </c>
      <c r="FA94" s="112"/>
      <c r="FB94" s="112" t="str">
        <f>HYPERLINK("http://static.apotheken-umschau.de/media/gp/article_506373/bildwoerterbuch.pdf","x")</f>
        <v>x</v>
      </c>
      <c r="FC94" s="111"/>
      <c r="FD94" s="112" t="str">
        <f t="shared" si="37"/>
        <v>x</v>
      </c>
      <c r="FE94" s="112" t="str">
        <f>HYPERLINK("http://sghanstedt.elbnetz.com/ueber-uns/","x")</f>
        <v>x</v>
      </c>
      <c r="FF94" s="112" t="str">
        <f>HYPERLINK("http://www.fuhlenhagen.com/pdf_dateien/uebertzungshilfe_aerzte_mehrsprachig.pdf","x")</f>
        <v>x</v>
      </c>
      <c r="FG94" s="112" t="str">
        <f>HYPERLINK("http://www.tipdoc.de/grafik/asyl/Gesundheitsheft_Asyl.pdf","x")</f>
        <v>x</v>
      </c>
      <c r="FH94" s="111"/>
      <c r="FI94" s="111"/>
      <c r="FJ94" s="112" t="str">
        <f>HYPERLINK("http://www.bundesgesundheitsministerium.de/fileadmin/dateien/Publikationen/Gesundheit/Broschueren/Ratgeber_Asylsuchende/Ratgeber_Asylsuchende_arab.PDF","x")</f>
        <v>x</v>
      </c>
      <c r="FK94" s="112" t="str">
        <f>HYPERLINK("http://www.rki.de/DE/Content/Infekt/Impfen/Materialien/Downloads-Impfkalender/Impfkalender_Arabisch.pdf?__blob=publicationFile","x")</f>
        <v>x</v>
      </c>
      <c r="FL94" s="112" t="str">
        <f>HYPERLINK("http://www.ethno-medizinisches-zentrum.de/images/PDF-Files/impfwegweiser_arabbisch_2013_online.pdf","x")</f>
        <v>x</v>
      </c>
      <c r="FM94" s="112"/>
      <c r="FN94" s="112" t="str">
        <f>HYPERLINK("http://www.rki.de/DE/Content/Infekt/Impfen/Materialien/Glossar-Downloads/glossar-de-arabisch.pdf?__blob=publicationFile","x")</f>
        <v>x</v>
      </c>
      <c r="FO94" s="112"/>
      <c r="FP94" s="112" t="str">
        <f>HYPERLINK("http://www.rki.de/DE/Content/Infekt/Impfen/Materialien/Downloads-MMR/MMR-Impfinfo-arabisch.pdf?__blob=publicationFile","x")</f>
        <v>x</v>
      </c>
      <c r="FQ94" s="112" t="str">
        <f>HYPERLINK("http://www.rki.de/DE/Content/InfAZ/P/Polio/Ausbruch_Syrien/Informationsblatt_Polio_Arabisch.pdf?__blob=publicationFile","x")</f>
        <v>x</v>
      </c>
      <c r="FR94" s="112" t="str">
        <f>HYPERLINK("http://www.rki.de/DE/Content/Infekt/Impfen/Materialien/Downloads_HepA/Aufklaerung_HAV-Impfung_arabisch.pdf?__blob=publicationFile","x")</f>
        <v>x</v>
      </c>
      <c r="FS94" s="112" t="str">
        <f>HYPERLINK("http://www.rki.de/DE/Content/Infekt/Impfen/Materialien/Downloads_Pneumokokken/Aufklaerung_Pneumo-Impfung_Arabisch.pdf?__blob=publicationFile","x")</f>
        <v>x</v>
      </c>
      <c r="FT94" s="112" t="str">
        <f>HYPERLINK("http://www.rki.de/DE/Content/Infekt/Impfen/Materialien/Downloads-DTaPIPVHibHepB/DTaPIPVHibHepB_arabisch.pdf?__blob=publicationFile","x")</f>
        <v>x</v>
      </c>
      <c r="FU94" s="112" t="str">
        <f>HYPERLINK("http://www.rki.de/DE/Content/Infekt/Impfen/Materialien/Downloads-Varizellen/Varizellen-Impfinfo-arabisch.pdf;jsessionid=65B697F4EE7EDA8A1ED9E2C4CD6C74EC.2_cid363?__blob=publicationFile","x")</f>
        <v>x</v>
      </c>
      <c r="FV94" s="112" t="str">
        <f>HYPERLINK("http://www.rki.de/DE/Content/Infekt/Impfen/Materialien/Downloads-Tdap-IPV/Tdap-IPV-arabisch.pdf?__blob=publicationFile","x")</f>
        <v>x</v>
      </c>
      <c r="FW94" s="112" t="str">
        <f>HYPERLINK("http://www.rki.de/DE/Content/Infekt/Impfen/Materialien/Downloads-Influenza_nasal/Influenza_nasal-arabisch.pdf?__blob=publicationFile","x")</f>
        <v>x</v>
      </c>
      <c r="FX94" s="112" t="str">
        <f>HYPERLINK("http://www.medical-tribune.de/fileadmin/PDF/Arthrose_arabisch.pdf","x")</f>
        <v>x</v>
      </c>
      <c r="FY94" s="112" t="str">
        <f>HYPERLINK("http://www.medical-tribune.de/fileadmin/PDF/Asthma_arabisch.pdf","x")</f>
        <v>x</v>
      </c>
      <c r="FZ94" s="112" t="str">
        <f>HYPERLINK("http://www.medical-tribune.de/fileadmin/PDF/Bluthochdruck_arabisch.pdf","x")</f>
        <v>x</v>
      </c>
      <c r="GA94" s="112"/>
      <c r="GB94" s="112" t="str">
        <f>HYPERLINK("http://www.medical-tribune.de/fileadmin/PDF/COPD_arabisch.pdf","x")</f>
        <v>x</v>
      </c>
      <c r="GC94" s="112"/>
      <c r="GD94" s="112" t="str">
        <f>HYPERLINK("http://www.ethno-medizinisches-zentrum.de/images/PDF-Files/lf_diabete_arab.pdf","x")</f>
        <v>x</v>
      </c>
      <c r="GE94" s="112"/>
      <c r="GF94" s="112"/>
      <c r="GG94" s="112"/>
      <c r="GH94" s="112"/>
      <c r="GI94" s="112" t="str">
        <f>HYPERLINK("http://www.tipdoc.de/bus/pdf/hepatitis/Hep_B_Webseite.pdf","x")</f>
        <v>x</v>
      </c>
      <c r="GJ94" s="112" t="str">
        <f>HYPERLINK("http://www.tipdoc.de/bus/pdf/hepatitis/Hep_C_Webseite.pdf","x")</f>
        <v>x</v>
      </c>
      <c r="GK94" s="111"/>
      <c r="GL94" s="111"/>
      <c r="GM94" s="112" t="str">
        <f>HYPERLINK("http://www.rki.de/DE/Content/Infekt/Impfen/Materialien/Downloads-Influenza/Influenza-arabisch.pdf?__blob=publicationFile","x")</f>
        <v>x</v>
      </c>
      <c r="GN94" s="112"/>
      <c r="GO94" s="112" t="str">
        <f>HYPERLINK("http://www.aponet.de/arabisch/20151111-so-unterscheiden-sich-grippe-und-erkaeltung.html","x")</f>
        <v>x</v>
      </c>
      <c r="GP94" s="112" t="str">
        <f>HYPERLINK("http://www.tipdoc.de/grafik/pdf/kopflaeuse/Kopflaeuse_ARAB.pdf","x")</f>
        <v>x</v>
      </c>
      <c r="GQ94" s="112"/>
      <c r="GR94" s="112" t="str">
        <f>HYPERLINK("http://www.tipdoc.com/bus/pdf/kraetze/tipdoc_Scabies_ARAB.pdf","x")</f>
        <v>x</v>
      </c>
      <c r="GS94" s="112" t="str">
        <f>HYPERLINK("http://www.tipdoc.com/bus/pdf/MagenDarmHaende/MagenDarmHaende_Arab.pdf","x")</f>
        <v>x</v>
      </c>
      <c r="GT94" s="112"/>
      <c r="GU94" s="112" t="str">
        <f>HYPERLINK("http://www.medical-tribune.de/fileadmin/PDF/Rueckenschmerzen_arabisch.pdf","x")</f>
        <v>x</v>
      </c>
      <c r="GV94" s="112"/>
      <c r="GW94" s="112"/>
      <c r="GX94" s="112" t="str">
        <f>HYPERLINK("http://www.medical-tribune.de/fileadmin/PDF/Schwindel_arabisch.pdf","x")</f>
        <v>x</v>
      </c>
      <c r="GY94" s="112"/>
      <c r="GZ94" s="112"/>
      <c r="HA94" s="112"/>
      <c r="HB94" s="112"/>
      <c r="HC94" s="112" t="str">
        <f t="shared" si="38"/>
        <v>x</v>
      </c>
      <c r="HD94" s="112" t="str">
        <f>HYPERLINK("https://www.zahnaerzte-wl.de/images/_PDF-suche/KZV_ZÄK/ENDSTAND_Ankreuzbogen_Ich_verstehe.pdf","x")</f>
        <v>x</v>
      </c>
      <c r="HE94" s="112" t="str">
        <f>HYPERLINK("https://www.zahnaerzte-wl.de/images/_PDF-suche/KZV_ZÄK/Anschreiben_Patienten_arabisch.pdf","x")</f>
        <v>x</v>
      </c>
      <c r="HF94" s="112" t="str">
        <f>HYPERLINK("https://www.zahnaerzte-wl.de/images/_PDF-suche/KZV_ZÄK/Fragebogen_arabisch.pdf","x")</f>
        <v>x</v>
      </c>
      <c r="HG94" s="112" t="str">
        <f>HYPERLINK("https://www.zahnaerzte-wl.de/images/_PDF-suche/KZV_ZÄK/Patientenerhebungsbogen_arabisch.pdf","x")</f>
        <v>x</v>
      </c>
      <c r="HH94" s="112"/>
      <c r="HI94" s="112"/>
      <c r="HJ94" s="112" t="str">
        <f>HYPERLINK("http://www.ibbc-berlin.de/media/Bro_de-arab.pdf","x")</f>
        <v>x</v>
      </c>
      <c r="HK94" s="112"/>
      <c r="HL94" s="112" t="str">
        <f>HYPERLINK("http://www.ethno-medizinisches-zentrum.de/images/PDF-Files/lf_depression__arab.pdf","x")</f>
        <v>x</v>
      </c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 t="str">
        <f>HYPERLINK("http://www.bkk-psychisch-gesund.de/fileadmin/user_upload/Dokumente/Versicherte/Broschueren/Wegweiser_Psychotherapie_arabisch.pdf","x")</f>
        <v>x</v>
      </c>
      <c r="HY94" s="112" t="str">
        <f t="shared" si="39"/>
        <v>x</v>
      </c>
      <c r="HZ94" s="112" t="str">
        <f t="shared" si="40"/>
        <v>x</v>
      </c>
      <c r="IA94" s="112"/>
      <c r="IB94" s="112"/>
      <c r="IC94" s="112"/>
      <c r="ID94" s="112" t="str">
        <f>HYPERLINK("http://www.susannestein.de/VIA-online/trauma-bilderbuch-arabisch.pdf","x")</f>
        <v>x</v>
      </c>
      <c r="IE94" s="112"/>
      <c r="IF94" s="112"/>
      <c r="IG94" s="112"/>
      <c r="IH94" s="111"/>
      <c r="II94" s="112"/>
      <c r="IJ94" s="112"/>
      <c r="IK94" s="112" t="str">
        <f>HYPERLINK("http://www.bamf.de/SharedDocs/Anlagen/DE/Publikationen/Flyer/Lassen-Sie-Sich-Beraten/lassen-sie-sich-beraten_ar.pdf?__blob=publicationFile","x")</f>
        <v>x</v>
      </c>
      <c r="IL94" s="112" t="str">
        <f>HYPERLINK("http://www.bamf.de/SharedDocs/Anlagen/DE/Publikationen/Flyer/flyer-erstorientierung-asylsuchende_arabisch.pdf?__blob=publicationFile","x")</f>
        <v>x</v>
      </c>
      <c r="IM94" s="111"/>
      <c r="IN94" s="112" t="str">
        <f>HYPERLINK("https://www.bamf.de/SharedDocs/Anlagen/DE/Publikationen/Broschueren/willkommen-in-deutschland_ar.pdf?__blob=publicationFile","x")</f>
        <v>x</v>
      </c>
      <c r="IO94" s="112"/>
      <c r="IP94" s="111"/>
      <c r="IQ94" s="112" t="str">
        <f>HYPERLINK("http://www.bamf.de/SharedDocs/Anlagen/DE/Publikationen/Flyer/Lernen-Sie-Deutsch/lernen-sie-deutsch_ar.pdf?__blob=publicationFile","x")</f>
        <v>x</v>
      </c>
      <c r="IR94" s="112" t="str">
        <f>HYPERLINK("http://www.asyl.net/fileadmin/user_upload/redaktion/Dokumente/Arbeitshilfen/150910_Wie_l%C3%A4uft_ein_Asylverfahren_ab_%C3%9Cberblickstext_Arabisch.pdf","x")</f>
        <v>x</v>
      </c>
      <c r="IS94" s="111"/>
      <c r="IT94" s="111"/>
      <c r="IU94" s="111"/>
      <c r="IV94" s="112" t="str">
        <f>HYPERLINK("http://www.asyl.net/fileadmin/user_upload/infoblatt_anhoerung/Infoblatt_2015_ar_fin.pdf","x")</f>
        <v>x</v>
      </c>
      <c r="IW94" s="112" t="str">
        <f>HYPERLINK("http://efi-landsberg.de/asyl/wp-content/uploads/2014/04/Merkblatt-Asylbewerber-Fluechtlinge.pdf","x")</f>
        <v>x</v>
      </c>
      <c r="IX94" s="112"/>
      <c r="IY94" s="112" t="str">
        <f>HYPERLINK("http://www.bamf.de/SharedDocs/Anlagen/DE/Publikationen/Broschueren/broschuere-eat-a4-ar-arabisch.pdf?__blob=publicationFile","x")</f>
        <v>x</v>
      </c>
      <c r="IZ94" s="111"/>
      <c r="JA94" s="112" t="str">
        <f>HYPERLINK("http://fluechtlingsrat-bw.de/informationen-fuer-fluechtlinge.html","x")</f>
        <v>x</v>
      </c>
      <c r="JB94" s="111"/>
      <c r="JC94" s="112"/>
      <c r="JD94" s="111"/>
      <c r="JE94" s="112"/>
      <c r="JF94" s="112"/>
      <c r="JG94" s="112" t="str">
        <f>HYPERLINK("http://www.bamf.de/SharedDocs/Anlagen/DE/Publikationen/Flyer/Ehegattennachzug/ehegattennachzug-ar.pdf?__blob=publicationFile","x")</f>
        <v>x</v>
      </c>
      <c r="JH94" s="112" t="str">
        <f>HYPERLINK("https://familyreunion-syria.diplo.de/webportal/index.html#start","x")</f>
        <v>x</v>
      </c>
      <c r="JI94" s="111"/>
      <c r="JJ94" s="112"/>
      <c r="JK94" s="112" t="str">
        <f>HYPERLINK("https://www.arbeitsagentur.de/web/wcm/idc/groups/public/documents/webdatei/mdaw/mjgz/~edisp/l6019022dstbai784629.pdf?_ba.sid=L6019022DSTBAI788745","x")</f>
        <v>x</v>
      </c>
      <c r="JL94" s="112" t="str">
        <f>HYPERLINK("http://www.kub-berlin.org/formularprojekt/de/arabisch-antraege-und-anlagen/","x")</f>
        <v>x</v>
      </c>
      <c r="JM94" s="112" t="str">
        <f>HYPERLINK("https://www.arbeitsagentur.de/web/content/DE/Formulare/Detail/index.htm?dfContentId=L6019022DSTBAI485740","x")</f>
        <v>x</v>
      </c>
      <c r="JN94" s="112"/>
      <c r="JO94" s="112"/>
      <c r="JP94" s="112"/>
      <c r="JQ94" s="112"/>
      <c r="JR94" s="112" t="str">
        <f>HYPERLINK("http://www.ibla-germany.de/merkblaetter.php","x")</f>
        <v>x</v>
      </c>
      <c r="JS94" s="112"/>
      <c r="JT94" s="112" t="str">
        <f>HYPERLINK("http://www.b-umf.de/images/willkommen/willkommensbroschurearabisch-web.pdf","x")</f>
        <v>x</v>
      </c>
      <c r="JU94" s="111"/>
      <c r="JV94" s="111"/>
      <c r="JW94" s="112"/>
      <c r="JX94" s="112"/>
      <c r="JY94" s="112"/>
      <c r="JZ94" s="112"/>
      <c r="KA94" s="112" t="str">
        <f>HYPERLINK("http://www.kas.de/wf/de/33.43117/","x")</f>
        <v>x</v>
      </c>
      <c r="KB94" s="112" t="str">
        <f>HYPERLINK("http://www.refugeeguide.de/dl/RefugeeGuide_ar_930.pdf","x")</f>
        <v>x</v>
      </c>
      <c r="KC94" s="112" t="str">
        <f>HYPERLINK("http://www.bpb.de/shop/buecher/grundgesetz/215136/grundgesetz-auf-arabisch","x")</f>
        <v>x</v>
      </c>
      <c r="KD94" s="112" t="str">
        <f>HYPERLINK("http://www.wedel.de/fileadmin/user_upload/media/pdf/Rathaus_und_Politik/20160118_PM_Broschuere.pdf","x")</f>
        <v>x</v>
      </c>
      <c r="KE94" s="112" t="str">
        <f>HYPERLINK("http://www.frauenrechte.de/online/images/downloads/allgemein/TDF_Flyer_Women_Men.pdf","x")</f>
        <v>x</v>
      </c>
      <c r="KF94" s="112" t="str">
        <f>HYPERLINK("http://sab.landtag.sachsen.de/dokumente/landtagskurier/Grundwerte-A5-international_web_08012016.pdf","x")</f>
        <v>x</v>
      </c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2"/>
      <c r="LC94" s="111"/>
      <c r="LD94" s="111"/>
      <c r="LE94" s="111"/>
      <c r="LF94" s="111"/>
      <c r="LG94" s="112"/>
      <c r="LH94" s="111"/>
      <c r="LI94" s="111"/>
      <c r="LJ94" s="111"/>
      <c r="LK94" s="111"/>
      <c r="LL94" s="111"/>
      <c r="LM94" s="111"/>
      <c r="LN94" s="111"/>
      <c r="LO94" s="111"/>
      <c r="LP94" s="111"/>
      <c r="LQ94" s="111"/>
      <c r="LR94" s="111"/>
      <c r="LS94" s="111"/>
      <c r="LT94" s="112"/>
      <c r="LU94" s="111"/>
      <c r="LV94" s="111"/>
      <c r="LW94" s="111"/>
      <c r="LX94" s="111"/>
      <c r="LY94" s="111"/>
      <c r="LZ94" s="112" t="str">
        <f>HYPERLINK("http://www.bjf.info/projekte/cinemanya","x")</f>
        <v>x</v>
      </c>
      <c r="MA94" s="111"/>
      <c r="MB94" s="111"/>
      <c r="MC94" s="111"/>
      <c r="MD94" s="112" t="str">
        <f>HYPERLINK("http://www.rki.de/DE/Content/Infekt/IfSG/Belehrungsbogen/belehrungsbogen_lebensmittel_arabisch.pdf?__blob=publicationFile","x")</f>
        <v>x</v>
      </c>
      <c r="ME94" s="111"/>
      <c r="MF94" s="112" t="str">
        <f>HYPERLINK("http://www.gdv.de/wp-content/uploads/2016/01/Information_Brandschutz_Fluechtlingsheim_-Sicherheit_mehrsprachig.pdf","x")</f>
        <v>x</v>
      </c>
      <c r="MG94" s="112" t="str">
        <f>HYPERLINK("http://www.gdv.de/wp-content/uploads/2016/01/Information_Verhalten-im-Brandfall_mehrsprachig.pdf","x")</f>
        <v>x</v>
      </c>
      <c r="MH94" s="112" t="str">
        <f>HYPERLINK("http://www.aha-region.de/fileadmin/Download/pdf/aha_Plakat_Muelltrennung_ar.pdf","x")</f>
        <v>x</v>
      </c>
      <c r="MI94" s="112" t="str">
        <f>HYPERLINK("http://www.kindersicherheit.de/pdf/2012_poster_achtunggiftig_8sprachig.pdf","x")</f>
        <v>x</v>
      </c>
    </row>
    <row r="95" spans="1:347" x14ac:dyDescent="0.25">
      <c r="A95" s="102" t="s">
        <v>54</v>
      </c>
      <c r="B95" s="127" t="s">
        <v>4</v>
      </c>
      <c r="C95" s="102"/>
      <c r="D95" s="102"/>
      <c r="E95" s="102"/>
      <c r="F95" s="102"/>
      <c r="G95" s="102"/>
      <c r="H95" s="102"/>
      <c r="I95" s="102"/>
      <c r="J95" s="102"/>
      <c r="K95" s="103"/>
      <c r="L95" s="111"/>
      <c r="M95" s="111"/>
      <c r="N95" s="112" t="str">
        <f>HYPERLINK("http://www.ag-fluechtlingshilfe-wetterau.de/uploads/infos/170.pdf","x")</f>
        <v>x</v>
      </c>
      <c r="O95" s="112" t="str">
        <f>HYPERLINK("http://www.ag-fluechtlingshilfe-wetterau.de/uploads/infos/220.pdf","x")</f>
        <v>x</v>
      </c>
      <c r="P95" s="112" t="str">
        <f>HYPERLINK("http://www.awb-ahrweiler.de/admin/data/ddownload/Abfall%20Sonderhinweise-englisch_2014.pdf","x")</f>
        <v>x</v>
      </c>
      <c r="Q95" s="112" t="str">
        <f>HYPERLINK("http://www.ag-fluechtlingshilfe-wetterau.de/uploads/infos/221.pdf","x")</f>
        <v>x</v>
      </c>
      <c r="R95" s="112" t="str">
        <f>HYPERLINK("http://www.konto.org/download/merkblatt-basiskonto-asylbewerber-english.pdf","x")</f>
        <v>x</v>
      </c>
      <c r="S95" s="112"/>
      <c r="T95" s="112" t="str">
        <f>HYPERLINK("https://antworten.sparkasse.de/wp-content/uploads/2015/10/English.pdf","x")</f>
        <v>x</v>
      </c>
      <c r="U95" s="112" t="str">
        <f>HYPERLINK("http://www.ag-fluechtlingshilfe-wetterau.de/uploads/infos/191.pdf","x")</f>
        <v>x</v>
      </c>
      <c r="V95" s="112"/>
      <c r="W95" s="112"/>
      <c r="X9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9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95" s="112"/>
      <c r="AA95" s="112"/>
      <c r="AB95" s="112"/>
      <c r="AC95" s="112" t="str">
        <f>HYPERLINK("http://www.vzhh.de/vzhh/409638/vzhh_refugees_telephone_internet.pdf","x")</f>
        <v>x</v>
      </c>
      <c r="AD95" s="112" t="str">
        <f>HYPERLINK("http://www.vzhh.de/vzhh/410647/vzhh_refugees_rundfunk.pdf","x")</f>
        <v>x</v>
      </c>
      <c r="AE95" s="112" t="str">
        <f>HYPERLINK("http://www.vzhh.de/vzhh/411476/vzhh_refugees_rundfunk_befreiung.pdf","x")</f>
        <v>x</v>
      </c>
      <c r="AF95" s="112" t="str">
        <f>HYPERLINK("http://www.kub-berlin.org/formularprojekt/de/englisch-antraege-und-anlagen-uebersetzungshilfen/","x")</f>
        <v>x</v>
      </c>
      <c r="AG95" s="112" t="str">
        <f>HYPERLINK("http://asyl-in-moenchengladbach.de/wp-content/uploads/2015/11/100711-Flyer_GB.pdf","x")</f>
        <v>x</v>
      </c>
      <c r="AH95" s="112" t="str">
        <f>HYPERLINK("http://sghanstedt.elbnetz.com/ueber-uns/","x")</f>
        <v>x</v>
      </c>
      <c r="AI95" s="112" t="str">
        <f>HYPERLINK("https://www.adac.de/sp/stiftung/_mmm/pdf/SGE_FOL_Verkehrssicherheit_Fl%C3%BCchtlinge_A3_01_16_Internet_250277.pdf","x")</f>
        <v>x</v>
      </c>
      <c r="AJ95" s="112" t="str">
        <f>HYPERLINK("http://www.stadt-koeln.de/mediaasset/content/kvb_kinderleicht_und_spielend_einfach__englisch_.pdf","x")</f>
        <v>x</v>
      </c>
      <c r="AK95" s="112" t="str">
        <f>HYPERLINK("https://www.vrsinfo.de/fileadmin/Dateien/downloadcenter/Folder_MobilPassTicket_Refugees01012016.pdf","x")</f>
        <v>x</v>
      </c>
      <c r="AL95" s="112" t="str">
        <f>HYPERLINK("https://www.vrsinfo.de/fileadmin/Dateien/downloadcenter/Willkommen_im_VRS2016_Druck.pdf","x")</f>
        <v>x</v>
      </c>
      <c r="AM95" s="112"/>
      <c r="AN95" s="112" t="str">
        <f>HYPERLINK("https://www.deutschebahn.com/file/de/2191748/eYdgZpqGpp5sMJ2KMKtg2r8aE4Q/10123812/data/infos_fuer_fluechtlinge.pdf","x")</f>
        <v>x</v>
      </c>
      <c r="AO95" s="112"/>
      <c r="AP95" s="112"/>
      <c r="AQ95" s="112"/>
      <c r="AR95" s="112"/>
      <c r="AS95" s="112"/>
      <c r="AT95" s="112"/>
      <c r="AU95" s="112" t="str">
        <f>HYPERLINK("http://www.stadt-koeln.de/mediaasset/content/festkomitee_flyer_2016_d_gb.pdf","x")</f>
        <v>x</v>
      </c>
      <c r="AV95" s="113"/>
      <c r="AW95" s="114" t="str">
        <f t="shared" si="22"/>
        <v>x</v>
      </c>
      <c r="AX95" s="114" t="str">
        <f t="shared" si="23"/>
        <v>x</v>
      </c>
      <c r="AY95" s="112" t="str">
        <f>HYPERLINK("http://fi-lohmar-siegburg.de/data/documents/Findefix_arabisch-Bildwoerterbuch.pdf","x")</f>
        <v>x</v>
      </c>
      <c r="AZ95" s="111"/>
      <c r="BA95" s="112" t="str">
        <f t="shared" si="24"/>
        <v>x</v>
      </c>
      <c r="BB95" s="112" t="str">
        <f t="shared" si="25"/>
        <v>x</v>
      </c>
      <c r="BC95" s="111"/>
      <c r="BD95" s="111"/>
      <c r="BE95" s="112" t="str">
        <f>HYPERLINK("http://fi-lohmar-siegburg.de/data/documents/communicationboard-arabic-english.pdf","x")</f>
        <v>x</v>
      </c>
      <c r="BF95" s="112"/>
      <c r="BG95" s="111"/>
      <c r="BH95" s="112" t="str">
        <f>HYPERLINK("http://www.refugeephrasebook.de/pdf/germany150920.pdf","x")</f>
        <v>x</v>
      </c>
      <c r="BI95" s="112" t="str">
        <f>HYPERLINK("https://www.advanced-online.eu/downloads/RefugeePhrasebookCards_German-English.pdf","x")</f>
        <v>x</v>
      </c>
      <c r="BJ95" s="112" t="str">
        <f>HYPERLINK("http://www.klett-sprachen.de/download/8638/W100255_Refugees_Welcome_Wortschatz.pdf","x")</f>
        <v>x</v>
      </c>
      <c r="BK95" s="111"/>
      <c r="BL95" s="112" t="str">
        <f>HYPERLINK("http://www.bundessprachenamt.de/deutsch/wir_ueber_uns/nachrichten/2015/20151103/Verständigungshilfe_Englisch_26_11_2015.pdf","x")</f>
        <v>x</v>
      </c>
      <c r="BM95" s="112" t="str">
        <f>HYPERLINK("http://www.frnrw.de/images/Aus_den_Initiativen/Ehrenamtler/2015/Dictionary_x10_print-2.pdf","x")</f>
        <v>x</v>
      </c>
      <c r="BN95" s="112" t="str">
        <f>HYPERLINK("http://www.medbox.org/toolboxes/kleines-worterbuch-little-dictionary-deutsch-englisch-arabisch/preview","x")</f>
        <v>x</v>
      </c>
      <c r="BO95" s="112" t="str">
        <f>HYPERLINK("http://mylanguages.org/dari_phrases.php","x")</f>
        <v>x</v>
      </c>
      <c r="BP95" s="111"/>
      <c r="BQ95" s="111"/>
      <c r="BR95" s="111"/>
      <c r="BS95" s="112" t="str">
        <f t="shared" si="26"/>
        <v>x</v>
      </c>
      <c r="BT95" s="112"/>
      <c r="BU95" s="111"/>
      <c r="BV95" s="112" t="str">
        <f t="shared" si="27"/>
        <v>x</v>
      </c>
      <c r="BW95" s="112" t="str">
        <f>HYPERLINK("http://www.welcomegrooves.de/wp-content/uploads/2015/10/welcomegrooves_DE-ENGLISH1.pdf","x")</f>
        <v>x</v>
      </c>
      <c r="BX95" s="112"/>
      <c r="BY95" s="112"/>
      <c r="BZ95" s="112"/>
      <c r="CA95" s="112" t="str">
        <f t="shared" si="28"/>
        <v>x</v>
      </c>
      <c r="CB95" s="112" t="str">
        <f t="shared" si="29"/>
        <v>x</v>
      </c>
      <c r="CC95" s="112" t="str">
        <f t="shared" si="30"/>
        <v>x</v>
      </c>
      <c r="CD95" s="112"/>
      <c r="CE95" s="112"/>
      <c r="CF95" s="111"/>
      <c r="CG95" s="112" t="str">
        <f>HYPERLINK("http://www.braunschweig.de/leben/frauen/hilfe/Ohne-Gewalt-leben.pdf","x")</f>
        <v>x</v>
      </c>
      <c r="CH95" s="112" t="str">
        <f>HYPERLINK("http://mifkjf.rlp.de/fileadmin/mifkjf/Frauen/Gewalt_gegen_Frauen/Downloads/Broschueren_Flyer/Flyer_Gewalt_englisch.pdf","x")</f>
        <v>x</v>
      </c>
      <c r="CI95" s="112" t="str">
        <f>HYPERLINK("https://www.hilfetelefon.de/fileadmin/hilfetelefon_de/Materialien/Flyer/Infoflyer_Hilfetelefon_Gewalt_gegen_Frauen141105_b2.pdf","x")</f>
        <v>x</v>
      </c>
      <c r="CJ95" s="112" t="str">
        <f>HYPERLINK("https://www.hilfetelefon.de/fileadmin/hilfetelefon_de/Materialien/weitere_werbemittel/Klappflyer_Vorder-_und_Rueckseite_opt2.pdf","x")</f>
        <v>x</v>
      </c>
      <c r="CK95" s="112" t="str">
        <f t="shared" si="31"/>
        <v>x</v>
      </c>
      <c r="CL95" s="112" t="str">
        <f>HYPERLINK("http://www.frauenberatungsstelle.de/pdf/Migrantinnen-beraten-Migrantinnen.pdf","x")</f>
        <v>x</v>
      </c>
      <c r="CM95" s="112" t="str">
        <f>HYPERLINK("http://www.frauenleben.org/spezielle_beratungsangebote/sexualisierte_gewalt.htm","x")</f>
        <v>x</v>
      </c>
      <c r="CN95" s="112"/>
      <c r="CO95" s="112"/>
      <c r="CP95" s="112" t="str">
        <f>HYPERLINK("http://www.schwanger-und-viele-fragen.de/en/","x")</f>
        <v>x</v>
      </c>
      <c r="CQ95" s="112"/>
      <c r="CR9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95" s="112" t="str">
        <f>HYPERLINK("http://en.beststart.org/for_parents/are-you-looking-resources-languages-other-english-and-french","x")</f>
        <v>x</v>
      </c>
      <c r="CT95" s="112"/>
      <c r="CU95" s="112" t="str">
        <f>HYPERLINK("http://www.profamilia.de/fileadmin/publikationen/Erwachsene/mehrsprachig/Bro_Verhuetung_engl_2013.pdf","x")</f>
        <v>x</v>
      </c>
      <c r="CV95" s="112" t="str">
        <f>HYPERLINK("http://www.profamilia.de/fileadmin/publikationen/Erwachsene/mehrsprachig/Bro_Pille_danach_Faltblatt_140122_RZ.pdf","x")</f>
        <v>x</v>
      </c>
      <c r="CW95" s="112" t="str">
        <f>HYPERLINK("http://www.profamilia.de/fileadmin/publikationen/Reihe_Verhuetungsmethoden/Einleger_englisch.pdf","x")</f>
        <v>x</v>
      </c>
      <c r="CX95" s="112" t="str">
        <f>HYPERLINK("http://www.profamilia.de/fileadmin/publikationen/Reihe_Koerper_und_Sexualtitaet/Schwangerschaftsabbruch_englisch_2010.pdf","x")</f>
        <v>x</v>
      </c>
      <c r="CY95" s="112" t="str">
        <f>HYPERLINK("http://www.caritas-schwarzwald-alb-donau.de/68854.html","x")</f>
        <v>x</v>
      </c>
      <c r="CZ95" s="112" t="str">
        <f>HYPERLINK("http://www.dgfpi.de/tl_files/download/medien/unwissen-macht-en.pdf","x")</f>
        <v>x</v>
      </c>
      <c r="DA95" s="112"/>
      <c r="DB95" s="112"/>
      <c r="DC95" s="115" t="str">
        <f>HYPERLINK("http://www.kindersicherheit.de/pdf/2013_BAG_Tomi_and_Mila_Deutsch_English.pdf","x")</f>
        <v>x</v>
      </c>
      <c r="DD95" s="112"/>
      <c r="DE95" s="112"/>
      <c r="DF95" s="112" t="str">
        <f t="shared" si="32"/>
        <v>x</v>
      </c>
      <c r="DG95" s="115" t="str">
        <f t="shared" si="33"/>
        <v>x</v>
      </c>
      <c r="DH95" s="112" t="str">
        <f t="shared" si="34"/>
        <v>x</v>
      </c>
      <c r="DI95" s="112" t="str">
        <f t="shared" si="35"/>
        <v>x</v>
      </c>
      <c r="DJ95" s="112"/>
      <c r="DK95" s="112"/>
      <c r="DL95" s="112"/>
      <c r="DM95" s="112"/>
      <c r="DN95" s="112"/>
      <c r="DO95" s="112" t="str">
        <f>HYPERLINK("http://www.wdrmaus.de/sachgeschichten/maus-international/","x")</f>
        <v>x</v>
      </c>
      <c r="DP95" s="111"/>
      <c r="DQ95" s="111"/>
      <c r="DR95" s="112" t="str">
        <f>HYPERLINK("https://broschueren.nordrheinwestfalendirekt.de/broschuerenservice/msw/eng-das-schulsystem-in-nordrhein-westfalen-einfach-und-schnell-erklaert/1902","x")</f>
        <v>x</v>
      </c>
      <c r="DS95" s="112" t="str">
        <f>HYPERLINK("http://bildung.koeln.de/materialbibliothek/download.php?idx=8e2a9f658e9fa830ce17dc18f0fb0268","x")</f>
        <v>x</v>
      </c>
      <c r="DT95" s="112" t="str">
        <f>HYPERLINK("http://bildung.koeln.de/materialbibliothek/download.php?idx=90aff7e7259385cadb46c517317f1446","x")</f>
        <v>x</v>
      </c>
      <c r="DU95" s="112"/>
      <c r="DV95" s="112" t="str">
        <f>HYPERLINK("https://www.bmbf.de/pub/Kausa_Elternbroschuere_englisch.pdf","x")</f>
        <v>x</v>
      </c>
      <c r="DW95" s="112"/>
      <c r="DX95" s="112" t="str">
        <f>HYPERLINK("http://www.wissenschaft.nrw.de/studium/informieren/informationen-fuer-fluechtlinge-die-in-nrw-studieren-moechten/","x")</f>
        <v>x</v>
      </c>
      <c r="DY95" s="112" t="str">
        <f>HYPERLINK("http://www.bamf.de/SharedDocs/Anlagen/DE/Publikationen/Flyer/AnerkennungBerufsabschluss/berufliche_anerkennung_akademische-heilberufe_en.pdf?__blob=publicationFile","x")</f>
        <v>x</v>
      </c>
      <c r="DZ95" s="112" t="str">
        <f>HYPERLINK("http://www.bamf.de/SharedDocs/Anlagen/EN/Publikationen/Flyer/AnerkennungBerufsabschluss/anerkennung-berufsabschluss.pdf?__blob=publicationFile","x")</f>
        <v>x</v>
      </c>
      <c r="EA95" s="112" t="str">
        <f>HYPERLINK("http://www.bamf.de/SharedDocs/Anlagen/EN/Publikationen/Flyer/AnerkennungBerufsabschluss/anerkennung-berufsabschluss_ausland.pdf?__blob=publicationFile","x")</f>
        <v>x</v>
      </c>
      <c r="EB95" s="112" t="str">
        <f>HYPERLINK("http://www.bamf.de/SharedDocs/Anlagen/EN/Publikationen/Broschueren/willkommen-in-deutschland-info-blaue-karte-eu_en.pdf?__blob=publicationFile","x")</f>
        <v>x</v>
      </c>
      <c r="EC95" s="112" t="str">
        <f>HYPERLINK("http://www.bamf.de/SharedDocs/Anlagen/EN/Publikationen/Flyer/Berufsbezsprachf-ESF-BAMF/berufsbezsprachf-esf-bamf.pdf?__blob=publicationFile","x")</f>
        <v>x</v>
      </c>
      <c r="ED95" s="111"/>
      <c r="EE95" s="111"/>
      <c r="EF95" s="111"/>
      <c r="EG95" s="111"/>
      <c r="EH95" s="111"/>
      <c r="EI95" s="111"/>
      <c r="EJ95" s="112"/>
      <c r="EK95" s="112" t="str">
        <f>HYPERLINK("http://fluechtlingsrat-bw.de/files/Dateien/Dokumente/Materialbestellung/2014-12-flyer%20arbeitserlaubnis%20EN%20WEB.pdf","x")</f>
        <v>x</v>
      </c>
      <c r="EL95" s="112" t="str">
        <f>HYPERLINK("http://www.aponet.de/englisch/20151019-fuer-den-notfall-wichtige-rufnummern-im-ueberblick.html","x")</f>
        <v>x</v>
      </c>
      <c r="EM95" s="112" t="str">
        <f>HYPERLINK("http://www.kvs-sachsen.de/fileadmin/img/Mitglieder/Asylbewerber/Allg-Informationen/Anlage_1_Englisch_LEK.pdf","x")</f>
        <v>x</v>
      </c>
      <c r="EN95" s="112" t="str">
        <f>HYPERLINK("http://www.medizin-hilft-fluechtlingen.de/images/Dokumente/gSch/gSch_eng.pdf","x")</f>
        <v>x</v>
      </c>
      <c r="EO95" s="112" t="str">
        <f>HYPERLINK("http://www.aponet.de/englisch/medical-care-for-asylum-seekers.html","x")</f>
        <v>x</v>
      </c>
      <c r="EP95" s="117" t="str">
        <f t="shared" si="41"/>
        <v>x</v>
      </c>
      <c r="EQ95" s="117" t="str">
        <f>HYPERLINK("http://www.armut-gesundheit.de/fileadmin/redakteur/dokumente/Anamnesebogen%20-%20englischnew.pdf","x")</f>
        <v>x</v>
      </c>
      <c r="ER95" s="112" t="str">
        <f>HYPERLINK("http://www.kvs-sachsen.de/fileadmin/img/Mitglieder/Asylbewerber/Allg-Informationen/Anlagen_2-1_2-2_Englisch_LEK.pdf","x")</f>
        <v>x</v>
      </c>
      <c r="ES95" s="111"/>
      <c r="ET95" s="111"/>
      <c r="EU95" s="112" t="str">
        <f>HYPERLINK("http://www.medizin-hilft-fluechtlingen.de/images/Dokumente/ein/ein_engl.pdf","x")</f>
        <v>x</v>
      </c>
      <c r="EV95" s="112" t="str">
        <f>HYPERLINK("http://www.adler-apotheke-hh.de/fileadmin/user_upload/PDF-Dateien/Dosierzettel_mehrsprachig_AUF_0_.pdf","x")</f>
        <v>x</v>
      </c>
      <c r="EW95" s="112" t="str">
        <f t="shared" si="36"/>
        <v>x</v>
      </c>
      <c r="EX95" s="112" t="str">
        <f>HYPERLINK("http://www.rki.de/DE/Content/Infekt/IfSG/Belehrungsbogen/belehrungsbogen_eltern_englisch.pdf?__blob=publicationFile","x")</f>
        <v>x</v>
      </c>
      <c r="EY95" s="112" t="str">
        <f>HYPERLINK("http://www.bzga.de/infomaterialien/?sid=236","x")</f>
        <v>x</v>
      </c>
      <c r="EZ95" s="112" t="str">
        <f>HYPERLINK("https://www.mh-hannover.de/fileadmin/mhh/bilder/aktuelles_presse/pressestelle/bilder/Pilzvergif_English.pdf","x")</f>
        <v>x</v>
      </c>
      <c r="FA95" s="112"/>
      <c r="FB95" s="112" t="str">
        <f>HYPERLINK("http://static.apotheken-umschau.de/media/gp/article_506373/bildwoerterbuch.pdf","x")</f>
        <v>x</v>
      </c>
      <c r="FC95" s="112" t="str">
        <f>HYPERLINK("https://www.studentenwerke.de/sites/default/files/gesundheitswoerterbuch.pdf","x")</f>
        <v>x</v>
      </c>
      <c r="FD95" s="112" t="str">
        <f t="shared" si="37"/>
        <v>x</v>
      </c>
      <c r="FE95" s="112" t="str">
        <f>HYPERLINK("http://sghanstedt.elbnetz.com/ueber-uns/","x")</f>
        <v>x</v>
      </c>
      <c r="FF95" s="112" t="str">
        <f>HYPERLINK("http://www.fuhlenhagen.com/pdf_dateien/uebertzungshilfe_aerzte_mehrsprachig.pdf","x")</f>
        <v>x</v>
      </c>
      <c r="FG95" s="112" t="str">
        <f>HYPERLINK("http://www.tipdoc.de/grafik/asyl/Gesundheitsheft_Asyl.pdf","x")</f>
        <v>x</v>
      </c>
      <c r="FH95" s="111"/>
      <c r="FI95" s="111"/>
      <c r="FJ95" s="112" t="str">
        <f>HYPERLINK("http://www.bundesgesundheitsministerium.de/fileadmin/dateien/Publikationen/Gesundheit/Broschueren/Ratgeber_Asylsuchende/Ratgeber_Asylsuchende_engl.pdf","x")</f>
        <v>x</v>
      </c>
      <c r="FK95" s="112" t="str">
        <f>HYPERLINK("http://www.rki.de/DE/Content/Infekt/Impfen/Materialien/Downloads-Impfkalender/Impfkalender_Englisch.pdf?__blob=publicationFile","x")</f>
        <v>x</v>
      </c>
      <c r="FL95" s="112" t="str">
        <f>HYPERLINK("http://www.ethno-medizinisches-zentrum.de/images/PDF-Files/impfwegweiser_englisch_2013_online.pdf","x")</f>
        <v>x</v>
      </c>
      <c r="FM95" s="112"/>
      <c r="FN95" s="112" t="str">
        <f>HYPERLINK("http://www.rki.de/DE/Content/Infekt/Impfen/Materialien/Glossar-Downloads/glossar-de-englisch.pdf?__blob=publicationFile","x")</f>
        <v>x</v>
      </c>
      <c r="FO95" s="112" t="str">
        <f>HYPERLINK("http://www.euro.who.int/__data/assets/pdf_file/0005/160754/VPDs_Signs-symptoms-complications.pdf?ua=1","x")</f>
        <v>x</v>
      </c>
      <c r="FP95" s="112" t="str">
        <f>HYPERLINK("http://www.rki.de/DE/Content/Infekt/Impfen/Materialien/Downloads-MMR/MMR-Impfinfo-englisch.pdf?__blob=publicationFile","x")</f>
        <v>x</v>
      </c>
      <c r="FQ95" s="112" t="str">
        <f>HYPERLINK("http://www.rki.de/DE/Content/InfAZ/P/Polio/Ausbruch_Syrien/Informationsblatt_Polio_Englisch.pdf?__blob=publicationFile","x")</f>
        <v>x</v>
      </c>
      <c r="FR95" s="112" t="str">
        <f>HYPERLINK("http://www.rki.de/DE/Content/Infekt/Impfen/Materialien/Downloads_HepA/Aufklaerung_HAV-Impfung_Englisch.pdf?__blob=publicationFile","x")</f>
        <v>x</v>
      </c>
      <c r="FS95" s="112" t="str">
        <f>HYPERLINK("http://www.rki.de/DE/Content/Infekt/Impfen/Materialien/Downloads_Pneumokokken/Aufklaerung_Pneumo-Impfung_Englisch.pdf?__blob=publicationFile","x")</f>
        <v>x</v>
      </c>
      <c r="FT95" s="112" t="str">
        <f>HYPERLINK("http://www.rki.de/DE/Content/Infekt/Impfen/Materialien/Downloads-DTaPIPVHibHepB/DTaPIPVHibHepB-englisch.pdf?__blob=publicationFile","x")</f>
        <v>x</v>
      </c>
      <c r="FU95" s="112" t="str">
        <f>HYPERLINK("http://www.rki.de/DE/Content/Infekt/Impfen/Materialien/Downloads-Varizellen/Varizellen-Impfinfo-englisch.pdf;jsessionid=65B697F4EE7EDA8A1ED9E2C4CD6C74EC.2_cid363?__blob=publicationFile","x")</f>
        <v>x</v>
      </c>
      <c r="FV95" s="112" t="str">
        <f>HYPERLINK("http://www.rki.de/DE/Content/Infekt/Impfen/Materialien/Downloads-Tdap-IPV/Tdap-IPV-englisch.pdf?__blob=publicationFile","x")</f>
        <v>x</v>
      </c>
      <c r="FW95" s="112" t="str">
        <f>HYPERLINK("http://www.rki.de/DE/Content/Infekt/Impfen/Materialien/Downloads-Influenza_nasal/Influenza_nasal-englisch.pdf?__blob=publicationFile","x")</f>
        <v>x</v>
      </c>
      <c r="FX95" s="111"/>
      <c r="FY95" s="112"/>
      <c r="FZ95" s="112"/>
      <c r="GA95" s="111"/>
      <c r="GB95" s="111"/>
      <c r="GC95" s="111"/>
      <c r="GD95" s="112" t="str">
        <f>HYPERLINK("http://www.ethno-medizinisches-zentrum.de/images/PDF-Files/lf_diabete_englisch.pdf","x")</f>
        <v>x</v>
      </c>
      <c r="GE95" s="111"/>
      <c r="GF95" s="111"/>
      <c r="GG95" s="111"/>
      <c r="GH95" s="112"/>
      <c r="GI95" s="111"/>
      <c r="GJ95" s="111"/>
      <c r="GK95" s="112" t="str">
        <f>HYPERLINK("http://www.tipdoc.de/bus/pdf/hiv/HIV%20ESP_Webseite.pdf","x")</f>
        <v>x</v>
      </c>
      <c r="GL95" s="111"/>
      <c r="GM95" s="112" t="str">
        <f>HYPERLINK("http://www.rki.de/DE/Content/Infekt/Impfen/Materialien/Downloads-Influenza/Influenza-englisch.pdf?__blob=publicationFile","x")</f>
        <v>x</v>
      </c>
      <c r="GN95" s="111"/>
      <c r="GO95" s="112" t="str">
        <f>HYPERLINK("http://www.aponet.de/englisch/20151111-so-unterscheiden-sich-grippe-und-erkaeltung.html","x")</f>
        <v>x</v>
      </c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2" t="str">
        <f t="shared" si="38"/>
        <v>x</v>
      </c>
      <c r="HD95" s="112" t="str">
        <f>HYPERLINK("https://www.zahnaerzte-wl.de/images/_PDF-suche/KZV_ZÄK/ENDSTAND_Ankreuzbogen_Ich_verstehe.pdf","x")</f>
        <v>x</v>
      </c>
      <c r="HE95" s="112" t="str">
        <f>HYPERLINK("https://www.zahnaerzte-wl.de/images/_PDF-suche/KZV_ZÄK/Anschreiben_Patienten_englisch.pdf","x")</f>
        <v>x</v>
      </c>
      <c r="HF95" s="112" t="str">
        <f>HYPERLINK("https://www.zahnaerzte-wl.de/images/_PDF-suche/KZV_ZÄK/Fragebogen_englisch.pdf","x")</f>
        <v>x</v>
      </c>
      <c r="HG95" s="112" t="str">
        <f>HYPERLINK("https://www.zahnaerzte-wl.de/images/_PDF-suche/KZV_ZÄK/Patientenerhebungsbogen_englisch.pdf","x")</f>
        <v>x</v>
      </c>
      <c r="HH95" s="112"/>
      <c r="HI95" s="112" t="str">
        <f>HYPERLINK("http://www.bvkm.de/fileadmin/web_data/Behinderung_und_Migration_englisch_2014.pdf","x")</f>
        <v>x</v>
      </c>
      <c r="HJ95" s="112"/>
      <c r="HK95" s="112" t="str">
        <f>HYPERLINK("http://www.psychenet.de/en/mental-health/knowledge/depression.html","x")</f>
        <v>x</v>
      </c>
      <c r="HL95" s="111"/>
      <c r="HM95" s="112" t="str">
        <f>HYPERLINK("http://www.psychenet.de/en/mental-health/knowledge/psychoses.html","x")</f>
        <v>x</v>
      </c>
      <c r="HN95" s="112" t="str">
        <f>HYPERLINK("http://www.psychenet.de/en/mental-health/knowledge/somatoform-disorders.html","x")</f>
        <v>x</v>
      </c>
      <c r="HO95" s="112" t="str">
        <f>HYPERLINK("http://www.psychenet.de/en/mental-health/knowledge/anorexia.html","x")</f>
        <v>x</v>
      </c>
      <c r="HP95" s="112" t="str">
        <f>HYPERLINK("http://www.psychenet.de/en/mental-health/knowledge/bulimia.html","x")</f>
        <v>x</v>
      </c>
      <c r="HQ95" s="112" t="str">
        <f>HYPERLINK("http://www.psychenet.de/en/mental-health/knowledge/bipolar-disorder.html","x")</f>
        <v>x</v>
      </c>
      <c r="HR95" s="112" t="str">
        <f>HYPERLINK("http://www.psychenet.de/en/mental-health/knowledge/panic-and-agoraphobia.html","x")</f>
        <v>x</v>
      </c>
      <c r="HS95" s="112" t="str">
        <f>HYPERLINK("http://www.psychenet.de/en/mental-health/knowledge/social-phobia.html","x")</f>
        <v>x</v>
      </c>
      <c r="HT95" s="112" t="str">
        <f>HYPERLINK("http://www.psychenet.de/en/mental-health/knowledge/generalized-anxiety-disorder.html","x")</f>
        <v>x</v>
      </c>
      <c r="HU95" s="112"/>
      <c r="HV95" s="112" t="str">
        <f>HYPERLINK("http://www.psychenet.de/en/mental-health/knowledge/information-and-support.html","x")</f>
        <v>x</v>
      </c>
      <c r="HW95" s="112"/>
      <c r="HX95" s="112" t="str">
        <f>HYPERLINK("http://www.bkk-psychisch-gesund.de/fileadmin/user_upload/Dokumente/Versicherte/Broschueren/Wegweiser_Psychotherapie_englisch.pdf","x")</f>
        <v>x</v>
      </c>
      <c r="HY95" s="112" t="str">
        <f t="shared" si="39"/>
        <v>x</v>
      </c>
      <c r="HZ95" s="112" t="str">
        <f t="shared" si="40"/>
        <v>x</v>
      </c>
      <c r="IA95" s="112" t="str">
        <f>HYPERLINK("http://peacefulheart.se/wp-content/uploads/2012/02/TTT_English_2013.pdf","x")</f>
        <v>x</v>
      </c>
      <c r="IB95" s="112"/>
      <c r="IC95" s="112"/>
      <c r="ID95" s="112" t="str">
        <f>HYPERLINK("http://www.susannestein.de/VIA-online/trauma-picture-book.pdf","x")</f>
        <v>x</v>
      </c>
      <c r="IE95" s="112" t="str">
        <f>HYPERLINK("http://www.psychenet.de/en/mental-health/knowledge/alcohol-in-adolescence.html","x")</f>
        <v>x</v>
      </c>
      <c r="IF95" s="112"/>
      <c r="IG95" s="112"/>
      <c r="IH95" s="111"/>
      <c r="II95" s="112" t="str">
        <f>HYPERLINK("http://www.caritas.de/hilfeundberatung/onlineberatung/suchtberatung/haeufiggestelltefragensucht/haeufiggestelltefragen-sucht","x")</f>
        <v>x</v>
      </c>
      <c r="IJ95" s="112" t="str">
        <f>HYPERLINK("http://www.dhs.de/fileadmin/user_upload/pdf/Broschueren/Ein_Angebot_an_alle-Englisch.pdf","x")</f>
        <v>x</v>
      </c>
      <c r="IK95" s="112" t="str">
        <f>HYPERLINK("http://www.bamf.de/SharedDocs/Anlagen/EN/Publikationen/Flyer/Lassen-Sie-Sich-Beraten/lassen-sie-sich-beraten.pdf?__blob=publicationFile","x")</f>
        <v>x</v>
      </c>
      <c r="IL95" s="115" t="str">
        <f>HYPERLINK("http://www.bamf.de/SharedDocs/Anlagen/EN/Publikationen/Flyer/flyer-erstorientierung-asylsuchende.pdf?__blob=publicationFile","x")</f>
        <v>x</v>
      </c>
      <c r="IM95" s="112" t="str">
        <f>HYPERLINK("http://www.frnrw.de/index.php/inhaltliche-themen/arbeitshilfen/item/3710-erstinfos-fuer-asylsuchende","x")</f>
        <v>x</v>
      </c>
      <c r="IN95" s="112" t="str">
        <f>HYPERLINK("http://www.bamf.de/SharedDocs/Anlagen/EN/Publikationen/Broschueren/willkommen-in-deutschland.pdf;jsessionid=2D72CB108E4AC02BBB9659E7D9A589B2.1_cid368?__blob=publicationFile","x")</f>
        <v>x</v>
      </c>
      <c r="IO95" s="112"/>
      <c r="IP95" s="112"/>
      <c r="IQ95" s="112" t="str">
        <f>HYPERLINK("http://www.bamf.de/SharedDocs/Anlagen/EN/Publikationen/Flyer/Lernen-Sie-Deutsch/lernen-sie-deutsch.pdf?__blob=publicationFile","x")</f>
        <v>x</v>
      </c>
      <c r="IR95" s="112" t="str">
        <f>HYPERLINK("http://www.asyl.net/fileadmin/user_upload/redaktion/Dokumente/Arbeitshilfen/150910_Wie_l%C3%A4uft_ein_Asylverfahren_ab_%C3%9Cberblickstext_Englisch.pdf","x")</f>
        <v>x</v>
      </c>
      <c r="IS95" s="111"/>
      <c r="IT95" s="112" t="str">
        <f>HYPERLINK("http://www.bamf.de/SharedDocs/Anlagen/EN/Publikationen/Flyer/ablauf-asylverfahren.pdf;jsessionid=DBD4307960D761935FCC3E0325D459A1.1_cid294?__blob=publicationFile","x")</f>
        <v>x</v>
      </c>
      <c r="IU95" s="111"/>
      <c r="IV95" s="112" t="str">
        <f>HYPERLINK("http://www.asyl.net/fileadmin/user_upload/infoblatt_anhoerung/Infoblatt_2015_en_fin.pdf","x")</f>
        <v>x</v>
      </c>
      <c r="IW95" s="112"/>
      <c r="IX95" s="112" t="str">
        <f>HYPERLINK("http://www.berlin.de/labo/willkommen-in-berlin/service/downloads/artikel.273193.php","x")</f>
        <v>x</v>
      </c>
      <c r="IY95" s="112" t="str">
        <f>HYPERLINK("http://www.bamf.de/SharedDocs/Anlagen/EN/Publikationen/Broschueren/broschuere-eat-a4.pdf?__blob=publicationFile","x")</f>
        <v>x</v>
      </c>
      <c r="IZ95" s="111"/>
      <c r="JA95" s="112" t="str">
        <f>HYPERLINK("http://fluechtlingsrat-bw.de/informationen-fuer-fluechtlinge.html","x")</f>
        <v>x</v>
      </c>
      <c r="JB95" s="111"/>
      <c r="JC95" s="112" t="str">
        <f>HYPERLINK("http://www.bamf.de/SharedDocs/Anlagen/EN/Publikationen/Flyer/20150223_ura2_en.pdf?__blob=publicationFile","x")</f>
        <v>x</v>
      </c>
      <c r="JD95" s="111"/>
      <c r="JE95" s="112"/>
      <c r="JF95" s="112"/>
      <c r="JG95" s="112" t="str">
        <f>HYPERLINK("http://www.bamf.de/SharedDocs/Anlagen/EN/Publikationen/Flyer/Ehegattennachzug/ehegattennachzug.pdf?__blob=publicationFile","x")</f>
        <v>x</v>
      </c>
      <c r="JH95" s="112" t="str">
        <f>HYPERLINK("https://familyreunion-syria.diplo.de/webportal/index.html#start","x")</f>
        <v>x</v>
      </c>
      <c r="JI95" s="112" t="str">
        <f>HYPERLINK("http://ec.europa.eu/dgs/home-affairs/what-we-do/networks/european_migration_network/docs/emn-glossary-en-version.pdf","x")</f>
        <v>x</v>
      </c>
      <c r="JJ95" s="112"/>
      <c r="JK95" s="112" t="str">
        <f>HYPERLINK("https://www.arbeitsagentur.de/web/wcm/idc/groups/public/documents/webdatei/mdaw/mjgz/~edisp/l6019022dstbai784628.pdf?_ba.sid=L6019022DSTBAI784625","x")</f>
        <v>x</v>
      </c>
      <c r="JL95" s="112" t="str">
        <f>HYPERLINK("http://www.kub-berlin.org/formularprojekt/de/englisch-antraege-und-anlagen-uebersetzungshilfen/","x")</f>
        <v>x</v>
      </c>
      <c r="JM95" s="112" t="str">
        <f>HYPERLINK("https://www.arbeitsagentur.de/web/content/DE/Formulare/Detail/index.htm?dfContentId=L6019022DSTBAI485740","x")</f>
        <v>x</v>
      </c>
      <c r="JN95" s="112"/>
      <c r="JO95" s="112"/>
      <c r="JP95" s="112"/>
      <c r="JQ95" s="112"/>
      <c r="JR95" s="112" t="str">
        <f>HYPERLINK("http://www.ibla-germany.de/merkblaetter.php","x")</f>
        <v>x</v>
      </c>
      <c r="JS95" s="112"/>
      <c r="JT95" s="112" t="str">
        <f>HYPERLINK("http://www.b-umf.de/images/willkommen/willkommensbroschureenglisch-web.pdf","x")</f>
        <v>x</v>
      </c>
      <c r="JU95" s="111"/>
      <c r="JV95" s="111"/>
      <c r="JW95" s="112"/>
      <c r="JX95" s="112" t="str">
        <f>HYPERLINK("https://www.arbeitsagentur.de/web/wcm/idc/groups/public/documents/webdatei/mdaw/mjgz/~edisp/l6019022dstbai784636.pdf?_ba.sid=L6019022DSTBAI784633","x")</f>
        <v>x</v>
      </c>
      <c r="JY95" s="112" t="str">
        <f>HYPERLINK("http://www.deutschlandinzahlen.de/fileadmin/diz/content_data/Startseite/Printversion/Deutschland_in_Zahlen_08_2015.pdf","x")</f>
        <v>x</v>
      </c>
      <c r="JZ95" s="112"/>
      <c r="KA95" s="112"/>
      <c r="KB95" s="112" t="str">
        <f>HYPERLINK("http://www.refugeeguide.de/dl/RefugeeGuide_en_925.pdf","x")</f>
        <v>x</v>
      </c>
      <c r="KC95" s="112" t="str">
        <f>HYPERLINK("http://www.gesetze-im-internet.de/englisch_gg/basic_law_for_the_federal_republic_of_germany.pdf","x")</f>
        <v>x</v>
      </c>
      <c r="KD95" s="112" t="str">
        <f>HYPERLINK("http://www.wedel.de/fileadmin/user_upload/media/pdf/Rathaus_und_Politik/20160118_PM_Broschuere.pdf","x")</f>
        <v>x</v>
      </c>
      <c r="KE95" s="112" t="str">
        <f>HYPERLINK("http://www.frauenrechte.de/online/images/downloads/allgemein/TDF_Flyer_Women_Men.pdf","x")</f>
        <v>x</v>
      </c>
      <c r="KF95" s="112" t="str">
        <f>HYPERLINK("http://sab.landtag.sachsen.de/dokumente/landtagskurier/Grundwerte-A5-international_web_08012016.pdf","x")</f>
        <v>x</v>
      </c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  <c r="KY95" s="112"/>
      <c r="KZ95" s="112"/>
      <c r="LA95" s="112"/>
      <c r="LB95" s="112"/>
      <c r="LC95" s="111"/>
      <c r="LD95" s="112"/>
      <c r="LE95" s="112"/>
      <c r="LF95" s="112"/>
      <c r="LG95" s="112"/>
      <c r="LH95" s="112"/>
      <c r="LI95" s="112"/>
      <c r="LJ95" s="112"/>
      <c r="LK95" s="112"/>
      <c r="LL95" s="112"/>
      <c r="LM95" s="112"/>
      <c r="LN95" s="112"/>
      <c r="LO95" s="112"/>
      <c r="LP95" s="112"/>
      <c r="LQ95" s="112"/>
      <c r="LR95" s="112"/>
      <c r="LS95" s="112"/>
      <c r="LT95" s="112"/>
      <c r="LU95" s="112"/>
      <c r="LV95" s="112"/>
      <c r="LW95" s="112"/>
      <c r="LX95" s="112"/>
      <c r="LY95" s="112"/>
      <c r="LZ95" s="112"/>
      <c r="MA95" s="112"/>
      <c r="MB95" s="112"/>
      <c r="MC95" s="111"/>
      <c r="MD95" s="112" t="str">
        <f>HYPERLINK("http://www.rki.de/DE/Content/Infekt/IfSG/Belehrungsbogen/belehrungsbogen_lebensmittel_englisch.pdf?__blob=publicationFile","x")</f>
        <v>x</v>
      </c>
      <c r="ME95" s="112"/>
      <c r="MF95" s="112" t="str">
        <f>HYPERLINK("http://www.gdv.de/wp-content/uploads/2016/01/Information_Brandschutz_Fluechtlingsheim_-Sicherheit_mehrsprachig.pdf","x")</f>
        <v>x</v>
      </c>
      <c r="MG95" s="112" t="str">
        <f>HYPERLINK("http://www.gdv.de/wp-content/uploads/2016/01/Information_Verhalten-im-Brandfall_mehrsprachig.pdf","x")</f>
        <v>x</v>
      </c>
      <c r="MH95" s="112" t="str">
        <f>HYPERLINK("http://www.aha-region.de/fileadmin/Download/pdf/aha_Plakat_Muelltrennung_en.pdf","x")</f>
        <v>x</v>
      </c>
      <c r="MI95" s="112" t="str">
        <f>HYPERLINK("http://www.kindersicherheit.de/pdf/2012_poster_achtunggiftig_8sprachig.pdf","x")</f>
        <v>x</v>
      </c>
    </row>
    <row r="96" spans="1:347" x14ac:dyDescent="0.25">
      <c r="A96" s="102" t="s">
        <v>410</v>
      </c>
      <c r="B96" s="127" t="s">
        <v>31</v>
      </c>
      <c r="C96" s="102"/>
      <c r="D96" s="102"/>
      <c r="E96" s="102"/>
      <c r="F96" s="102"/>
      <c r="G96" s="102"/>
      <c r="H96" s="102"/>
      <c r="I96" s="102"/>
      <c r="J96" s="102"/>
      <c r="K96" s="103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2"/>
      <c r="AP96" s="112"/>
      <c r="AQ96" s="112"/>
      <c r="AR96" s="112"/>
      <c r="AS96" s="112"/>
      <c r="AT96" s="112"/>
      <c r="AU96" s="112"/>
      <c r="AV96" s="113"/>
      <c r="AW96" s="114" t="str">
        <f t="shared" si="22"/>
        <v>x</v>
      </c>
      <c r="AX96" s="114" t="str">
        <f t="shared" si="23"/>
        <v>x</v>
      </c>
      <c r="AY96" s="111"/>
      <c r="AZ96" s="111"/>
      <c r="BA96" s="112" t="str">
        <f t="shared" si="24"/>
        <v>x</v>
      </c>
      <c r="BB96" s="112" t="str">
        <f t="shared" si="25"/>
        <v>x</v>
      </c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2" t="str">
        <f t="shared" si="26"/>
        <v>x</v>
      </c>
      <c r="BT96" s="112"/>
      <c r="BU96" s="111"/>
      <c r="BV96" s="112" t="str">
        <f t="shared" si="27"/>
        <v>x</v>
      </c>
      <c r="BW96" s="112" t="str">
        <f>HYPERLINK("http://www.welcomegrooves.de/wp-content/uploads/2015/10/welcomegrooves_DE-ITALIENISCH.pdf","x")</f>
        <v>x</v>
      </c>
      <c r="BX96" s="112"/>
      <c r="BY96" s="112"/>
      <c r="BZ96" s="112"/>
      <c r="CA96" s="112" t="str">
        <f t="shared" si="28"/>
        <v>x</v>
      </c>
      <c r="CB96" s="112" t="str">
        <f t="shared" si="29"/>
        <v>x</v>
      </c>
      <c r="CC96" s="112" t="str">
        <f t="shared" si="30"/>
        <v>x</v>
      </c>
      <c r="CD96" s="112"/>
      <c r="CE96" s="112"/>
      <c r="CF96" s="111"/>
      <c r="CG96" s="111"/>
      <c r="CH96" s="111"/>
      <c r="CI96" s="111"/>
      <c r="CJ96" s="112" t="str">
        <f>HYPERLINK("https://www.hilfetelefon.de/fileadmin/hilfetelefon_de/Materialien/weitere_werbemittel/Klappflyer_Vorder-_und_Rueckseite_opt2.pdf","x")</f>
        <v>x</v>
      </c>
      <c r="CK96" s="112" t="str">
        <f t="shared" si="31"/>
        <v>x</v>
      </c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5"/>
      <c r="DD96" s="112"/>
      <c r="DE96" s="112"/>
      <c r="DF96" s="112" t="str">
        <f t="shared" si="32"/>
        <v>x</v>
      </c>
      <c r="DG96" s="115" t="str">
        <f t="shared" si="33"/>
        <v>x</v>
      </c>
      <c r="DH96" s="112" t="str">
        <f t="shared" si="34"/>
        <v>x</v>
      </c>
      <c r="DI96" s="112" t="str">
        <f t="shared" si="35"/>
        <v>x</v>
      </c>
      <c r="DJ96" s="111"/>
      <c r="DK96" s="111"/>
      <c r="DL96" s="111"/>
      <c r="DM96" s="111"/>
      <c r="DN96" s="111"/>
      <c r="DO96" s="111"/>
      <c r="DP96" s="111"/>
      <c r="DQ96" s="111"/>
      <c r="DR96" s="111"/>
      <c r="DS96" s="112" t="str">
        <f>HYPERLINK("http://bildung.koeln.de/materialbibliothek/download.php?idx=6e6336cbd5e920e5928ff24d1b4dc652","x")</f>
        <v>x</v>
      </c>
      <c r="DT96" s="112" t="str">
        <f>HYPERLINK("http://bildung.koeln.de/materialbibliothek/download.php?idx=84ab4cde32ae8b264a6f2c238f88b49e","x")</f>
        <v>x</v>
      </c>
      <c r="DU96" s="112"/>
      <c r="DV96" s="112" t="str">
        <f>HYPERLINK("https://www.bmbf.de/pub/Elternbroschuere_Kausa_italienisch.pdf","x")</f>
        <v>x</v>
      </c>
      <c r="DW96" s="111"/>
      <c r="DX96" s="111"/>
      <c r="DY96" s="111"/>
      <c r="DZ96" s="111"/>
      <c r="EA96" s="112" t="str">
        <f>HYPERLINK("http://www.bamf.de/SharedDocs/Anlagen/DE/Publikationen/Flyer/AnerkennungBerufsabschluss/anerkennung-berufsabschluss_ausland_it.pdf?__blob=publicationFile","x")</f>
        <v>x</v>
      </c>
      <c r="EB96" s="112"/>
      <c r="EC96" s="112"/>
      <c r="ED96" s="111"/>
      <c r="EE96" s="111"/>
      <c r="EF96" s="111"/>
      <c r="EG96" s="111"/>
      <c r="EH96" s="111"/>
      <c r="EI96" s="111"/>
      <c r="EJ96" s="112"/>
      <c r="EK96" s="112"/>
      <c r="EL96" s="111"/>
      <c r="EM96" s="112" t="str">
        <f>HYPERLINK("http://www.kvs-sachsen.de/fileadmin/img/Mitglieder/Asylbewerber/Allg-Informationen/Anlage_1_Italienisch_LEK.pdf","x")</f>
        <v>x</v>
      </c>
      <c r="EN96" s="111"/>
      <c r="EO96" s="111"/>
      <c r="EP96" s="117" t="str">
        <f t="shared" si="41"/>
        <v>x</v>
      </c>
      <c r="EQ96" s="117" t="str">
        <f>HYPERLINK("http://www.armut-gesundheit.de/fileadmin/redakteur/dokumente/Anamnesebogen%20-%20italienischnew.pdf","x")</f>
        <v>x</v>
      </c>
      <c r="ER96" s="112" t="str">
        <f>HYPERLINK("http://www.kvs-sachsen.de/fileadmin/img/Mitglieder/Asylbewerber/Allg-Informationen/Anlagen_2-1_2-2_Italienisch_LEK.pdf","x")</f>
        <v>x</v>
      </c>
      <c r="ES96" s="111"/>
      <c r="ET96" s="111"/>
      <c r="EU96" s="111"/>
      <c r="EV96" s="111"/>
      <c r="EW96" s="112" t="str">
        <f t="shared" si="36"/>
        <v>x</v>
      </c>
      <c r="EX96" s="111"/>
      <c r="EY96" s="111"/>
      <c r="EZ96" s="111"/>
      <c r="FA96" s="111"/>
      <c r="FB96" s="111"/>
      <c r="FC96" s="111"/>
      <c r="FD96" s="112" t="str">
        <f t="shared" si="37"/>
        <v>x</v>
      </c>
      <c r="FE96" s="112" t="str">
        <f>HYPERLINK("http://sghanstedt.elbnetz.com/ueber-uns/","x")</f>
        <v>x</v>
      </c>
      <c r="FF96" s="111"/>
      <c r="FG96" s="111"/>
      <c r="FH96" s="111"/>
      <c r="FI96" s="111"/>
      <c r="FJ96" s="111"/>
      <c r="FK96" s="111"/>
      <c r="FL96" s="112" t="str">
        <f>HYPERLINK("http://www.ethno-medizinisches-zentrum.de/images/PDF-Files/impfwegweiser_italiensich_2013_online.pdf","x")</f>
        <v>x</v>
      </c>
      <c r="FM96" s="112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2" t="str">
        <f>HYPERLINK("http://www.ethno-medizinisches-zentrum.de/images/PDF-Files/lf_diabete_italienisch.pdf","x")</f>
        <v>x</v>
      </c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2" t="str">
        <f t="shared" si="38"/>
        <v>x</v>
      </c>
      <c r="HD96" s="111"/>
      <c r="HE96" s="111"/>
      <c r="HF96" s="111"/>
      <c r="HG96" s="111"/>
      <c r="HH96" s="111"/>
      <c r="HI96" s="111"/>
      <c r="HJ96" s="111"/>
      <c r="HK96" s="112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2" t="str">
        <f>HYPERLINK("http://www.bkk-psychisch-gesund.de/fileadmin/user_upload/Dokumente/Versicherte/Broschueren/Wegweiser_Psychotherapie_italienisch.pdf","x")</f>
        <v>x</v>
      </c>
      <c r="HY96" s="112" t="str">
        <f t="shared" si="39"/>
        <v>x</v>
      </c>
      <c r="HZ96" s="112" t="str">
        <f t="shared" si="40"/>
        <v>x</v>
      </c>
      <c r="IA96" s="111"/>
      <c r="IB96" s="111"/>
      <c r="IC96" s="111"/>
      <c r="ID96" s="111"/>
      <c r="IE96" s="111"/>
      <c r="IF96" s="111"/>
      <c r="IG96" s="111"/>
      <c r="IH96" s="111"/>
      <c r="II96" s="112" t="str">
        <f>HYPERLINK("http://www.caritas.de/hilfeundberatung/onlineberatung/suchtberatung/haeufiggestelltefragensucht/haeufiggestelltefragen-sucht","x")</f>
        <v>x</v>
      </c>
      <c r="IJ96" s="111"/>
      <c r="IK96" s="112" t="str">
        <f>HYPERLINK("http://www.bamf.de/SharedDocs/Anlagen/DE/Publikationen/Flyer/Lassen-Sie-Sich-Beraten/lassen-sie-sich-beraten_it.pdf?__blob=publicationFile","x")</f>
        <v>x</v>
      </c>
      <c r="IL96" s="111"/>
      <c r="IM96" s="111"/>
      <c r="IN96" s="112" t="str">
        <f>HYPERLINK("https://www.bamf.de/SharedDocs/Anlagen/DE/Publikationen/Broschueren/willkommen-in-deutschland_it.pdf?__blob=publicationFile","x")</f>
        <v>x</v>
      </c>
      <c r="IO96" s="112"/>
      <c r="IP96" s="111"/>
      <c r="IQ96" s="112" t="str">
        <f>HYPERLINK("http://www.bamf.de/SharedDocs/Anlagen/DE/Publikationen/Flyer/Lernen-Sie-Deutsch/lernen-sie-deutsch_it.pdf?__blob=publicationFile","x")</f>
        <v>x</v>
      </c>
      <c r="IR96" s="112"/>
      <c r="IS96" s="111"/>
      <c r="IT96" s="111"/>
      <c r="IU96" s="111"/>
      <c r="IV96" s="112"/>
      <c r="IW96" s="112"/>
      <c r="IX96" s="112" t="str">
        <f>HYPERLINK("http://www.berlin.de/labo/willkommen-in-berlin/service/downloads/artikel.273193.php","x")</f>
        <v>x</v>
      </c>
      <c r="IY96" s="112"/>
      <c r="IZ96" s="111"/>
      <c r="JA96" s="111"/>
      <c r="JB96" s="111"/>
      <c r="JC96" s="112"/>
      <c r="JD96" s="111"/>
      <c r="JE96" s="112"/>
      <c r="JF96" s="112"/>
      <c r="JG96" s="112"/>
      <c r="JH96" s="112"/>
      <c r="JI96" s="111"/>
      <c r="JJ96" s="112"/>
      <c r="JK96" s="112"/>
      <c r="JL96" s="112" t="str">
        <f>HYPERLINK("http://www.kub-berlin.org/formularprojekt/de/italienisch-antraege-und-anlagen-uebersetzungshilfen/","x")</f>
        <v>x</v>
      </c>
      <c r="JM96" s="112" t="str">
        <f>HYPERLINK("https://www.arbeitsagentur.de/web/content/DE/Formulare/Detail/index.htm?dfContentId=L6019022DSTBAI485740","x")</f>
        <v>x</v>
      </c>
      <c r="JN96" s="112"/>
      <c r="JO96" s="112"/>
      <c r="JP96" s="112"/>
      <c r="JQ96" s="112"/>
      <c r="JR96" s="112" t="str">
        <f>HYPERLINK("http://www.ibla-germany.de/merkblaetter.php","x")</f>
        <v>x</v>
      </c>
      <c r="JS96" s="112"/>
      <c r="JT96" s="111"/>
      <c r="JU96" s="111"/>
      <c r="JV96" s="111"/>
      <c r="JW96" s="112"/>
      <c r="JX96" s="112"/>
      <c r="JY96" s="111"/>
      <c r="JZ96" s="111"/>
      <c r="KA96" s="111"/>
      <c r="KB96" s="111"/>
      <c r="KC96" s="111"/>
      <c r="KD96" s="111"/>
      <c r="KE96" s="111"/>
      <c r="KF96" s="111"/>
      <c r="KG96" s="111"/>
      <c r="KH96" s="111"/>
      <c r="KI96" s="111"/>
      <c r="KJ96" s="111"/>
      <c r="KK96" s="111"/>
      <c r="KL96" s="111"/>
      <c r="KM96" s="111"/>
      <c r="KN96" s="111"/>
      <c r="KO96" s="111"/>
      <c r="KP96" s="111"/>
      <c r="KQ96" s="111"/>
      <c r="KR96" s="111"/>
      <c r="KS96" s="111"/>
      <c r="KT96" s="111"/>
      <c r="KU96" s="111"/>
      <c r="KV96" s="111"/>
      <c r="KW96" s="111"/>
      <c r="KX96" s="111"/>
      <c r="KY96" s="111"/>
      <c r="KZ96" s="111"/>
      <c r="LA96" s="111"/>
      <c r="LB96" s="111"/>
      <c r="LC96" s="111"/>
      <c r="LD96" s="111"/>
      <c r="LE96" s="111"/>
      <c r="LF96" s="111"/>
      <c r="LG96" s="111"/>
      <c r="LH96" s="111"/>
      <c r="LI96" s="111"/>
      <c r="LJ96" s="111"/>
      <c r="LK96" s="111"/>
      <c r="LL96" s="111"/>
      <c r="LM96" s="111"/>
      <c r="LN96" s="111"/>
      <c r="LO96" s="111"/>
      <c r="LP96" s="111"/>
      <c r="LQ96" s="111"/>
      <c r="LR96" s="111"/>
      <c r="LS96" s="111"/>
      <c r="LT96" s="111"/>
      <c r="LU96" s="111"/>
      <c r="LV96" s="111"/>
      <c r="LW96" s="111"/>
      <c r="LX96" s="111"/>
      <c r="LY96" s="111"/>
      <c r="LZ96" s="111"/>
      <c r="MA96" s="111"/>
      <c r="MB96" s="111"/>
      <c r="MC96" s="111"/>
      <c r="MD96" s="111"/>
      <c r="ME96" s="111"/>
      <c r="MF96" s="111"/>
      <c r="MG96" s="111"/>
      <c r="MH96" s="111"/>
      <c r="MI96" s="111"/>
    </row>
    <row r="97" spans="1:347" x14ac:dyDescent="0.25">
      <c r="A97" s="102" t="s">
        <v>144</v>
      </c>
      <c r="B97" s="127" t="s">
        <v>143</v>
      </c>
      <c r="C97" s="102"/>
      <c r="D97" s="102"/>
      <c r="E97" s="102"/>
      <c r="F97" s="102"/>
      <c r="G97" s="102"/>
      <c r="H97" s="102"/>
      <c r="I97" s="102"/>
      <c r="J97" s="102"/>
      <c r="K97" s="103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3"/>
      <c r="AW97" s="114" t="str">
        <f t="shared" si="22"/>
        <v>x</v>
      </c>
      <c r="AX97" s="114" t="str">
        <f t="shared" si="23"/>
        <v>x</v>
      </c>
      <c r="AY97" s="111"/>
      <c r="AZ97" s="111"/>
      <c r="BA97" s="112" t="str">
        <f t="shared" si="24"/>
        <v>x</v>
      </c>
      <c r="BB97" s="112" t="str">
        <f t="shared" si="25"/>
        <v>x</v>
      </c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2" t="str">
        <f t="shared" si="26"/>
        <v>x</v>
      </c>
      <c r="BT97" s="112"/>
      <c r="BU97" s="111"/>
      <c r="BV97" s="112" t="str">
        <f t="shared" si="27"/>
        <v>x</v>
      </c>
      <c r="BW97" s="112"/>
      <c r="BX97" s="112"/>
      <c r="BY97" s="112"/>
      <c r="BZ97" s="112"/>
      <c r="CA97" s="112" t="str">
        <f t="shared" si="28"/>
        <v>x</v>
      </c>
      <c r="CB97" s="112" t="str">
        <f t="shared" si="29"/>
        <v>x</v>
      </c>
      <c r="CC97" s="112" t="str">
        <f t="shared" si="30"/>
        <v>x</v>
      </c>
      <c r="CD97" s="112"/>
      <c r="CE97" s="112"/>
      <c r="CF97" s="111"/>
      <c r="CG97" s="111"/>
      <c r="CH97" s="111"/>
      <c r="CI97" s="111"/>
      <c r="CJ97" s="111"/>
      <c r="CK97" s="112" t="str">
        <f t="shared" si="31"/>
        <v>x</v>
      </c>
      <c r="CL97" s="112"/>
      <c r="CM97" s="112"/>
      <c r="CN97" s="112"/>
      <c r="CO97" s="112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2"/>
      <c r="DA97" s="112"/>
      <c r="DB97" s="112"/>
      <c r="DC97" s="115"/>
      <c r="DD97" s="112"/>
      <c r="DE97" s="112"/>
      <c r="DF97" s="112" t="str">
        <f t="shared" si="32"/>
        <v>x</v>
      </c>
      <c r="DG97" s="115" t="str">
        <f t="shared" si="33"/>
        <v>x</v>
      </c>
      <c r="DH97" s="112" t="str">
        <f t="shared" si="34"/>
        <v>x</v>
      </c>
      <c r="DI97" s="112" t="str">
        <f t="shared" si="35"/>
        <v>x</v>
      </c>
      <c r="DJ97" s="112" t="str">
        <f>HYPERLINK("http://www.bibliomedia.ch/de/angebote/dokumente/Glossar_japanisch.pdf","x")</f>
        <v>x</v>
      </c>
      <c r="DK97" s="112"/>
      <c r="DL97" s="112"/>
      <c r="DM97" s="112"/>
      <c r="DN97" s="112"/>
      <c r="DO97" s="112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7" t="str">
        <f t="shared" si="41"/>
        <v>x</v>
      </c>
      <c r="EQ97" s="117" t="str">
        <f>HYPERLINK("http://www.medknowledge.de/migration/tipdoc/anamnesebogen/tipdoc_Anamnese_jap.pdf","x")</f>
        <v>x</v>
      </c>
      <c r="ER97" s="111"/>
      <c r="ES97" s="111"/>
      <c r="ET97" s="111"/>
      <c r="EU97" s="111"/>
      <c r="EV97" s="111"/>
      <c r="EW97" s="112" t="str">
        <f t="shared" si="36"/>
        <v>x</v>
      </c>
      <c r="EX97" s="111"/>
      <c r="EY97" s="111"/>
      <c r="EZ97" s="111"/>
      <c r="FA97" s="111"/>
      <c r="FB97" s="111"/>
      <c r="FC97" s="111"/>
      <c r="FD97" s="112" t="str">
        <f t="shared" si="37"/>
        <v>x</v>
      </c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2" t="str">
        <f t="shared" si="38"/>
        <v>x</v>
      </c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2" t="str">
        <f t="shared" si="39"/>
        <v>x</v>
      </c>
      <c r="HZ97" s="112" t="str">
        <f t="shared" si="40"/>
        <v>x</v>
      </c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2" t="str">
        <f>HYPERLINK("http://www.bamf.de/SharedDocs/Anlagen/DE/Publikationen/Broschueren/broschuere-eat-a4-ja-japanisch.pdf?__blob=publicationFile","x")</f>
        <v>x</v>
      </c>
      <c r="IZ97" s="111"/>
      <c r="JA97" s="111"/>
      <c r="JB97" s="111"/>
      <c r="JC97" s="111"/>
      <c r="JD97" s="111"/>
      <c r="JE97" s="111"/>
      <c r="JF97" s="111"/>
      <c r="JG97" s="111"/>
      <c r="JH97" s="111"/>
      <c r="JI97" s="111"/>
      <c r="JJ97" s="111"/>
      <c r="JK97" s="111"/>
      <c r="JL97" s="111"/>
      <c r="JM97" s="111"/>
      <c r="JN97" s="111"/>
      <c r="JO97" s="111"/>
      <c r="JP97" s="111"/>
      <c r="JQ97" s="111"/>
      <c r="JR97" s="111"/>
      <c r="JS97" s="111"/>
      <c r="JT97" s="111"/>
      <c r="JU97" s="111"/>
      <c r="JV97" s="111"/>
      <c r="JW97" s="111"/>
      <c r="JX97" s="111"/>
      <c r="JY97" s="111"/>
      <c r="JZ97" s="111"/>
      <c r="KA97" s="111"/>
      <c r="KB97" s="111"/>
      <c r="KC97" s="111"/>
      <c r="KD97" s="111"/>
      <c r="KE97" s="111"/>
      <c r="KF97" s="111"/>
      <c r="KG97" s="111"/>
      <c r="KH97" s="111"/>
      <c r="KI97" s="111"/>
      <c r="KJ97" s="111"/>
      <c r="KK97" s="111"/>
      <c r="KL97" s="111"/>
      <c r="KM97" s="111"/>
      <c r="KN97" s="111"/>
      <c r="KO97" s="111"/>
      <c r="KP97" s="111"/>
      <c r="KQ97" s="111"/>
      <c r="KR97" s="111"/>
      <c r="KS97" s="111"/>
      <c r="KT97" s="111"/>
      <c r="KU97" s="111"/>
      <c r="KV97" s="111"/>
      <c r="KW97" s="111"/>
      <c r="KX97" s="111"/>
      <c r="KY97" s="111"/>
      <c r="KZ97" s="111"/>
      <c r="LA97" s="111"/>
      <c r="LB97" s="111"/>
      <c r="LC97" s="111"/>
      <c r="LD97" s="111"/>
      <c r="LE97" s="111"/>
      <c r="LF97" s="111"/>
      <c r="LG97" s="111"/>
      <c r="LH97" s="111"/>
      <c r="LI97" s="111"/>
      <c r="LJ97" s="111"/>
      <c r="LK97" s="111"/>
      <c r="LL97" s="111"/>
      <c r="LM97" s="111"/>
      <c r="LN97" s="111"/>
      <c r="LO97" s="111"/>
      <c r="LP97" s="111"/>
      <c r="LQ97" s="111"/>
      <c r="LR97" s="111"/>
      <c r="LS97" s="111"/>
      <c r="LT97" s="111"/>
      <c r="LU97" s="111"/>
      <c r="LV97" s="111"/>
      <c r="LW97" s="111"/>
      <c r="LX97" s="111"/>
      <c r="LY97" s="111"/>
      <c r="LZ97" s="111"/>
      <c r="MA97" s="111"/>
      <c r="MB97" s="111"/>
      <c r="MC97" s="111"/>
      <c r="MD97" s="111"/>
      <c r="ME97" s="111"/>
      <c r="MF97" s="111"/>
      <c r="MG97" s="111"/>
      <c r="MH97" s="111"/>
      <c r="MI97" s="111"/>
    </row>
    <row r="98" spans="1:347" x14ac:dyDescent="0.25">
      <c r="A98" s="102" t="s">
        <v>55</v>
      </c>
      <c r="B98" s="127" t="s">
        <v>1</v>
      </c>
      <c r="C98" s="102"/>
      <c r="D98" s="102"/>
      <c r="E98" s="102"/>
      <c r="F98" s="102"/>
      <c r="G98" s="102"/>
      <c r="H98" s="102"/>
      <c r="I98" s="102"/>
      <c r="J98" s="102"/>
      <c r="K98" s="103"/>
      <c r="L98" s="112" t="str">
        <f>HYPERLINK("http://sghanstedt.elbnetz.com/ueber-uns/","x")</f>
        <v>x</v>
      </c>
      <c r="M98" s="111"/>
      <c r="N98" s="112" t="str">
        <f>HYPERLINK("http://www.ag-fluechtlingshilfe-wetterau.de/uploads/infos/170.pdf","x")</f>
        <v>x</v>
      </c>
      <c r="O98" s="112" t="str">
        <f>HYPERLINK("http://www.ag-fluechtlingshilfe-wetterau.de/uploads/infos/220.pdf","x")</f>
        <v>x</v>
      </c>
      <c r="P98" s="112" t="str">
        <f>HYPERLINK("http://www.awb-ahrweiler.de/admin/data/ddownload/Abfall%20Sonderhinweise-Arabisch%202015.pdf","x")</f>
        <v>x</v>
      </c>
      <c r="Q98" s="112" t="str">
        <f>HYPERLINK("http://www.ag-fluechtlingshilfe-wetterau.de/uploads/infos/221.pdf","x")</f>
        <v>x</v>
      </c>
      <c r="R98" s="112" t="str">
        <f>HYPERLINK("http://www.konto.org/download/merkblatt-basiskonto-asylbewerber-arabisch.pdf","x")</f>
        <v>x</v>
      </c>
      <c r="S98" s="112"/>
      <c r="T98" s="112" t="str">
        <f>HYPERLINK("https://antworten.sparkasse.de/wp-content/uploads/2015/10/Arabisch.pdf","x")</f>
        <v>x</v>
      </c>
      <c r="U98" s="112" t="str">
        <f>HYPERLINK("http://www.ag-fluechtlingshilfe-wetterau.de/uploads/infos/191.pdf","x")</f>
        <v>x</v>
      </c>
      <c r="V98" s="112"/>
      <c r="W98" s="112"/>
      <c r="X9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8" s="112"/>
      <c r="AA98" s="112"/>
      <c r="AB98" s="112"/>
      <c r="AC98" s="112"/>
      <c r="AD98" s="112" t="str">
        <f>HYPERLINK("http://www.rundfunkbeitrag.de/e175/e1629/Informationsflyer_Buergerinnen_und_Buerger_arabisch.pdf","x")</f>
        <v>x</v>
      </c>
      <c r="AE98" s="112"/>
      <c r="AF98" s="112" t="str">
        <f>HYPERLINK("http://www.kub-berlin.org/formularprojekt/de/arabisch-antraege-und-anlagen/","x")</f>
        <v>x</v>
      </c>
      <c r="AG98" s="112" t="str">
        <f>HYPERLINK("http://asyl-in-moenchengladbach.de/wp-content/uploads/2015/11/100711-Flyer_arab.pdf","x")</f>
        <v>x</v>
      </c>
      <c r="AH98" s="111"/>
      <c r="AI98" s="112" t="str">
        <f>HYPERLINK("https://www.adac.de/sp/stiftung/_mmm/pdf/SGE_FOL_Verkehrssicherheit_Fl%C3%BCchtlinge_A3_01_16_Internet_250277.pdf","x")</f>
        <v>x</v>
      </c>
      <c r="AJ98" s="112" t="str">
        <f>HYPERLINK("http://www.stadt-koeln.de/mediaasset/content/العربية_kvb_kinderleicht_und_spielend_einfach__arabisch_.pdf","x")</f>
        <v>x</v>
      </c>
      <c r="AK98" s="112" t="str">
        <f>HYPERLINK("https://www.vrsinfo.de/fileadmin/Dateien/downloadcenter/Folder_MobilPassTicket_Refugees01012016.pdf","x")</f>
        <v>x</v>
      </c>
      <c r="AL98" s="112" t="str">
        <f>HYPERLINK("https://www.vrsinfo.de/fileadmin/Dateien/downloadcenter/Willkommen_im_VRS2016_Druck.pdf","x")</f>
        <v>x</v>
      </c>
      <c r="AM98" s="112"/>
      <c r="AN98" s="112" t="str">
        <f>HYPERLINK("https://www.deutschebahn.com/file/de/2191748/eYdgZpqGpp5sMJ2KMKtg2r8aE4Q/10123812/data/infos_fuer_fluechtlinge.pdf","x")</f>
        <v>x</v>
      </c>
      <c r="AO98" s="112"/>
      <c r="AP98" s="112"/>
      <c r="AQ98" s="112"/>
      <c r="AR98" s="112"/>
      <c r="AS98" s="112"/>
      <c r="AT98" s="112" t="str">
        <f>HYPERLINK("http://www.koelnerkarneval.de/fileadmin/content/images/news/Festkomitee_Flyer_DE_AR.pdf","x")</f>
        <v>x</v>
      </c>
      <c r="AU98" s="112"/>
      <c r="AV98" s="114" t="str">
        <f>HYPERLINK("http://www.studentenwerke.de/de/content/illustriertes-wohnheimw%C3%B6rterbuch-1","x")</f>
        <v>x</v>
      </c>
      <c r="AW98" s="114" t="str">
        <f t="shared" si="22"/>
        <v>x</v>
      </c>
      <c r="AX98" s="114" t="str">
        <f t="shared" si="23"/>
        <v>x</v>
      </c>
      <c r="AY98" s="112" t="str">
        <f>HYPERLINK("http://fi-lohmar-siegburg.de/data/documents/Findefix_arabisch-Bildwoerterbuch.pdf","x")</f>
        <v>x</v>
      </c>
      <c r="AZ98" s="111"/>
      <c r="BA98" s="112" t="str">
        <f t="shared" si="24"/>
        <v>x</v>
      </c>
      <c r="BB98" s="112" t="str">
        <f t="shared" si="25"/>
        <v>x</v>
      </c>
      <c r="BC98" s="112"/>
      <c r="BD98" s="112" t="str">
        <f>HYPERLINK("http://www.rehavista.de/?at=Mat_Boardmaker&amp;d=1&amp;dtype=mat&amp;id=1014","x")</f>
        <v>x</v>
      </c>
      <c r="BE98" s="112" t="str">
        <f>HYPERLINK("http://fi-lohmar-siegburg.de/data/documents/communicationboard-arabic-english.pdf","x")</f>
        <v>x</v>
      </c>
      <c r="BF98" s="112" t="str">
        <f>HYPERLINK("http://fi-lohmar-siegburg.de/data/documents/communicationboard-arabic-french.pdf","x")</f>
        <v>x</v>
      </c>
      <c r="BG98" s="111"/>
      <c r="BH98" s="112" t="str">
        <f>HYPERLINK("http://www.refugeephrasebook.de/pdf/germany150920.pdf","x")</f>
        <v>x</v>
      </c>
      <c r="BI98" s="112" t="str">
        <f>HYPERLINK("https://www.advanced-online.eu/downloads/RefugeePhrasebookCards_German-Arabic.pdf","x")</f>
        <v>x</v>
      </c>
      <c r="BJ98" s="112" t="str">
        <f>HYPERLINK("http://www.klett-sprachen.de/download/8638/W100255_Refugees_Welcome_Wortschatz.pdf","x")</f>
        <v>x</v>
      </c>
      <c r="BK98" s="112" t="str">
        <f>HYPERLINK("http://www.agf-trier.de/sites/default/files/bersetzungshilfe%20allgemein%20Arab..pdf","x")</f>
        <v>x</v>
      </c>
      <c r="BL98" s="112" t="str">
        <f>HYPERLINK("http://www.bundessprachenamt.de/deutsch/wir_ueber_uns/nachrichten/2015/20151103/Verständigungshilfe_Syrisch-Arabisch_07_12_2015.pdf","x")</f>
        <v>x</v>
      </c>
      <c r="BM98" s="112" t="str">
        <f>HYPERLINK("http://www.frnrw.de/images/Aus_den_Initiativen/Ehrenamtler/2015/Dictionary_x10_print-2.pdf","x")</f>
        <v>x</v>
      </c>
      <c r="BN98" s="112" t="str">
        <f>HYPERLINK("http://www.medbox.org/toolboxes/kleines-worterbuch-little-dictionary-deutsch-englisch-arabisch/preview","x")</f>
        <v>x</v>
      </c>
      <c r="BO98" s="111"/>
      <c r="BP98" s="111"/>
      <c r="BQ98" s="112" t="str">
        <f>HYPERLINK("https://www.friedensdorf.de/documents/Woerterbuch_Arabisch.pdf","x")</f>
        <v>x</v>
      </c>
      <c r="BR98" s="111"/>
      <c r="BS98" s="112" t="str">
        <f t="shared" si="26"/>
        <v>x</v>
      </c>
      <c r="BT98" s="112" t="str">
        <f>HYPERLINK("http://de.langenscheidt.com/doc/arabisch-deutsch-sprachfuehrer.pdf","x")</f>
        <v>x</v>
      </c>
      <c r="BU98" s="111"/>
      <c r="BV98" s="112" t="str">
        <f t="shared" si="27"/>
        <v>x</v>
      </c>
      <c r="BW98" s="112" t="str">
        <f>HYPERLINK("http://www.welcomegrooves.de/wp-content/uploads/2015/10/welcomegrooves_DE-ARABISCH.pdf","x")</f>
        <v>x</v>
      </c>
      <c r="BX98" s="112"/>
      <c r="BY98" s="112"/>
      <c r="BZ98" s="112" t="str">
        <f>HYPERLINK("http://fluechtlingshilfe-nettetal.de/ausbildung/video-sprachkurse-deutsch-fuer-fluechtlinge/video-sprachkurs-syrisch-deutsch/","x")</f>
        <v>x</v>
      </c>
      <c r="CA98" s="112" t="str">
        <f t="shared" si="28"/>
        <v>x</v>
      </c>
      <c r="CB98" s="112" t="str">
        <f t="shared" si="29"/>
        <v>x</v>
      </c>
      <c r="CC98" s="112" t="str">
        <f t="shared" si="30"/>
        <v>x</v>
      </c>
      <c r="CD98" s="112"/>
      <c r="CE98" s="112"/>
      <c r="CF98" s="112" t="str">
        <f>HYPERLINK("http://www.agf-trier.de/sites/default/files/bersetzungshilfe%20%20f%C3%BCr%20Frauen%20Arab..pdf","x")</f>
        <v>x</v>
      </c>
      <c r="CG98" s="112" t="str">
        <f>HYPERLINK("http://www.braunschweig.de/leben/frauen/hilfe/Ohne-Gewalt-leben.pdf","x")</f>
        <v>x</v>
      </c>
      <c r="CH98" s="112" t="str">
        <f>HYPERLINK("http://mifkjf.rlp.de/fileadmin/mifkjf/Frauen/Gewalt_gegen_Frauen/Downloads/Broschueren_Flyer/Flyer_Gewalt_arabisch_fuer_ANSICHT.pdf","x")</f>
        <v>x</v>
      </c>
      <c r="CI98" s="112"/>
      <c r="CJ98" s="112" t="str">
        <f t="shared" ref="CJ98:CJ104" si="42">HYPERLINK("https://www.hilfetelefon.de/fileadmin/hilfetelefon_de/Materialien/weitere_werbemittel/Klappflyer_Vorder-_und_Rueckseite_opt2.pdf","x")</f>
        <v>x</v>
      </c>
      <c r="CK98" s="112" t="str">
        <f t="shared" si="31"/>
        <v>x</v>
      </c>
      <c r="CL98" s="112" t="str">
        <f>HYPERLINK("http://www.frauenberatungsstelle.de/pdf/Migrantinnen-beraten-Migrantinnen.pdf","x")</f>
        <v>x</v>
      </c>
      <c r="CM98" s="112"/>
      <c r="CN98" s="112"/>
      <c r="CO98" s="112"/>
      <c r="CP98" s="112" t="str">
        <f>HYPERLINK("http://www.schwanger-und-viele-fragen.de/ar/","x")</f>
        <v>x</v>
      </c>
      <c r="CQ98" s="112"/>
      <c r="CR9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8" s="112"/>
      <c r="CT98" s="112"/>
      <c r="CU98" s="112" t="str">
        <f>HYPERLINK("http://www.profamilia.de/fileadmin/publikationen/Erwachsene/mehrsprachig/verhuetung_arabisch.pdf","x")</f>
        <v>x</v>
      </c>
      <c r="CV98" s="112"/>
      <c r="CW98" s="112"/>
      <c r="CX98" s="112"/>
      <c r="CY98" s="112" t="str">
        <f>HYPERLINK("http://www.caritas-schwarzwald-alb-donau.de/68854.html","x")</f>
        <v>x</v>
      </c>
      <c r="CZ98" s="112"/>
      <c r="DA98" s="112" t="str">
        <f>HYPERLINK("http://sichere-orte-schaffen.de/wp-content/uploads/Minibrosch_Fluechtlinge_multilang.pdf","x")</f>
        <v>x</v>
      </c>
      <c r="DB98" s="112"/>
      <c r="DC98" s="115" t="str">
        <f>HYPERLINK("http://www.kindersicherheit.de/pdf/2012_Bilderbuch-Gift-Arabisch.pdf","x")</f>
        <v>x</v>
      </c>
      <c r="DD98" s="112"/>
      <c r="DE98" s="112"/>
      <c r="DF98" s="112" t="str">
        <f t="shared" si="32"/>
        <v>x</v>
      </c>
      <c r="DG98" s="115" t="str">
        <f t="shared" si="33"/>
        <v>x</v>
      </c>
      <c r="DH98" s="112" t="str">
        <f t="shared" si="34"/>
        <v>x</v>
      </c>
      <c r="DI98" s="112" t="str">
        <f t="shared" si="35"/>
        <v>x</v>
      </c>
      <c r="DJ98" s="112" t="str">
        <f>HYPERLINK("http://www.bibliomedia.ch/de/angebote/dokumente/Glossar_arabisch.pdf","x")</f>
        <v>x</v>
      </c>
      <c r="DK98" s="112"/>
      <c r="DL98" s="112" t="str">
        <f>HYPERLINK("http://www.carlsen.de/sites/default/files/Walter-ebook_arabisch_klein.pdf","x")</f>
        <v>x</v>
      </c>
      <c r="DM98" s="112"/>
      <c r="DN98" s="112"/>
      <c r="DO98" s="112" t="str">
        <f>HYPERLINK("http://www.wdrmaus.de/sachgeschichten/maus-international/","x")</f>
        <v>x</v>
      </c>
      <c r="DP98" s="111"/>
      <c r="DQ98" s="112" t="str">
        <f>HYPERLINK("http://tipdoc.de/bus/grafik/kinder-tip/SCHULTIP_give_didacta.pdf","x")</f>
        <v>x</v>
      </c>
      <c r="DR98" s="112" t="str">
        <f>HYPERLINK("https://broschueren.nordrheinwestfalendirekt.de/broschuerenservice/msw/ar-das-schulsystem-in-nordrhein-westfalen-einfach-und-schnell-erklaert/1901","x")</f>
        <v>x</v>
      </c>
      <c r="DS98" s="112" t="str">
        <f>HYPERLINK("http://bildung.koeln.de/materialbibliothek/download.php?idx=7479da9798519efb4e1944d46a76011b","x")</f>
        <v>x</v>
      </c>
      <c r="DT98" s="112" t="str">
        <f>HYPERLINK("http://bildung.koeln.de/materialbibliothek/download.php?idx=dd3a964c240308ea1c8e0d161e49e314","x")</f>
        <v>x</v>
      </c>
      <c r="DU98" s="112"/>
      <c r="DV98" s="112" t="str">
        <f>HYPERLINK("https://www.bmbf.de/pub/Kausa_Elternbroschuere_arabisch.pdf","x")</f>
        <v>x</v>
      </c>
      <c r="DW98" s="112"/>
      <c r="DX98" s="112" t="str">
        <f>HYPERLINK("http://www.wissenschaft.nrw.de/studium/informieren/informationen-fuer-fluechtlinge-die-in-nrw-studieren-moechten/","x")</f>
        <v>x</v>
      </c>
      <c r="DY98" s="112" t="str">
        <f>HYPERLINK("http://www.bamf.de/SharedDocs/Anlagen/DE/Publikationen/Flyer/AnerkennungBerufsabschluss/berufliche_anerkennung_akademische-heilberufe_ar.pdf?__blob=publicationFile","x")</f>
        <v>x</v>
      </c>
      <c r="DZ98" s="112" t="str">
        <f>HYPERLINK("http://www.bamf.de/SharedDocs/Anlagen/DE/Publikationen/Flyer/AnerkennungBerufsabschluss/anerkennung-berufsabschluss_ar.pdf?__blob=publicationFile","x")</f>
        <v>x</v>
      </c>
      <c r="EA98" s="112" t="str">
        <f>HYPERLINK("http://www.bamf.de/SharedDocs/Anlagen/DE/Publikationen/Flyer/AnerkennungBerufsabschluss/anerkennung-berufsabschluss_ausland_ar.pdf?__blob=publicationFile","x")</f>
        <v>x</v>
      </c>
      <c r="EB98" s="112" t="str">
        <f>HYPERLINK("http://www.bamf.de/SharedDocs/Anlagen/DE/Publikationen/Broschueren/willkommen-in-deutschland-info-blaue-karte-eu_ar.pdf?__blob=publicationFile","x")</f>
        <v>x</v>
      </c>
      <c r="EC98" s="112" t="str">
        <f>HYPERLINK("http://www.bamf.de/SharedDocs/Anlagen/DE/Publikationen/Flyer/Berufsbezsprachf-ESF-BAMF/berufsbezsprachf-esf-bamf_ar.pdf?__blob=publicationFile","x")</f>
        <v>x</v>
      </c>
      <c r="ED98" s="111"/>
      <c r="EE98" s="111"/>
      <c r="EF98" s="111"/>
      <c r="EG98" s="111"/>
      <c r="EH98" s="111"/>
      <c r="EI98" s="111"/>
      <c r="EJ98" s="112"/>
      <c r="EK98" s="112" t="str">
        <f>HYPERLINK("http://fluechtlingsrat-bw.de/files/Dateien/Dokumente/Materialbestellung/2014-12-flyer%20arbeitserlaubnis%20AR%20WEB_final.pdf","x")</f>
        <v>x</v>
      </c>
      <c r="EL98" s="112" t="str">
        <f>HYPERLINK("http://www.aponet.de/arabisch/20151019-fuer-den-notfall-wichtige-rufnummern-im-ueberblick.html","x")</f>
        <v>x</v>
      </c>
      <c r="EM98" s="112" t="str">
        <f>HYPERLINK("http://www.kvs-sachsen.de/fileadmin/img/Mitglieder/Asylbewerber/Allg-Informationen/Anlage_1_Arabisch_LEK.pdf","x")</f>
        <v>x</v>
      </c>
      <c r="EN98" s="112" t="str">
        <f>HYPERLINK("http://www.medizin-hilft-fluechtlingen.de/images/Dokumente/gSch/gSch_arab.pdf","x")</f>
        <v>x</v>
      </c>
      <c r="EO98" s="112" t="str">
        <f>HYPERLINK("http://www.aponet.de/arabisch/20151016-medizinische-leistungen-fuer-asylbewerber.html","x")</f>
        <v>x</v>
      </c>
      <c r="EP98" s="117" t="str">
        <f t="shared" si="41"/>
        <v>x</v>
      </c>
      <c r="EQ98" s="117" t="str">
        <f>HYPERLINK("http://www.armut-gesundheit.de/fileadmin/redakteur/dokumente/Anamnesebogen%20-%20Arabischnew.pdf","x")</f>
        <v>x</v>
      </c>
      <c r="ER98" s="112" t="str">
        <f>HYPERLINK("http://www.kvs-sachsen.de/fileadmin/img/Mitglieder/Asylbewerber/Allg-Informationen/Anlagen_2-1_2-2_Arabisch_LEK.pdf","x")</f>
        <v>x</v>
      </c>
      <c r="ES98" s="112"/>
      <c r="ET98" s="112" t="str">
        <f>HYPERLINK("http://www.pharmazeutische-zeitung.de/fileadmin/pdf/Fragebogen_PZ_43_2015.pdf","x")</f>
        <v>x</v>
      </c>
      <c r="EU98" s="112" t="str">
        <f>HYPERLINK("http://www.medizin-hilft-fluechtlingen.de/images/Dokumente/ein/ein_arab.pdf","x")</f>
        <v>x</v>
      </c>
      <c r="EV98" s="112" t="str">
        <f>HYPERLINK("http://www.adler-apotheke-hh.de/fileadmin/user_upload/PDF-Dateien/Dosierzettel_mehrsprachig_AUF_0_.pdf","x")</f>
        <v>x</v>
      </c>
      <c r="EW98" s="112" t="str">
        <f t="shared" si="36"/>
        <v>x</v>
      </c>
      <c r="EX98" s="112" t="str">
        <f>HYPERLINK("http://www.rki.de/DE/Content/Infekt/IfSG/Belehrungsbogen/belehrungsbogen_eltern_arabisch.pdf?__blob=publicationFile","x")</f>
        <v>x</v>
      </c>
      <c r="EY98" s="112" t="str">
        <f>HYPERLINK("http://www.bzga.de/infomaterialien/?sid=236","x")</f>
        <v>x</v>
      </c>
      <c r="EZ98" s="112" t="str">
        <f>HYPERLINK("https://www.mh-hannover.de/fileadmin/mhh/bilder/aktuelles_presse/presseinformationen_news/150921_Pilz_Vergif_Arab_3.pdf","x")</f>
        <v>x</v>
      </c>
      <c r="FA98" s="112"/>
      <c r="FB98" s="112" t="str">
        <f>HYPERLINK("http://static.apotheken-umschau.de/media/gp/article_506373/bildwoerterbuch.pdf","x")</f>
        <v>x</v>
      </c>
      <c r="FC98" s="111"/>
      <c r="FD98" s="112" t="str">
        <f t="shared" si="37"/>
        <v>x</v>
      </c>
      <c r="FE98" s="112" t="str">
        <f t="shared" ref="FE98:FE104" si="43">HYPERLINK("http://sghanstedt.elbnetz.com/ueber-uns/","x")</f>
        <v>x</v>
      </c>
      <c r="FF98" s="112" t="str">
        <f>HYPERLINK("http://www.fuhlenhagen.com/pdf_dateien/uebertzungshilfe_aerzte_mehrsprachig.pdf","x")</f>
        <v>x</v>
      </c>
      <c r="FG98" s="112" t="str">
        <f>HYPERLINK("http://www.tipdoc.de/grafik/asyl/Gesundheitsheft_Asyl.pdf","x")</f>
        <v>x</v>
      </c>
      <c r="FH98" s="111"/>
      <c r="FI98" s="111"/>
      <c r="FJ98" s="112" t="str">
        <f>HYPERLINK("http://www.bundesgesundheitsministerium.de/fileadmin/dateien/Publikationen/Gesundheit/Broschueren/Ratgeber_Asylsuchende/Ratgeber_Asylsuchende_arab.PDF","x")</f>
        <v>x</v>
      </c>
      <c r="FK98" s="112" t="str">
        <f>HYPERLINK("http://www.rki.de/DE/Content/Infekt/Impfen/Materialien/Downloads-Impfkalender/Impfkalender_Arabisch.pdf?__blob=publicationFile","x")</f>
        <v>x</v>
      </c>
      <c r="FL98" s="112" t="str">
        <f>HYPERLINK("http://www.ethno-medizinisches-zentrum.de/images/PDF-Files/impfwegweiser_arabbisch_2013_online.pdf","x")</f>
        <v>x</v>
      </c>
      <c r="FM98" s="112"/>
      <c r="FN98" s="112" t="str">
        <f>HYPERLINK("http://www.rki.de/DE/Content/Infekt/Impfen/Materialien/Glossar-Downloads/glossar-de-arabisch.pdf?__blob=publicationFile","x")</f>
        <v>x</v>
      </c>
      <c r="FO98" s="112"/>
      <c r="FP98" s="112" t="str">
        <f>HYPERLINK("http://www.rki.de/DE/Content/Infekt/Impfen/Materialien/Downloads-MMR/MMR-Impfinfo-arabisch.pdf?__blob=publicationFile","x")</f>
        <v>x</v>
      </c>
      <c r="FQ98" s="112" t="str">
        <f>HYPERLINK("http://www.rki.de/DE/Content/InfAZ/P/Polio/Ausbruch_Syrien/Informationsblatt_Polio_Arabisch.pdf?__blob=publicationFile","x")</f>
        <v>x</v>
      </c>
      <c r="FR98" s="112" t="str">
        <f>HYPERLINK("http://www.rki.de/DE/Content/Infekt/Impfen/Materialien/Downloads_HepA/Aufklaerung_HAV-Impfung_arabisch.pdf?__blob=publicationFile","x")</f>
        <v>x</v>
      </c>
      <c r="FS98" s="112" t="str">
        <f>HYPERLINK("http://www.rki.de/DE/Content/Infekt/Impfen/Materialien/Downloads_Pneumokokken/Aufklaerung_Pneumo-Impfung_Arabisch.pdf?__blob=publicationFile","x")</f>
        <v>x</v>
      </c>
      <c r="FT98" s="112" t="str">
        <f>HYPERLINK("http://www.rki.de/DE/Content/Infekt/Impfen/Materialien/Downloads-DTaPIPVHibHepB/DTaPIPVHibHepB_arabisch.pdf?__blob=publicationFile","x")</f>
        <v>x</v>
      </c>
      <c r="FU98" s="112" t="str">
        <f>HYPERLINK("http://www.rki.de/DE/Content/Infekt/Impfen/Materialien/Downloads-Varizellen/Varizellen-Impfinfo-arabisch.pdf;jsessionid=65B697F4EE7EDA8A1ED9E2C4CD6C74EC.2_cid363?__blob=publicationFile","x")</f>
        <v>x</v>
      </c>
      <c r="FV98" s="112" t="str">
        <f>HYPERLINK("http://www.rki.de/DE/Content/Infekt/Impfen/Materialien/Downloads-Tdap-IPV/Tdap-IPV-arabisch.pdf?__blob=publicationFile","x")</f>
        <v>x</v>
      </c>
      <c r="FW98" s="112" t="str">
        <f>HYPERLINK("http://www.rki.de/DE/Content/Infekt/Impfen/Materialien/Downloads-Influenza_nasal/Influenza_nasal-arabisch.pdf?__blob=publicationFile","x")</f>
        <v>x</v>
      </c>
      <c r="FX98" s="112" t="str">
        <f>HYPERLINK("http://www.medical-tribune.de/fileadmin/PDF/Arthrose_arabisch.pdf","x")</f>
        <v>x</v>
      </c>
      <c r="FY98" s="112" t="str">
        <f>HYPERLINK("http://www.medical-tribune.de/fileadmin/PDF/Asthma_arabisch.pdf","x")</f>
        <v>x</v>
      </c>
      <c r="FZ98" s="112" t="str">
        <f>HYPERLINK("http://www.medical-tribune.de/fileadmin/PDF/Bluthochdruck_arabisch.pdf","x")</f>
        <v>x</v>
      </c>
      <c r="GA98" s="112"/>
      <c r="GB98" s="112" t="str">
        <f>HYPERLINK("http://www.medical-tribune.de/fileadmin/PDF/COPD_arabisch.pdf","x")</f>
        <v>x</v>
      </c>
      <c r="GC98" s="112"/>
      <c r="GD98" s="112" t="str">
        <f>HYPERLINK("http://www.ethno-medizinisches-zentrum.de/images/PDF-Files/lf_diabete_arab.pdf","x")</f>
        <v>x</v>
      </c>
      <c r="GE98" s="112"/>
      <c r="GF98" s="112"/>
      <c r="GG98" s="112"/>
      <c r="GH98" s="112"/>
      <c r="GI98" s="112" t="str">
        <f>HYPERLINK("http://www.tipdoc.de/bus/pdf/hepatitis/Hep_B_Webseite.pdf","x")</f>
        <v>x</v>
      </c>
      <c r="GJ98" s="112" t="str">
        <f>HYPERLINK("http://www.tipdoc.de/bus/pdf/hepatitis/Hep_C_Webseite.pdf","x")</f>
        <v>x</v>
      </c>
      <c r="GK98" s="111"/>
      <c r="GL98" s="111"/>
      <c r="GM98" s="112" t="str">
        <f>HYPERLINK("http://www.rki.de/DE/Content/Infekt/Impfen/Materialien/Downloads-Influenza/Influenza-arabisch.pdf?__blob=publicationFile","x")</f>
        <v>x</v>
      </c>
      <c r="GN98" s="112"/>
      <c r="GO98" s="112" t="str">
        <f>HYPERLINK("http://www.aponet.de/arabisch/20151111-so-unterscheiden-sich-grippe-und-erkaeltung.html","x")</f>
        <v>x</v>
      </c>
      <c r="GP98" s="112" t="str">
        <f>HYPERLINK("http://www.tipdoc.de/grafik/pdf/kopflaeuse/Kopflaeuse_ARAB.pdf","x")</f>
        <v>x</v>
      </c>
      <c r="GQ98" s="112"/>
      <c r="GR98" s="112" t="str">
        <f>HYPERLINK("http://www.tipdoc.com/bus/pdf/kraetze/tipdoc_Scabies_ARAB.pdf","x")</f>
        <v>x</v>
      </c>
      <c r="GS98" s="112" t="str">
        <f>HYPERLINK("http://www.tipdoc.com/bus/pdf/MagenDarmHaende/MagenDarmHaende_Arab.pdf","x")</f>
        <v>x</v>
      </c>
      <c r="GT98" s="112"/>
      <c r="GU98" s="112" t="str">
        <f>HYPERLINK("http://www.medical-tribune.de/fileadmin/PDF/Rueckenschmerzen_arabisch.pdf","x")</f>
        <v>x</v>
      </c>
      <c r="GV98" s="112"/>
      <c r="GW98" s="112"/>
      <c r="GX98" s="112" t="str">
        <f>HYPERLINK("http://www.medical-tribune.de/fileadmin/PDF/Schwindel_arabisch.pdf","x")</f>
        <v>x</v>
      </c>
      <c r="GY98" s="112"/>
      <c r="GZ98" s="112"/>
      <c r="HA98" s="112"/>
      <c r="HB98" s="112"/>
      <c r="HC98" s="112" t="str">
        <f t="shared" si="38"/>
        <v>x</v>
      </c>
      <c r="HD98" s="112" t="str">
        <f>HYPERLINK("https://www.zahnaerzte-wl.de/images/_PDF-suche/KZV_ZÄK/ENDSTAND_Ankreuzbogen_Ich_verstehe.pdf","x")</f>
        <v>x</v>
      </c>
      <c r="HE98" s="112" t="str">
        <f>HYPERLINK("https://www.zahnaerzte-wl.de/images/_PDF-suche/KZV_ZÄK/Anschreiben_Patienten_arabisch.pdf","x")</f>
        <v>x</v>
      </c>
      <c r="HF98" s="112" t="str">
        <f>HYPERLINK("https://www.zahnaerzte-wl.de/images/_PDF-suche/KZV_ZÄK/Fragebogen_arabisch.pdf","x")</f>
        <v>x</v>
      </c>
      <c r="HG98" s="112" t="str">
        <f>HYPERLINK("https://www.zahnaerzte-wl.de/images/_PDF-suche/KZV_ZÄK/Patientenerhebungsbogen_arabisch.pdf","x")</f>
        <v>x</v>
      </c>
      <c r="HH98" s="112"/>
      <c r="HI98" s="112"/>
      <c r="HJ98" s="112" t="str">
        <f>HYPERLINK("http://www.ibbc-berlin.de/media/Bro_de-arab.pdf","x")</f>
        <v>x</v>
      </c>
      <c r="HK98" s="112"/>
      <c r="HL98" s="112" t="str">
        <f>HYPERLINK("http://www.ethno-medizinisches-zentrum.de/images/PDF-Files/lf_depression__arab.pdf","x")</f>
        <v>x</v>
      </c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 t="str">
        <f>HYPERLINK("http://www.bkk-psychisch-gesund.de/fileadmin/user_upload/Dokumente/Versicherte/Broschueren/Wegweiser_Psychotherapie_arabisch.pdf","x")</f>
        <v>x</v>
      </c>
      <c r="HY98" s="112" t="str">
        <f t="shared" si="39"/>
        <v>x</v>
      </c>
      <c r="HZ98" s="112" t="str">
        <f t="shared" si="40"/>
        <v>x</v>
      </c>
      <c r="IA98" s="112"/>
      <c r="IB98" s="112"/>
      <c r="IC98" s="112"/>
      <c r="ID98" s="112" t="str">
        <f>HYPERLINK("http://www.susannestein.de/VIA-online/trauma-bilderbuch-arabisch.pdf","x")</f>
        <v>x</v>
      </c>
      <c r="IE98" s="112"/>
      <c r="IF98" s="112"/>
      <c r="IG98" s="112"/>
      <c r="IH98" s="111"/>
      <c r="II98" s="112"/>
      <c r="IJ98" s="112"/>
      <c r="IK98" s="112" t="str">
        <f>HYPERLINK("http://www.bamf.de/SharedDocs/Anlagen/DE/Publikationen/Flyer/Lassen-Sie-Sich-Beraten/lassen-sie-sich-beraten_ar.pdf?__blob=publicationFile","x")</f>
        <v>x</v>
      </c>
      <c r="IL98" s="112" t="str">
        <f>HYPERLINK("http://www.bamf.de/SharedDocs/Anlagen/DE/Publikationen/Flyer/flyer-erstorientierung-asylsuchende_arabisch.pdf?__blob=publicationFile","x")</f>
        <v>x</v>
      </c>
      <c r="IM98" s="111"/>
      <c r="IN98" s="112" t="str">
        <f>HYPERLINK("https://www.bamf.de/SharedDocs/Anlagen/DE/Publikationen/Broschueren/willkommen-in-deutschland_ar.pdf?__blob=publicationFile","x")</f>
        <v>x</v>
      </c>
      <c r="IO98" s="112"/>
      <c r="IP98" s="111"/>
      <c r="IQ98" s="112" t="str">
        <f>HYPERLINK("http://www.bamf.de/SharedDocs/Anlagen/DE/Publikationen/Flyer/Lernen-Sie-Deutsch/lernen-sie-deutsch_ar.pdf?__blob=publicationFile","x")</f>
        <v>x</v>
      </c>
      <c r="IR98" s="112" t="str">
        <f>HYPERLINK("http://www.asyl.net/fileadmin/user_upload/redaktion/Dokumente/Arbeitshilfen/150910_Wie_l%C3%A4uft_ein_Asylverfahren_ab_%C3%9Cberblickstext_Arabisch.pdf","x")</f>
        <v>x</v>
      </c>
      <c r="IS98" s="111"/>
      <c r="IT98" s="111"/>
      <c r="IU98" s="111"/>
      <c r="IV98" s="112" t="str">
        <f>HYPERLINK("http://www.asyl.net/fileadmin/user_upload/infoblatt_anhoerung/Infoblatt_2015_ar_fin.pdf","x")</f>
        <v>x</v>
      </c>
      <c r="IW98" s="112" t="str">
        <f>HYPERLINK("http://efi-landsberg.de/asyl/wp-content/uploads/2014/04/Merkblatt-Asylbewerber-Fluechtlinge.pdf","x")</f>
        <v>x</v>
      </c>
      <c r="IX98" s="112"/>
      <c r="IY98" s="112" t="str">
        <f>HYPERLINK("http://www.bamf.de/SharedDocs/Anlagen/DE/Publikationen/Broschueren/broschuere-eat-a4-ar-arabisch.pdf?__blob=publicationFile","x")</f>
        <v>x</v>
      </c>
      <c r="IZ98" s="111"/>
      <c r="JA98" s="112" t="str">
        <f>HYPERLINK("http://fluechtlingsrat-bw.de/informationen-fuer-fluechtlinge.html","x")</f>
        <v>x</v>
      </c>
      <c r="JB98" s="111"/>
      <c r="JC98" s="112"/>
      <c r="JD98" s="111"/>
      <c r="JE98" s="112"/>
      <c r="JF98" s="112"/>
      <c r="JG98" s="112" t="str">
        <f>HYPERLINK("http://www.bamf.de/SharedDocs/Anlagen/DE/Publikationen/Flyer/Ehegattennachzug/ehegattennachzug-ar.pdf?__blob=publicationFile","x")</f>
        <v>x</v>
      </c>
      <c r="JH98" s="112" t="str">
        <f>HYPERLINK("https://familyreunion-syria.diplo.de/webportal/index.html#start","x")</f>
        <v>x</v>
      </c>
      <c r="JI98" s="111"/>
      <c r="JJ98" s="112"/>
      <c r="JK98" s="112" t="str">
        <f>HYPERLINK("https://www.arbeitsagentur.de/web/wcm/idc/groups/public/documents/webdatei/mdaw/mjgz/~edisp/l6019022dstbai784629.pdf?_ba.sid=L6019022DSTBAI788745","x")</f>
        <v>x</v>
      </c>
      <c r="JL98" s="112" t="str">
        <f>HYPERLINK("http://www.kub-berlin.org/formularprojekt/de/arabisch-antraege-und-anlagen/","x")</f>
        <v>x</v>
      </c>
      <c r="JM98" s="112" t="str">
        <f>HYPERLINK("https://www.arbeitsagentur.de/web/content/DE/Formulare/Detail/index.htm?dfContentId=L6019022DSTBAI485740","x")</f>
        <v>x</v>
      </c>
      <c r="JN98" s="112"/>
      <c r="JO98" s="112"/>
      <c r="JP98" s="112"/>
      <c r="JQ98" s="112"/>
      <c r="JR98" s="112" t="str">
        <f t="shared" ref="JR98:JR104" si="44">HYPERLINK("http://www.ibla-germany.de/merkblaetter.php","x")</f>
        <v>x</v>
      </c>
      <c r="JS98" s="112"/>
      <c r="JT98" s="112" t="str">
        <f>HYPERLINK("http://www.b-umf.de/images/willkommen/willkommensbroschurearabisch-web.pdf","x")</f>
        <v>x</v>
      </c>
      <c r="JU98" s="111"/>
      <c r="JV98" s="111"/>
      <c r="JW98" s="112"/>
      <c r="JX98" s="112"/>
      <c r="JY98" s="112"/>
      <c r="JZ98" s="112"/>
      <c r="KA98" s="112" t="str">
        <f>HYPERLINK("http://www.kas.de/wf/de/33.43117/","x")</f>
        <v>x</v>
      </c>
      <c r="KB98" s="112" t="str">
        <f>HYPERLINK("http://www.refugeeguide.de/dl/RefugeeGuide_ar_930.pdf","x")</f>
        <v>x</v>
      </c>
      <c r="KC98" s="112" t="str">
        <f>HYPERLINK("http://www.bpb.de/shop/buecher/grundgesetz/215136/grundgesetz-auf-arabisch","x")</f>
        <v>x</v>
      </c>
      <c r="KD98" s="112" t="str">
        <f>HYPERLINK("http://www.wedel.de/fileadmin/user_upload/media/pdf/Rathaus_und_Politik/20160118_PM_Broschuere.pdf","x")</f>
        <v>x</v>
      </c>
      <c r="KE98" s="112" t="str">
        <f>HYPERLINK("http://www.frauenrechte.de/online/images/downloads/allgemein/TDF_Flyer_Women_Men.pdf","x")</f>
        <v>x</v>
      </c>
      <c r="KF98" s="112" t="str">
        <f>HYPERLINK("http://sab.landtag.sachsen.de/dokumente/landtagskurier/Grundwerte-A5-international_web_08012016.pdf","x")</f>
        <v>x</v>
      </c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1"/>
      <c r="LD98" s="111"/>
      <c r="LE98" s="111"/>
      <c r="LF98" s="111"/>
      <c r="LG98" s="112"/>
      <c r="LH98" s="111"/>
      <c r="LI98" s="111"/>
      <c r="LJ98" s="111"/>
      <c r="LK98" s="111"/>
      <c r="LL98" s="111"/>
      <c r="LM98" s="111"/>
      <c r="LN98" s="111"/>
      <c r="LO98" s="111"/>
      <c r="LP98" s="111"/>
      <c r="LQ98" s="111"/>
      <c r="LR98" s="111"/>
      <c r="LS98" s="111"/>
      <c r="LT98" s="112"/>
      <c r="LU98" s="111"/>
      <c r="LV98" s="111"/>
      <c r="LW98" s="111"/>
      <c r="LX98" s="111"/>
      <c r="LY98" s="111"/>
      <c r="LZ98" s="112" t="str">
        <f>HYPERLINK("http://www.bjf.info/projekte/cinemanya","x")</f>
        <v>x</v>
      </c>
      <c r="MA98" s="111"/>
      <c r="MB98" s="111"/>
      <c r="MC98" s="111"/>
      <c r="MD98" s="112" t="str">
        <f>HYPERLINK("http://www.rki.de/DE/Content/Infekt/IfSG/Belehrungsbogen/belehrungsbogen_lebensmittel_arabisch.pdf?__blob=publicationFile","x")</f>
        <v>x</v>
      </c>
      <c r="ME98" s="111"/>
      <c r="MF98" s="112" t="str">
        <f>HYPERLINK("http://www.gdv.de/wp-content/uploads/2016/01/Information_Brandschutz_Fluechtlingsheim_-Sicherheit_mehrsprachig.pdf","x")</f>
        <v>x</v>
      </c>
      <c r="MG98" s="112" t="str">
        <f>HYPERLINK("http://www.gdv.de/wp-content/uploads/2016/01/Information_Verhalten-im-Brandfall_mehrsprachig.pdf","x")</f>
        <v>x</v>
      </c>
      <c r="MH98" s="112" t="str">
        <f>HYPERLINK("http://www.aha-region.de/fileadmin/Download/pdf/aha_Plakat_Muelltrennung_ar.pdf","x")</f>
        <v>x</v>
      </c>
      <c r="MI98" s="112" t="str">
        <f>HYPERLINK("http://www.kindersicherheit.de/pdf/2012_poster_achtunggiftig_8sprachig.pdf","x")</f>
        <v>x</v>
      </c>
    </row>
    <row r="99" spans="1:347" x14ac:dyDescent="0.25">
      <c r="A99" s="102" t="s">
        <v>56</v>
      </c>
      <c r="B99" s="127" t="s">
        <v>1</v>
      </c>
      <c r="C99" s="102"/>
      <c r="D99" s="102"/>
      <c r="E99" s="102"/>
      <c r="F99" s="102"/>
      <c r="G99" s="102"/>
      <c r="H99" s="102"/>
      <c r="I99" s="102"/>
      <c r="J99" s="102"/>
      <c r="K99" s="103"/>
      <c r="L99" s="112" t="str">
        <f>HYPERLINK("http://sghanstedt.elbnetz.com/ueber-uns/","x")</f>
        <v>x</v>
      </c>
      <c r="M99" s="111"/>
      <c r="N99" s="112" t="str">
        <f>HYPERLINK("http://www.ag-fluechtlingshilfe-wetterau.de/uploads/infos/170.pdf","x")</f>
        <v>x</v>
      </c>
      <c r="O99" s="112" t="str">
        <f>HYPERLINK("http://www.ag-fluechtlingshilfe-wetterau.de/uploads/infos/220.pdf","x")</f>
        <v>x</v>
      </c>
      <c r="P99" s="112" t="str">
        <f>HYPERLINK("http://www.awb-ahrweiler.de/admin/data/ddownload/Abfall%20Sonderhinweise-Arabisch%202015.pdf","x")</f>
        <v>x</v>
      </c>
      <c r="Q99" s="112" t="str">
        <f>HYPERLINK("http://www.ag-fluechtlingshilfe-wetterau.de/uploads/infos/221.pdf","x")</f>
        <v>x</v>
      </c>
      <c r="R99" s="112" t="str">
        <f>HYPERLINK("http://www.konto.org/download/merkblatt-basiskonto-asylbewerber-arabisch.pdf","x")</f>
        <v>x</v>
      </c>
      <c r="S99" s="112"/>
      <c r="T99" s="112" t="str">
        <f>HYPERLINK("https://antworten.sparkasse.de/wp-content/uploads/2015/10/Arabisch.pdf","x")</f>
        <v>x</v>
      </c>
      <c r="U99" s="112" t="str">
        <f>HYPERLINK("http://www.ag-fluechtlingshilfe-wetterau.de/uploads/infos/191.pdf","x")</f>
        <v>x</v>
      </c>
      <c r="V99" s="112"/>
      <c r="W99" s="112"/>
      <c r="X99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9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9" s="112"/>
      <c r="AA99" s="112"/>
      <c r="AB99" s="112"/>
      <c r="AC99" s="112"/>
      <c r="AD99" s="112" t="str">
        <f>HYPERLINK("http://www.rundfunkbeitrag.de/e175/e1629/Informationsflyer_Buergerinnen_und_Buerger_arabisch.pdf","x")</f>
        <v>x</v>
      </c>
      <c r="AE99" s="112"/>
      <c r="AF99" s="112" t="str">
        <f>HYPERLINK("http://www.kub-berlin.org/formularprojekt/de/arabisch-antraege-und-anlagen/","x")</f>
        <v>x</v>
      </c>
      <c r="AG99" s="112" t="str">
        <f>HYPERLINK("http://asyl-in-moenchengladbach.de/wp-content/uploads/2015/11/100711-Flyer_arab.pdf","x")</f>
        <v>x</v>
      </c>
      <c r="AH99" s="111"/>
      <c r="AI99" s="112" t="str">
        <f>HYPERLINK("https://www.adac.de/sp/stiftung/_mmm/pdf/SGE_FOL_Verkehrssicherheit_Fl%C3%BCchtlinge_A3_01_16_Internet_250277.pdf","x")</f>
        <v>x</v>
      </c>
      <c r="AJ99" s="112" t="str">
        <f>HYPERLINK("http://www.stadt-koeln.de/mediaasset/content/العربية_kvb_kinderleicht_und_spielend_einfach__arabisch_.pdf","x")</f>
        <v>x</v>
      </c>
      <c r="AK99" s="112" t="str">
        <f>HYPERLINK("https://www.vrsinfo.de/fileadmin/Dateien/downloadcenter/Folder_MobilPassTicket_Refugees01012016.pdf","x")</f>
        <v>x</v>
      </c>
      <c r="AL99" s="112" t="str">
        <f>HYPERLINK("https://www.vrsinfo.de/fileadmin/Dateien/downloadcenter/Willkommen_im_VRS2016_Druck.pdf","x")</f>
        <v>x</v>
      </c>
      <c r="AM99" s="112"/>
      <c r="AN99" s="112" t="str">
        <f>HYPERLINK("https://www.deutschebahn.com/file/de/2191748/eYdgZpqGpp5sMJ2KMKtg2r8aE4Q/10123812/data/infos_fuer_fluechtlinge.pdf","x")</f>
        <v>x</v>
      </c>
      <c r="AO99" s="112"/>
      <c r="AP99" s="112"/>
      <c r="AQ99" s="112"/>
      <c r="AR99" s="112"/>
      <c r="AS99" s="112"/>
      <c r="AT99" s="112" t="str">
        <f>HYPERLINK("http://www.koelnerkarneval.de/fileadmin/content/images/news/Festkomitee_Flyer_DE_AR.pdf","x")</f>
        <v>x</v>
      </c>
      <c r="AU99" s="112"/>
      <c r="AV99" s="114" t="str">
        <f>HYPERLINK("http://www.studentenwerke.de/de/content/illustriertes-wohnheimw%C3%B6rterbuch-1","x")</f>
        <v>x</v>
      </c>
      <c r="AW99" s="114" t="str">
        <f t="shared" si="22"/>
        <v>x</v>
      </c>
      <c r="AX99" s="114" t="str">
        <f t="shared" si="23"/>
        <v>x</v>
      </c>
      <c r="AY99" s="112" t="str">
        <f>HYPERLINK("http://fi-lohmar-siegburg.de/data/documents/Findefix_arabisch-Bildwoerterbuch.pdf","x")</f>
        <v>x</v>
      </c>
      <c r="AZ99" s="111"/>
      <c r="BA99" s="112" t="str">
        <f t="shared" si="24"/>
        <v>x</v>
      </c>
      <c r="BB99" s="112" t="str">
        <f t="shared" si="25"/>
        <v>x</v>
      </c>
      <c r="BC99" s="112"/>
      <c r="BD99" s="112" t="str">
        <f>HYPERLINK("http://www.rehavista.de/?at=Mat_Boardmaker&amp;d=1&amp;dtype=mat&amp;id=1014","x")</f>
        <v>x</v>
      </c>
      <c r="BE99" s="112" t="str">
        <f>HYPERLINK("http://fi-lohmar-siegburg.de/data/documents/communicationboard-arabic-english.pdf","x")</f>
        <v>x</v>
      </c>
      <c r="BF99" s="112" t="str">
        <f>HYPERLINK("http://fi-lohmar-siegburg.de/data/documents/communicationboard-arabic-french.pdf","x")</f>
        <v>x</v>
      </c>
      <c r="BG99" s="111"/>
      <c r="BH99" s="112" t="str">
        <f>HYPERLINK("http://www.refugeephrasebook.de/pdf/germany150920.pdf","x")</f>
        <v>x</v>
      </c>
      <c r="BI99" s="112" t="str">
        <f>HYPERLINK("https://www.advanced-online.eu/downloads/RefugeePhrasebookCards_German-Arabic.pdf","x")</f>
        <v>x</v>
      </c>
      <c r="BJ99" s="112" t="str">
        <f>HYPERLINK("http://www.klett-sprachen.de/download/8638/W100255_Refugees_Welcome_Wortschatz.pdf","x")</f>
        <v>x</v>
      </c>
      <c r="BK99" s="112" t="str">
        <f>HYPERLINK("http://www.agf-trier.de/sites/default/files/bersetzungshilfe%20allgemein%20Arab..pdf","x")</f>
        <v>x</v>
      </c>
      <c r="BL99" s="112" t="str">
        <f>HYPERLINK("http://www.bundessprachenamt.de/deutsch/wir_ueber_uns/nachrichten/2015/20151103/Verständigungshilfe_Syrisch-Arabisch_07_12_2015.pdf","x")</f>
        <v>x</v>
      </c>
      <c r="BM99" s="112" t="str">
        <f>HYPERLINK("http://www.frnrw.de/images/Aus_den_Initiativen/Ehrenamtler/2015/Dictionary_x10_print-2.pdf","x")</f>
        <v>x</v>
      </c>
      <c r="BN99" s="112" t="str">
        <f>HYPERLINK("http://www.medbox.org/toolboxes/kleines-worterbuch-little-dictionary-deutsch-englisch-arabisch/preview","x")</f>
        <v>x</v>
      </c>
      <c r="BO99" s="111"/>
      <c r="BP99" s="111"/>
      <c r="BQ99" s="112" t="str">
        <f>HYPERLINK("https://www.friedensdorf.de/documents/Woerterbuch_Arabisch.pdf","x")</f>
        <v>x</v>
      </c>
      <c r="BR99" s="111"/>
      <c r="BS99" s="112" t="str">
        <f t="shared" si="26"/>
        <v>x</v>
      </c>
      <c r="BT99" s="112" t="str">
        <f>HYPERLINK("http://de.langenscheidt.com/doc/arabisch-deutsch-sprachfuehrer.pdf","x")</f>
        <v>x</v>
      </c>
      <c r="BU99" s="111"/>
      <c r="BV99" s="112" t="str">
        <f t="shared" si="27"/>
        <v>x</v>
      </c>
      <c r="BW99" s="112" t="str">
        <f>HYPERLINK("http://www.welcomegrooves.de/wp-content/uploads/2015/10/welcomegrooves_DE-ARABISCH.pdf","x")</f>
        <v>x</v>
      </c>
      <c r="BX99" s="112"/>
      <c r="BY99" s="112"/>
      <c r="BZ99" s="112" t="str">
        <f>HYPERLINK("http://fluechtlingshilfe-nettetal.de/ausbildung/video-sprachkurse-deutsch-fuer-fluechtlinge/video-sprachkurs-syrisch-deutsch/","x")</f>
        <v>x</v>
      </c>
      <c r="CA99" s="112" t="str">
        <f t="shared" si="28"/>
        <v>x</v>
      </c>
      <c r="CB99" s="112" t="str">
        <f t="shared" si="29"/>
        <v>x</v>
      </c>
      <c r="CC99" s="112" t="str">
        <f t="shared" si="30"/>
        <v>x</v>
      </c>
      <c r="CD99" s="112"/>
      <c r="CE99" s="112"/>
      <c r="CF99" s="112" t="str">
        <f>HYPERLINK("http://www.agf-trier.de/sites/default/files/bersetzungshilfe%20%20f%C3%BCr%20Frauen%20Arab..pdf","x")</f>
        <v>x</v>
      </c>
      <c r="CG99" s="112" t="str">
        <f>HYPERLINK("http://www.braunschweig.de/leben/frauen/hilfe/Ohne-Gewalt-leben.pdf","x")</f>
        <v>x</v>
      </c>
      <c r="CH99" s="112" t="str">
        <f>HYPERLINK("http://mifkjf.rlp.de/fileadmin/mifkjf/Frauen/Gewalt_gegen_Frauen/Downloads/Broschueren_Flyer/Flyer_Gewalt_arabisch_fuer_ANSICHT.pdf","x")</f>
        <v>x</v>
      </c>
      <c r="CI99" s="112"/>
      <c r="CJ99" s="112" t="str">
        <f t="shared" si="42"/>
        <v>x</v>
      </c>
      <c r="CK99" s="112" t="str">
        <f t="shared" si="31"/>
        <v>x</v>
      </c>
      <c r="CL99" s="112" t="str">
        <f>HYPERLINK("http://www.frauenberatungsstelle.de/pdf/Migrantinnen-beraten-Migrantinnen.pdf","x")</f>
        <v>x</v>
      </c>
      <c r="CM99" s="112"/>
      <c r="CN99" s="112"/>
      <c r="CO99" s="112"/>
      <c r="CP99" s="112" t="str">
        <f>HYPERLINK("http://www.schwanger-und-viele-fragen.de/ar/","x")</f>
        <v>x</v>
      </c>
      <c r="CQ99" s="112"/>
      <c r="CR99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9" s="112"/>
      <c r="CT99" s="112"/>
      <c r="CU99" s="112" t="str">
        <f>HYPERLINK("http://www.profamilia.de/fileadmin/publikationen/Erwachsene/mehrsprachig/verhuetung_arabisch.pdf","x")</f>
        <v>x</v>
      </c>
      <c r="CV99" s="112"/>
      <c r="CW99" s="112"/>
      <c r="CX99" s="112"/>
      <c r="CY99" s="112" t="str">
        <f>HYPERLINK("http://www.caritas-schwarzwald-alb-donau.de/68854.html","x")</f>
        <v>x</v>
      </c>
      <c r="CZ99" s="112"/>
      <c r="DA99" s="112" t="str">
        <f>HYPERLINK("http://sichere-orte-schaffen.de/wp-content/uploads/Minibrosch_Fluechtlinge_multilang.pdf","x")</f>
        <v>x</v>
      </c>
      <c r="DB99" s="112"/>
      <c r="DC99" s="115" t="str">
        <f>HYPERLINK("http://www.kindersicherheit.de/pdf/2012_Bilderbuch-Gift-Arabisch.pdf","x")</f>
        <v>x</v>
      </c>
      <c r="DD99" s="112"/>
      <c r="DE99" s="112"/>
      <c r="DF99" s="112" t="str">
        <f t="shared" si="32"/>
        <v>x</v>
      </c>
      <c r="DG99" s="115" t="str">
        <f t="shared" si="33"/>
        <v>x</v>
      </c>
      <c r="DH99" s="112" t="str">
        <f t="shared" si="34"/>
        <v>x</v>
      </c>
      <c r="DI99" s="112" t="str">
        <f t="shared" si="35"/>
        <v>x</v>
      </c>
      <c r="DJ99" s="112" t="str">
        <f>HYPERLINK("http://www.bibliomedia.ch/de/angebote/dokumente/Glossar_arabisch.pdf","x")</f>
        <v>x</v>
      </c>
      <c r="DK99" s="112"/>
      <c r="DL99" s="112" t="str">
        <f>HYPERLINK("http://www.carlsen.de/sites/default/files/Walter-ebook_arabisch_klein.pdf","x")</f>
        <v>x</v>
      </c>
      <c r="DM99" s="112"/>
      <c r="DN99" s="112"/>
      <c r="DO99" s="112" t="str">
        <f>HYPERLINK("http://www.wdrmaus.de/sachgeschichten/maus-international/","x")</f>
        <v>x</v>
      </c>
      <c r="DP99" s="111"/>
      <c r="DQ99" s="112" t="str">
        <f>HYPERLINK("http://tipdoc.de/bus/grafik/kinder-tip/SCHULTIP_give_didacta.pdf","x")</f>
        <v>x</v>
      </c>
      <c r="DR99" s="112" t="str">
        <f>HYPERLINK("https://broschueren.nordrheinwestfalendirekt.de/broschuerenservice/msw/ar-das-schulsystem-in-nordrhein-westfalen-einfach-und-schnell-erklaert/1901","x")</f>
        <v>x</v>
      </c>
      <c r="DS99" s="112" t="str">
        <f>HYPERLINK("http://bildung.koeln.de/materialbibliothek/download.php?idx=7479da9798519efb4e1944d46a76011b","x")</f>
        <v>x</v>
      </c>
      <c r="DT99" s="112" t="str">
        <f>HYPERLINK("http://bildung.koeln.de/materialbibliothek/download.php?idx=dd3a964c240308ea1c8e0d161e49e314","x")</f>
        <v>x</v>
      </c>
      <c r="DU99" s="112"/>
      <c r="DV99" s="112" t="str">
        <f>HYPERLINK("https://www.bmbf.de/pub/Kausa_Elternbroschuere_arabisch.pdf","x")</f>
        <v>x</v>
      </c>
      <c r="DW99" s="112"/>
      <c r="DX99" s="112" t="str">
        <f>HYPERLINK("http://www.wissenschaft.nrw.de/studium/informieren/informationen-fuer-fluechtlinge-die-in-nrw-studieren-moechten/","x")</f>
        <v>x</v>
      </c>
      <c r="DY99" s="112" t="str">
        <f>HYPERLINK("http://www.bamf.de/SharedDocs/Anlagen/DE/Publikationen/Flyer/AnerkennungBerufsabschluss/berufliche_anerkennung_akademische-heilberufe_ar.pdf?__blob=publicationFile","x")</f>
        <v>x</v>
      </c>
      <c r="DZ99" s="112" t="str">
        <f>HYPERLINK("http://www.bamf.de/SharedDocs/Anlagen/DE/Publikationen/Flyer/AnerkennungBerufsabschluss/anerkennung-berufsabschluss_ar.pdf?__blob=publicationFile","x")</f>
        <v>x</v>
      </c>
      <c r="EA99" s="112" t="str">
        <f>HYPERLINK("http://www.bamf.de/SharedDocs/Anlagen/DE/Publikationen/Flyer/AnerkennungBerufsabschluss/anerkennung-berufsabschluss_ausland_ar.pdf?__blob=publicationFile","x")</f>
        <v>x</v>
      </c>
      <c r="EB99" s="112" t="str">
        <f>HYPERLINK("http://www.bamf.de/SharedDocs/Anlagen/DE/Publikationen/Broschueren/willkommen-in-deutschland-info-blaue-karte-eu_ar.pdf?__blob=publicationFile","x")</f>
        <v>x</v>
      </c>
      <c r="EC99" s="112" t="str">
        <f>HYPERLINK("http://www.bamf.de/SharedDocs/Anlagen/DE/Publikationen/Flyer/Berufsbezsprachf-ESF-BAMF/berufsbezsprachf-esf-bamf_ar.pdf?__blob=publicationFile","x")</f>
        <v>x</v>
      </c>
      <c r="ED99" s="111"/>
      <c r="EE99" s="111"/>
      <c r="EF99" s="111"/>
      <c r="EG99" s="111"/>
      <c r="EH99" s="111"/>
      <c r="EI99" s="111"/>
      <c r="EJ99" s="112"/>
      <c r="EK99" s="112" t="str">
        <f>HYPERLINK("http://fluechtlingsrat-bw.de/files/Dateien/Dokumente/Materialbestellung/2014-12-flyer%20arbeitserlaubnis%20AR%20WEB_final.pdf","x")</f>
        <v>x</v>
      </c>
      <c r="EL99" s="112" t="str">
        <f>HYPERLINK("http://www.aponet.de/arabisch/20151019-fuer-den-notfall-wichtige-rufnummern-im-ueberblick.html","x")</f>
        <v>x</v>
      </c>
      <c r="EM99" s="112" t="str">
        <f>HYPERLINK("http://www.kvs-sachsen.de/fileadmin/img/Mitglieder/Asylbewerber/Allg-Informationen/Anlage_1_Arabisch_LEK.pdf","x")</f>
        <v>x</v>
      </c>
      <c r="EN99" s="112" t="str">
        <f>HYPERLINK("http://www.medizin-hilft-fluechtlingen.de/images/Dokumente/gSch/gSch_arab.pdf","x")</f>
        <v>x</v>
      </c>
      <c r="EO99" s="112" t="str">
        <f>HYPERLINK("http://www.aponet.de/arabisch/20151016-medizinische-leistungen-fuer-asylbewerber.html","x")</f>
        <v>x</v>
      </c>
      <c r="EP99" s="117" t="str">
        <f t="shared" si="41"/>
        <v>x</v>
      </c>
      <c r="EQ99" s="117" t="str">
        <f>HYPERLINK("http://www.armut-gesundheit.de/fileadmin/redakteur/dokumente/Anamnesebogen%20-%20Arabischnew.pdf","x")</f>
        <v>x</v>
      </c>
      <c r="ER99" s="112" t="str">
        <f>HYPERLINK("http://www.kvs-sachsen.de/fileadmin/img/Mitglieder/Asylbewerber/Allg-Informationen/Anlagen_2-1_2-2_Arabisch_LEK.pdf","x")</f>
        <v>x</v>
      </c>
      <c r="ES99" s="112"/>
      <c r="ET99" s="112" t="str">
        <f>HYPERLINK("http://www.pharmazeutische-zeitung.de/fileadmin/pdf/Fragebogen_PZ_43_2015.pdf","x")</f>
        <v>x</v>
      </c>
      <c r="EU99" s="112" t="str">
        <f>HYPERLINK("http://www.medizin-hilft-fluechtlingen.de/images/Dokumente/ein/ein_arab.pdf","x")</f>
        <v>x</v>
      </c>
      <c r="EV99" s="112" t="str">
        <f>HYPERLINK("http://www.adler-apotheke-hh.de/fileadmin/user_upload/PDF-Dateien/Dosierzettel_mehrsprachig_AUF_0_.pdf","x")</f>
        <v>x</v>
      </c>
      <c r="EW99" s="112" t="str">
        <f t="shared" si="36"/>
        <v>x</v>
      </c>
      <c r="EX99" s="112" t="str">
        <f>HYPERLINK("http://www.rki.de/DE/Content/Infekt/IfSG/Belehrungsbogen/belehrungsbogen_eltern_arabisch.pdf?__blob=publicationFile","x")</f>
        <v>x</v>
      </c>
      <c r="EY99" s="112" t="str">
        <f>HYPERLINK("http://www.bzga.de/infomaterialien/?sid=236","x")</f>
        <v>x</v>
      </c>
      <c r="EZ99" s="112" t="str">
        <f>HYPERLINK("https://www.mh-hannover.de/fileadmin/mhh/bilder/aktuelles_presse/presseinformationen_news/150921_Pilz_Vergif_Arab_3.pdf","x")</f>
        <v>x</v>
      </c>
      <c r="FA99" s="112"/>
      <c r="FB99" s="112" t="str">
        <f>HYPERLINK("http://static.apotheken-umschau.de/media/gp/article_506373/bildwoerterbuch.pdf","x")</f>
        <v>x</v>
      </c>
      <c r="FC99" s="111"/>
      <c r="FD99" s="112" t="str">
        <f t="shared" si="37"/>
        <v>x</v>
      </c>
      <c r="FE99" s="112" t="str">
        <f t="shared" si="43"/>
        <v>x</v>
      </c>
      <c r="FF99" s="112" t="str">
        <f>HYPERLINK("http://www.fuhlenhagen.com/pdf_dateien/uebertzungshilfe_aerzte_mehrsprachig.pdf","x")</f>
        <v>x</v>
      </c>
      <c r="FG99" s="112" t="str">
        <f>HYPERLINK("http://www.tipdoc.de/grafik/asyl/Gesundheitsheft_Asyl.pdf","x")</f>
        <v>x</v>
      </c>
      <c r="FH99" s="111"/>
      <c r="FI99" s="111"/>
      <c r="FJ99" s="112" t="str">
        <f>HYPERLINK("http://www.bundesgesundheitsministerium.de/fileadmin/dateien/Publikationen/Gesundheit/Broschueren/Ratgeber_Asylsuchende/Ratgeber_Asylsuchende_arab.PDF","x")</f>
        <v>x</v>
      </c>
      <c r="FK99" s="112" t="str">
        <f>HYPERLINK("http://www.rki.de/DE/Content/Infekt/Impfen/Materialien/Downloads-Impfkalender/Impfkalender_Arabisch.pdf?__blob=publicationFile","x")</f>
        <v>x</v>
      </c>
      <c r="FL99" s="112" t="str">
        <f>HYPERLINK("http://www.ethno-medizinisches-zentrum.de/images/PDF-Files/impfwegweiser_arabbisch_2013_online.pdf","x")</f>
        <v>x</v>
      </c>
      <c r="FM99" s="112"/>
      <c r="FN99" s="112" t="str">
        <f>HYPERLINK("http://www.rki.de/DE/Content/Infekt/Impfen/Materialien/Glossar-Downloads/glossar-de-arabisch.pdf?__blob=publicationFile","x")</f>
        <v>x</v>
      </c>
      <c r="FO99" s="112"/>
      <c r="FP99" s="112" t="str">
        <f>HYPERLINK("http://www.rki.de/DE/Content/Infekt/Impfen/Materialien/Downloads-MMR/MMR-Impfinfo-arabisch.pdf?__blob=publicationFile","x")</f>
        <v>x</v>
      </c>
      <c r="FQ99" s="112" t="str">
        <f>HYPERLINK("http://www.rki.de/DE/Content/InfAZ/P/Polio/Ausbruch_Syrien/Informationsblatt_Polio_Arabisch.pdf?__blob=publicationFile","x")</f>
        <v>x</v>
      </c>
      <c r="FR99" s="112" t="str">
        <f>HYPERLINK("http://www.rki.de/DE/Content/Infekt/Impfen/Materialien/Downloads_HepA/Aufklaerung_HAV-Impfung_arabisch.pdf?__blob=publicationFile","x")</f>
        <v>x</v>
      </c>
      <c r="FS99" s="112" t="str">
        <f>HYPERLINK("http://www.rki.de/DE/Content/Infekt/Impfen/Materialien/Downloads_Pneumokokken/Aufklaerung_Pneumo-Impfung_Arabisch.pdf?__blob=publicationFile","x")</f>
        <v>x</v>
      </c>
      <c r="FT99" s="112" t="str">
        <f>HYPERLINK("http://www.rki.de/DE/Content/Infekt/Impfen/Materialien/Downloads-DTaPIPVHibHepB/DTaPIPVHibHepB_arabisch.pdf?__blob=publicationFile","x")</f>
        <v>x</v>
      </c>
      <c r="FU99" s="112" t="str">
        <f>HYPERLINK("http://www.rki.de/DE/Content/Infekt/Impfen/Materialien/Downloads-Varizellen/Varizellen-Impfinfo-arabisch.pdf;jsessionid=65B697F4EE7EDA8A1ED9E2C4CD6C74EC.2_cid363?__blob=publicationFile","x")</f>
        <v>x</v>
      </c>
      <c r="FV99" s="112" t="str">
        <f>HYPERLINK("http://www.rki.de/DE/Content/Infekt/Impfen/Materialien/Downloads-Tdap-IPV/Tdap-IPV-arabisch.pdf?__blob=publicationFile","x")</f>
        <v>x</v>
      </c>
      <c r="FW99" s="112" t="str">
        <f>HYPERLINK("http://www.rki.de/DE/Content/Infekt/Impfen/Materialien/Downloads-Influenza_nasal/Influenza_nasal-arabisch.pdf?__blob=publicationFile","x")</f>
        <v>x</v>
      </c>
      <c r="FX99" s="112" t="str">
        <f>HYPERLINK("http://www.medical-tribune.de/fileadmin/PDF/Arthrose_arabisch.pdf","x")</f>
        <v>x</v>
      </c>
      <c r="FY99" s="112" t="str">
        <f>HYPERLINK("http://www.medical-tribune.de/fileadmin/PDF/Asthma_arabisch.pdf","x")</f>
        <v>x</v>
      </c>
      <c r="FZ99" s="112" t="str">
        <f>HYPERLINK("http://www.medical-tribune.de/fileadmin/PDF/Bluthochdruck_arabisch.pdf","x")</f>
        <v>x</v>
      </c>
      <c r="GA99" s="112"/>
      <c r="GB99" s="112" t="str">
        <f>HYPERLINK("http://www.medical-tribune.de/fileadmin/PDF/COPD_arabisch.pdf","x")</f>
        <v>x</v>
      </c>
      <c r="GC99" s="112"/>
      <c r="GD99" s="112" t="str">
        <f>HYPERLINK("http://www.ethno-medizinisches-zentrum.de/images/PDF-Files/lf_diabete_arab.pdf","x")</f>
        <v>x</v>
      </c>
      <c r="GE99" s="112"/>
      <c r="GF99" s="112"/>
      <c r="GG99" s="112"/>
      <c r="GH99" s="112"/>
      <c r="GI99" s="112" t="str">
        <f>HYPERLINK("http://www.tipdoc.de/bus/pdf/hepatitis/Hep_B_Webseite.pdf","x")</f>
        <v>x</v>
      </c>
      <c r="GJ99" s="112" t="str">
        <f>HYPERLINK("http://www.tipdoc.de/bus/pdf/hepatitis/Hep_C_Webseite.pdf","x")</f>
        <v>x</v>
      </c>
      <c r="GK99" s="111"/>
      <c r="GL99" s="111"/>
      <c r="GM99" s="112" t="str">
        <f>HYPERLINK("http://www.rki.de/DE/Content/Infekt/Impfen/Materialien/Downloads-Influenza/Influenza-arabisch.pdf?__blob=publicationFile","x")</f>
        <v>x</v>
      </c>
      <c r="GN99" s="112"/>
      <c r="GO99" s="112" t="str">
        <f>HYPERLINK("http://www.aponet.de/arabisch/20151111-so-unterscheiden-sich-grippe-und-erkaeltung.html","x")</f>
        <v>x</v>
      </c>
      <c r="GP99" s="112" t="str">
        <f>HYPERLINK("http://www.tipdoc.de/grafik/pdf/kopflaeuse/Kopflaeuse_ARAB.pdf","x")</f>
        <v>x</v>
      </c>
      <c r="GQ99" s="112"/>
      <c r="GR99" s="112" t="str">
        <f>HYPERLINK("http://www.tipdoc.com/bus/pdf/kraetze/tipdoc_Scabies_ARAB.pdf","x")</f>
        <v>x</v>
      </c>
      <c r="GS99" s="112" t="str">
        <f>HYPERLINK("http://www.tipdoc.com/bus/pdf/MagenDarmHaende/MagenDarmHaende_Arab.pdf","x")</f>
        <v>x</v>
      </c>
      <c r="GT99" s="112"/>
      <c r="GU99" s="112" t="str">
        <f>HYPERLINK("http://www.medical-tribune.de/fileadmin/PDF/Rueckenschmerzen_arabisch.pdf","x")</f>
        <v>x</v>
      </c>
      <c r="GV99" s="112"/>
      <c r="GW99" s="112"/>
      <c r="GX99" s="112" t="str">
        <f>HYPERLINK("http://www.medical-tribune.de/fileadmin/PDF/Schwindel_arabisch.pdf","x")</f>
        <v>x</v>
      </c>
      <c r="GY99" s="112"/>
      <c r="GZ99" s="112"/>
      <c r="HA99" s="112"/>
      <c r="HB99" s="112"/>
      <c r="HC99" s="112" t="str">
        <f t="shared" si="38"/>
        <v>x</v>
      </c>
      <c r="HD99" s="112" t="str">
        <f>HYPERLINK("https://www.zahnaerzte-wl.de/images/_PDF-suche/KZV_ZÄK/ENDSTAND_Ankreuzbogen_Ich_verstehe.pdf","x")</f>
        <v>x</v>
      </c>
      <c r="HE99" s="112" t="str">
        <f>HYPERLINK("https://www.zahnaerzte-wl.de/images/_PDF-suche/KZV_ZÄK/Anschreiben_Patienten_arabisch.pdf","x")</f>
        <v>x</v>
      </c>
      <c r="HF99" s="112" t="str">
        <f>HYPERLINK("https://www.zahnaerzte-wl.de/images/_PDF-suche/KZV_ZÄK/Fragebogen_arabisch.pdf","x")</f>
        <v>x</v>
      </c>
      <c r="HG99" s="112" t="str">
        <f>HYPERLINK("https://www.zahnaerzte-wl.de/images/_PDF-suche/KZV_ZÄK/Patientenerhebungsbogen_arabisch.pdf","x")</f>
        <v>x</v>
      </c>
      <c r="HH99" s="112"/>
      <c r="HI99" s="112"/>
      <c r="HJ99" s="112" t="str">
        <f>HYPERLINK("http://www.ibbc-berlin.de/media/Bro_de-arab.pdf","x")</f>
        <v>x</v>
      </c>
      <c r="HK99" s="112"/>
      <c r="HL99" s="112" t="str">
        <f>HYPERLINK("http://www.ethno-medizinisches-zentrum.de/images/PDF-Files/lf_depression__arab.pdf","x")</f>
        <v>x</v>
      </c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 t="str">
        <f>HYPERLINK("http://www.bkk-psychisch-gesund.de/fileadmin/user_upload/Dokumente/Versicherte/Broschueren/Wegweiser_Psychotherapie_arabisch.pdf","x")</f>
        <v>x</v>
      </c>
      <c r="HY99" s="112" t="str">
        <f t="shared" si="39"/>
        <v>x</v>
      </c>
      <c r="HZ99" s="112" t="str">
        <f t="shared" si="40"/>
        <v>x</v>
      </c>
      <c r="IA99" s="112"/>
      <c r="IB99" s="112"/>
      <c r="IC99" s="112"/>
      <c r="ID99" s="112" t="str">
        <f>HYPERLINK("http://www.susannestein.de/VIA-online/trauma-bilderbuch-arabisch.pdf","x")</f>
        <v>x</v>
      </c>
      <c r="IE99" s="112"/>
      <c r="IF99" s="112"/>
      <c r="IG99" s="112"/>
      <c r="IH99" s="111"/>
      <c r="II99" s="112"/>
      <c r="IJ99" s="112"/>
      <c r="IK99" s="112" t="str">
        <f>HYPERLINK("http://www.bamf.de/SharedDocs/Anlagen/DE/Publikationen/Flyer/Lassen-Sie-Sich-Beraten/lassen-sie-sich-beraten_ar.pdf?__blob=publicationFile","x")</f>
        <v>x</v>
      </c>
      <c r="IL99" s="112" t="str">
        <f>HYPERLINK("http://www.bamf.de/SharedDocs/Anlagen/DE/Publikationen/Flyer/flyer-erstorientierung-asylsuchende_arabisch.pdf?__blob=publicationFile","x")</f>
        <v>x</v>
      </c>
      <c r="IM99" s="111"/>
      <c r="IN99" s="112" t="str">
        <f>HYPERLINK("https://www.bamf.de/SharedDocs/Anlagen/DE/Publikationen/Broschueren/willkommen-in-deutschland_ar.pdf?__blob=publicationFile","x")</f>
        <v>x</v>
      </c>
      <c r="IO99" s="112"/>
      <c r="IP99" s="111"/>
      <c r="IQ99" s="112" t="str">
        <f>HYPERLINK("http://www.bamf.de/SharedDocs/Anlagen/DE/Publikationen/Flyer/Lernen-Sie-Deutsch/lernen-sie-deutsch_ar.pdf?__blob=publicationFile","x")</f>
        <v>x</v>
      </c>
      <c r="IR99" s="112" t="str">
        <f>HYPERLINK("http://www.asyl.net/fileadmin/user_upload/redaktion/Dokumente/Arbeitshilfen/150910_Wie_l%C3%A4uft_ein_Asylverfahren_ab_%C3%9Cberblickstext_Arabisch.pdf","x")</f>
        <v>x</v>
      </c>
      <c r="IS99" s="111"/>
      <c r="IT99" s="111"/>
      <c r="IU99" s="111"/>
      <c r="IV99" s="112" t="str">
        <f>HYPERLINK("http://www.asyl.net/fileadmin/user_upload/infoblatt_anhoerung/Infoblatt_2015_ar_fin.pdf","x")</f>
        <v>x</v>
      </c>
      <c r="IW99" s="112" t="str">
        <f>HYPERLINK("http://efi-landsberg.de/asyl/wp-content/uploads/2014/04/Merkblatt-Asylbewerber-Fluechtlinge.pdf","x")</f>
        <v>x</v>
      </c>
      <c r="IX99" s="112"/>
      <c r="IY99" s="112" t="str">
        <f>HYPERLINK("http://www.bamf.de/SharedDocs/Anlagen/DE/Publikationen/Broschueren/broschuere-eat-a4-ar-arabisch.pdf?__blob=publicationFile","x")</f>
        <v>x</v>
      </c>
      <c r="IZ99" s="111"/>
      <c r="JA99" s="112" t="str">
        <f>HYPERLINK("http://fluechtlingsrat-bw.de/informationen-fuer-fluechtlinge.html","x")</f>
        <v>x</v>
      </c>
      <c r="JB99" s="111"/>
      <c r="JC99" s="112"/>
      <c r="JD99" s="111"/>
      <c r="JE99" s="112"/>
      <c r="JF99" s="112"/>
      <c r="JG99" s="112" t="str">
        <f>HYPERLINK("http://www.bamf.de/SharedDocs/Anlagen/DE/Publikationen/Flyer/Ehegattennachzug/ehegattennachzug-ar.pdf?__blob=publicationFile","x")</f>
        <v>x</v>
      </c>
      <c r="JH99" s="112" t="str">
        <f>HYPERLINK("https://familyreunion-syria.diplo.de/webportal/index.html#start","x")</f>
        <v>x</v>
      </c>
      <c r="JI99" s="111"/>
      <c r="JJ99" s="112"/>
      <c r="JK99" s="112" t="str">
        <f>HYPERLINK("https://www.arbeitsagentur.de/web/wcm/idc/groups/public/documents/webdatei/mdaw/mjgz/~edisp/l6019022dstbai784629.pdf?_ba.sid=L6019022DSTBAI788745","x")</f>
        <v>x</v>
      </c>
      <c r="JL99" s="112" t="str">
        <f>HYPERLINK("http://www.kub-berlin.org/formularprojekt/de/arabisch-antraege-und-anlagen/","x")</f>
        <v>x</v>
      </c>
      <c r="JM99" s="112" t="str">
        <f>HYPERLINK("https://www.arbeitsagentur.de/web/content/DE/Formulare/Detail/index.htm?dfContentId=L6019022DSTBAI485740","x")</f>
        <v>x</v>
      </c>
      <c r="JN99" s="112"/>
      <c r="JO99" s="112"/>
      <c r="JP99" s="112"/>
      <c r="JQ99" s="112"/>
      <c r="JR99" s="112" t="str">
        <f t="shared" si="44"/>
        <v>x</v>
      </c>
      <c r="JS99" s="112"/>
      <c r="JT99" s="112" t="str">
        <f>HYPERLINK("http://www.b-umf.de/images/willkommen/willkommensbroschurearabisch-web.pdf","x")</f>
        <v>x</v>
      </c>
      <c r="JU99" s="111"/>
      <c r="JV99" s="111"/>
      <c r="JW99" s="112"/>
      <c r="JX99" s="112"/>
      <c r="JY99" s="112"/>
      <c r="JZ99" s="112"/>
      <c r="KA99" s="112" t="str">
        <f>HYPERLINK("http://www.kas.de/wf/de/33.43117/","x")</f>
        <v>x</v>
      </c>
      <c r="KB99" s="112" t="str">
        <f>HYPERLINK("http://www.refugeeguide.de/dl/RefugeeGuide_ar_930.pdf","x")</f>
        <v>x</v>
      </c>
      <c r="KC99" s="112" t="str">
        <f>HYPERLINK("http://www.bpb.de/shop/buecher/grundgesetz/215136/grundgesetz-auf-arabisch","x")</f>
        <v>x</v>
      </c>
      <c r="KD99" s="112" t="str">
        <f>HYPERLINK("http://www.wedel.de/fileadmin/user_upload/media/pdf/Rathaus_und_Politik/20160118_PM_Broschuere.pdf","x")</f>
        <v>x</v>
      </c>
      <c r="KE99" s="112" t="str">
        <f>HYPERLINK("http://www.frauenrechte.de/online/images/downloads/allgemein/TDF_Flyer_Women_Men.pdf","x")</f>
        <v>x</v>
      </c>
      <c r="KF99" s="112" t="str">
        <f>HYPERLINK("http://sab.landtag.sachsen.de/dokumente/landtagskurier/Grundwerte-A5-international_web_08012016.pdf","x")</f>
        <v>x</v>
      </c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2"/>
      <c r="LC99" s="111"/>
      <c r="LD99" s="111"/>
      <c r="LE99" s="111"/>
      <c r="LF99" s="111"/>
      <c r="LG99" s="112"/>
      <c r="LH99" s="111"/>
      <c r="LI99" s="111"/>
      <c r="LJ99" s="111"/>
      <c r="LK99" s="111"/>
      <c r="LL99" s="111"/>
      <c r="LM99" s="111"/>
      <c r="LN99" s="111"/>
      <c r="LO99" s="111"/>
      <c r="LP99" s="111"/>
      <c r="LQ99" s="111"/>
      <c r="LR99" s="111"/>
      <c r="LS99" s="111"/>
      <c r="LT99" s="112"/>
      <c r="LU99" s="111"/>
      <c r="LV99" s="111"/>
      <c r="LW99" s="111"/>
      <c r="LX99" s="111"/>
      <c r="LY99" s="111"/>
      <c r="LZ99" s="112" t="str">
        <f>HYPERLINK("http://www.bjf.info/projekte/cinemanya","x")</f>
        <v>x</v>
      </c>
      <c r="MA99" s="111"/>
      <c r="MB99" s="111"/>
      <c r="MC99" s="111"/>
      <c r="MD99" s="112" t="str">
        <f>HYPERLINK("http://www.rki.de/DE/Content/Infekt/IfSG/Belehrungsbogen/belehrungsbogen_lebensmittel_arabisch.pdf?__blob=publicationFile","x")</f>
        <v>x</v>
      </c>
      <c r="ME99" s="111"/>
      <c r="MF99" s="112" t="str">
        <f>HYPERLINK("http://www.gdv.de/wp-content/uploads/2016/01/Information_Brandschutz_Fluechtlingsheim_-Sicherheit_mehrsprachig.pdf","x")</f>
        <v>x</v>
      </c>
      <c r="MG99" s="112" t="str">
        <f>HYPERLINK("http://www.gdv.de/wp-content/uploads/2016/01/Information_Verhalten-im-Brandfall_mehrsprachig.pdf","x")</f>
        <v>x</v>
      </c>
      <c r="MH99" s="112" t="str">
        <f>HYPERLINK("http://www.aha-region.de/fileadmin/Download/pdf/aha_Plakat_Muelltrennung_ar.pdf","x")</f>
        <v>x</v>
      </c>
      <c r="MI99" s="112" t="str">
        <f>HYPERLINK("http://www.kindersicherheit.de/pdf/2012_poster_achtunggiftig_8sprachig.pdf","x")</f>
        <v>x</v>
      </c>
    </row>
    <row r="100" spans="1:347" x14ac:dyDescent="0.25">
      <c r="A100" s="102" t="s">
        <v>403</v>
      </c>
      <c r="B100" s="127" t="s">
        <v>5</v>
      </c>
      <c r="C100" s="102"/>
      <c r="D100" s="102"/>
      <c r="E100" s="102"/>
      <c r="F100" s="102"/>
      <c r="G100" s="102"/>
      <c r="H100" s="102"/>
      <c r="I100" s="102"/>
      <c r="J100" s="102"/>
      <c r="K100" s="103"/>
      <c r="L100" s="111"/>
      <c r="M100" s="111"/>
      <c r="N100" s="111"/>
      <c r="O100" s="111"/>
      <c r="P100" s="112" t="str">
        <f>HYPERLINK("http://www.awb-ahrweiler.de/admin/data/ddownload/Abfall%20Sonderhinweise-Franzoesisch%202015.pdf","x")</f>
        <v>x</v>
      </c>
      <c r="Q100" s="111"/>
      <c r="R100" s="111"/>
      <c r="S100" s="111"/>
      <c r="T100" s="111"/>
      <c r="U100" s="112" t="str">
        <f>HYPERLINK("http://www.ag-fluechtlingshilfe-wetterau.de/uploads/infos/191.pdf","x")</f>
        <v>x</v>
      </c>
      <c r="V100" s="112"/>
      <c r="W100" s="112"/>
      <c r="X100" s="111"/>
      <c r="Y100" s="112"/>
      <c r="Z100" s="112"/>
      <c r="AA100" s="112"/>
      <c r="AB100" s="112"/>
      <c r="AC100" s="112"/>
      <c r="AD100" s="112" t="str">
        <f>HYPERLINK("http://www.rundfunkbeitrag.de/e175/e1632/Informationsflyer_Buergerinnen_und_Buerger_franzoesisch.pdf","x")</f>
        <v>x</v>
      </c>
      <c r="AE100" s="112"/>
      <c r="AF100" s="112" t="str">
        <f>HYPERLINK("http://www.kub-berlin.org/formularprojekt/franzoesisch-antraege-und-anlagen-uebersetzungshilfen/","x")</f>
        <v>x</v>
      </c>
      <c r="AG100" s="112" t="str">
        <f>HYPERLINK("http://asyl-in-moenchengladbach.de/wp-content/uploads/2015/11/100711-Flyer_FR.pdf","x")</f>
        <v>x</v>
      </c>
      <c r="AH100" s="112" t="str">
        <f>HYPERLINK("http://sghanstedt.elbnetz.com/ueber-uns/","x")</f>
        <v>x</v>
      </c>
      <c r="AI100" s="111"/>
      <c r="AJ100" s="111"/>
      <c r="AK100" s="112" t="str">
        <f>HYPERLINK("https://www.vrsinfo.de/fileadmin/Dateien/downloadcenter/Folder_MobilPassTicket_Refugees01012016.pdf","x")</f>
        <v>x</v>
      </c>
      <c r="AL100" s="112" t="str">
        <f>HYPERLINK("https://www.vrsinfo.de/fileadmin/Dateien/downloadcenter/Willkommen_im_VRS2016_Druck.pdf","x")</f>
        <v>x</v>
      </c>
      <c r="AM100" s="112"/>
      <c r="AN100" s="112" t="str">
        <f>HYPERLINK("https://www.deutschebahn.com/file/de/2191748/eYdgZpqGpp5sMJ2KMKtg2r8aE4Q/10123812/data/infos_fuer_fluechtlinge.pdf","x")</f>
        <v>x</v>
      </c>
      <c r="AO100" s="112"/>
      <c r="AP100" s="112"/>
      <c r="AQ100" s="112"/>
      <c r="AR100" s="112"/>
      <c r="AS100" s="112"/>
      <c r="AT100" s="112"/>
      <c r="AU100" s="112"/>
      <c r="AV100" s="114" t="str">
        <f>HYPERLINK("http://www.studentenwerke.de/de/content/illustriertes-wohnheimw%C3%B6rterbuch-1","x")</f>
        <v>x</v>
      </c>
      <c r="AW100" s="114" t="str">
        <f t="shared" si="22"/>
        <v>x</v>
      </c>
      <c r="AX100" s="114" t="str">
        <f t="shared" si="23"/>
        <v>x</v>
      </c>
      <c r="AY100" s="111"/>
      <c r="AZ100" s="111"/>
      <c r="BA100" s="112" t="str">
        <f t="shared" si="24"/>
        <v>x</v>
      </c>
      <c r="BB100" s="112" t="str">
        <f t="shared" si="25"/>
        <v>x</v>
      </c>
      <c r="BC100" s="111"/>
      <c r="BD100" s="111"/>
      <c r="BE100" s="111"/>
      <c r="BF100" s="112" t="str">
        <f>HYPERLINK("http://fi-lohmar-siegburg.de/data/documents/communicationboard-arabic-french.pdf","x")</f>
        <v>x</v>
      </c>
      <c r="BG100" s="111"/>
      <c r="BH100" s="112" t="str">
        <f>HYPERLINK("http://www.refugeephrasebook.de/pdf/germany150920.pdf","x")</f>
        <v>x</v>
      </c>
      <c r="BI100" s="112" t="str">
        <f>HYPERLINK("https://www.advanced-online.eu/downloads/RefugeePhrasebookCards_German-French.pdf","x")</f>
        <v>x</v>
      </c>
      <c r="BJ100" s="112" t="str">
        <f>HYPERLINK("http://www.klett-sprachen.de/download/8638/W100255_Refugees_Welcome_Wortschatz.pdf","x")</f>
        <v>x</v>
      </c>
      <c r="BK100" s="111"/>
      <c r="BL100" s="112" t="str">
        <f>HYPERLINK("http://www.bundessprachenamt.de/deutsch/wir_ueber_uns/nachrichten/2015/20151103/Verständigungshilfe_Französisch_26_11_2015.pdf","x")</f>
        <v>x</v>
      </c>
      <c r="BM100" s="111"/>
      <c r="BN100" s="111"/>
      <c r="BO100" s="111"/>
      <c r="BP100" s="111"/>
      <c r="BQ100" s="111"/>
      <c r="BR100" s="111"/>
      <c r="BS100" s="112" t="str">
        <f t="shared" si="26"/>
        <v>x</v>
      </c>
      <c r="BT100" s="112"/>
      <c r="BU100" s="111"/>
      <c r="BV100" s="112" t="str">
        <f t="shared" si="27"/>
        <v>x</v>
      </c>
      <c r="BW100" s="112" t="str">
        <f>HYPERLINK("http://www.welcomegrooves.de/wp-content/uploads/2015/11/welcomegrooves-de-franzoesisch.pdf","x")</f>
        <v>x</v>
      </c>
      <c r="BX100" s="112"/>
      <c r="BY100" s="112"/>
      <c r="BZ100" s="112" t="str">
        <f>HYPERLINK("http://fluechtlingshilfe-nettetal.de/ausbildung/video-sprachkurse-deutsch-fuer-fluechtlinge/video-sprachkurs-franzoesisch-deutsch/","x")</f>
        <v>x</v>
      </c>
      <c r="CA100" s="112" t="str">
        <f t="shared" si="28"/>
        <v>x</v>
      </c>
      <c r="CB100" s="112" t="str">
        <f t="shared" si="29"/>
        <v>x</v>
      </c>
      <c r="CC100" s="112" t="str">
        <f t="shared" si="30"/>
        <v>x</v>
      </c>
      <c r="CD100" s="112"/>
      <c r="CE100" s="112"/>
      <c r="CF100" s="111"/>
      <c r="CG100" s="111"/>
      <c r="CH100" s="112" t="str">
        <f>HYPERLINK("http://mifkjf.rlp.de/fileadmin/mifkjf/Frauen/Gewalt_gegen_Frauen/Downloads/Broschueren_Flyer/Flyer_Gewalt_franzoesisch.pdf","x")</f>
        <v>x</v>
      </c>
      <c r="CI100" s="112" t="str">
        <f>HYPERLINK("https://www.hilfetelefon.de/fileadmin/hilfetelefon_de/Materialien/Flyer/Infoflyer_Hilfetelefon_Gewalt_gegen_Frauen141105_b2.pdf","x")</f>
        <v>x</v>
      </c>
      <c r="CJ100" s="112" t="str">
        <f t="shared" si="42"/>
        <v>x</v>
      </c>
      <c r="CK100" s="112" t="str">
        <f t="shared" si="31"/>
        <v>x</v>
      </c>
      <c r="CL100" s="112"/>
      <c r="CM100" s="112"/>
      <c r="CN100" s="112"/>
      <c r="CO100" s="112"/>
      <c r="CP100" s="112" t="str">
        <f>HYPERLINK("http://www.schwanger-und-viele-fragen.de/fr/","x")</f>
        <v>x</v>
      </c>
      <c r="CQ100" s="112"/>
      <c r="CR100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00" s="112" t="str">
        <f>HYPERLINK("http://en.beststart.org/for_parents/are-you-looking-resources-languages-other-english-and-french","x")</f>
        <v>x</v>
      </c>
      <c r="CT100" s="112"/>
      <c r="CU100" s="112" t="str">
        <f>HYPERLINK("http://www.profamilia.de/fileadmin/publikationen/Erwachsene/mehrsprachig/Bro_Verhuetung_frz_141002.pdf","x")</f>
        <v>x</v>
      </c>
      <c r="CV100" s="112"/>
      <c r="CW100" s="112"/>
      <c r="CX100" s="112"/>
      <c r="CY100" s="112" t="str">
        <f>HYPERLINK("http://www.caritas-schwarzwald-alb-donau.de/68854.html","x")</f>
        <v>x</v>
      </c>
      <c r="CZ100" s="112"/>
      <c r="DA100" s="112"/>
      <c r="DB100" s="112"/>
      <c r="DC100" s="115" t="str">
        <f>HYPERLINK("http://www.kindersicherheit.de/pdf/2013_BAG_Tomi_and_Mila_Deutsch_Francais.pdf","x")</f>
        <v>x</v>
      </c>
      <c r="DD100" s="112"/>
      <c r="DE100" s="112"/>
      <c r="DF100" s="112" t="str">
        <f t="shared" si="32"/>
        <v>x</v>
      </c>
      <c r="DG100" s="115" t="str">
        <f t="shared" si="33"/>
        <v>x</v>
      </c>
      <c r="DH100" s="112" t="str">
        <f t="shared" si="34"/>
        <v>x</v>
      </c>
      <c r="DI100" s="112" t="str">
        <f t="shared" si="35"/>
        <v>x</v>
      </c>
      <c r="DJ100" s="112"/>
      <c r="DK100" s="112"/>
      <c r="DL100" s="112"/>
      <c r="DM100" s="112"/>
      <c r="DN100" s="112"/>
      <c r="DO100" s="112"/>
      <c r="DP100" s="111"/>
      <c r="DQ100" s="111"/>
      <c r="DR100" s="112" t="str">
        <f>HYPERLINK("https://broschueren.nordrheinwestfalendirekt.de/broschuerenservice/msw/fr-das-schulsystem-in-nordrhein-westfalen-einfach-und-schnell-erklaert/1903","x")</f>
        <v>x</v>
      </c>
      <c r="DS100" s="112" t="str">
        <f>HYPERLINK("http://bildung.koeln.de/materialbibliothek/download.php?idx=6f75d59e17e7868506c0a48e6f7a44f2","x")</f>
        <v>x</v>
      </c>
      <c r="DT100" s="112" t="str">
        <f>HYPERLINK("http://bildung.koeln.de/materialbibliothek/download.php?idx=bde72be3f1bc4c51a4b0bcfe4a4187c4","x")</f>
        <v>x</v>
      </c>
      <c r="DU100" s="112"/>
      <c r="DV100" s="112" t="str">
        <f>HYPERLINK("https://www.bmbf.de/pub/KAUSA_Elternratgeber_deutsch_franzoesisch.pdf","x")</f>
        <v>x</v>
      </c>
      <c r="DW100" s="111"/>
      <c r="DX100" s="112" t="str">
        <f>HYPERLINK("http://www.wissenschaft.nrw.de/studium/informieren/informationen-fuer-fluechtlinge-die-in-nrw-studieren-moechten/","x")</f>
        <v>x</v>
      </c>
      <c r="DY100" s="111"/>
      <c r="DZ100" s="112" t="str">
        <f>HYPERLINK("http://www.bamf.de/SharedDocs/Anlagen/DE/Publikationen/Flyer/AnerkennungBerufsabschluss/anerkennung-berufsabschluss_fr.pdf?__blob=publicationFile","x")</f>
        <v>x</v>
      </c>
      <c r="EA100" s="112" t="str">
        <f>HYPERLINK("http://www.bamf.de/SharedDocs/Anlagen/DE/Publikationen/Flyer/AnerkennungBerufsabschluss/anerkennung-berufsabschluss_ausland_fr.pdf?__blob=publicationFile","x")</f>
        <v>x</v>
      </c>
      <c r="EB100" s="112" t="str">
        <f>HYPERLINK("http://www.bamf.de/SharedDocs/Anlagen/DE/Publikationen/Broschueren/willkommen-in-deutschland-info-blaue-karte-eu_fr.pdf?__blob=publicationFile","x")</f>
        <v>x</v>
      </c>
      <c r="EC100" s="112" t="str">
        <f>HYPERLINK("http://www.bamf.de/SharedDocs/Anlagen/DE/Publikationen/Flyer/Berufsbezsprachf-ESF-BAMF/berufsbezsprachf-esf-bamf_fr.pdf?__blob=publicationFile","x")</f>
        <v>x</v>
      </c>
      <c r="ED100" s="111"/>
      <c r="EE100" s="111"/>
      <c r="EF100" s="111"/>
      <c r="EG100" s="111"/>
      <c r="EH100" s="111"/>
      <c r="EI100" s="111"/>
      <c r="EJ100" s="112"/>
      <c r="EK100" s="112" t="str">
        <f>HYPERLINK("http://fluechtlingsrat-bw.de/files/Dateien/Dokumente/Materialbestellung/2014-12-flyer%20arbeitserlaubnis%20FRZ%20WEB.pdf","x")</f>
        <v>x</v>
      </c>
      <c r="EL100" s="111"/>
      <c r="EM100" s="112" t="str">
        <f>HYPERLINK("http://www.kvs-sachsen.de/fileadmin/img/Mitglieder/Asylbewerber/Allg-Informationen/Anlage_1_Franzoesisch_LEK.pdf","x")</f>
        <v>x</v>
      </c>
      <c r="EN100" s="112" t="str">
        <f>HYPERLINK("http://www.medizin-hilft-fluechtlingen.de/images/Dokumente/gSch/gSch_fra.pdf","x")</f>
        <v>x</v>
      </c>
      <c r="EO100" s="112"/>
      <c r="EP100" s="117" t="str">
        <f t="shared" si="41"/>
        <v>x</v>
      </c>
      <c r="EQ100" s="117" t="str">
        <f>HYPERLINK("http://www.armut-gesundheit.de/fileadmin/redakteur/dokumente/Anamnesebogen%20-%20franz%C3%B6sischnew.pdf","x")</f>
        <v>x</v>
      </c>
      <c r="ER100" s="112" t="str">
        <f>HYPERLINK("http://www.kvs-sachsen.de/fileadmin/img/Mitglieder/Asylbewerber/Allg-Informationen/Anlagen_2-1_2-2_Franzoesisch_LEK.pdf","x")</f>
        <v>x</v>
      </c>
      <c r="ES100" s="111"/>
      <c r="ET100" s="111"/>
      <c r="EU100" s="112" t="str">
        <f>HYPERLINK("http://medizin-hilft-fluechtlingen.de/images/Dokumente/ein/ein_per.pdf","x")</f>
        <v>x</v>
      </c>
      <c r="EV100" s="112" t="str">
        <f>HYPERLINK("http://www.adler-apotheke-hh.de/fileadmin/user_upload/PDF-Dateien/Dosierzettel_mehrsprachig_AUF_0_.pdf","x")</f>
        <v>x</v>
      </c>
      <c r="EW100" s="112" t="str">
        <f t="shared" si="36"/>
        <v>x</v>
      </c>
      <c r="EX100" s="112" t="str">
        <f>HYPERLINK("http://www.rki.de/DE/Content/Infekt/IfSG/Belehrungsbogen/belehrungsbogen_eltern_franzoesisch.pdf?__blob=publicationFile","x")</f>
        <v>x</v>
      </c>
      <c r="EY100" s="111"/>
      <c r="EZ100" s="112" t="str">
        <f>HYPERLINK("https://www.mh-hannover.de/fileadmin/mhh/bilder/aktuelles_presse/pressestelle/bilder/Pilzvergif_franzoesisch.pdf","x")</f>
        <v>x</v>
      </c>
      <c r="FA100" s="112"/>
      <c r="FB100" s="112" t="str">
        <f>HYPERLINK("http://static.apotheken-umschau.de/media/gp/article_506373/bildwoerterbuch.pdf","x")</f>
        <v>x</v>
      </c>
      <c r="FC100" s="111"/>
      <c r="FD100" s="112" t="str">
        <f t="shared" si="37"/>
        <v>x</v>
      </c>
      <c r="FE100" s="112" t="str">
        <f t="shared" si="43"/>
        <v>x</v>
      </c>
      <c r="FF100" s="111"/>
      <c r="FG100" s="112" t="str">
        <f>HYPERLINK("http://www.tipdoc.de/grafik/asyl/Gesundheitsheft_Asyl.pdf","x")</f>
        <v>x</v>
      </c>
      <c r="FH100" s="111"/>
      <c r="FI100" s="111"/>
      <c r="FJ100" s="112"/>
      <c r="FK100" s="112" t="str">
        <f>HYPERLINK("http://www.rki.de/DE/Content/Infekt/Impfen/Materialien/Downloads-Impfkalender/Impfkalender_Franzoesisch.pdf?__blob=publicationFile","x")</f>
        <v>x</v>
      </c>
      <c r="FL100" s="112" t="str">
        <f>HYPERLINK("http://www.ethno-medizinisches-zentrum.de/images/PDF-Files/impfwegweiser_franzosisch_2013_online.pdf","x")</f>
        <v>x</v>
      </c>
      <c r="FM100" s="112"/>
      <c r="FN100" s="112" t="str">
        <f>HYPERLINK("http://www.rki.de/DE/Content/Infekt/Impfen/Materialien/Glossar-Downloads/glossar-de-franzoesisch.pdf?__blob=publicationFile","x")</f>
        <v>x</v>
      </c>
      <c r="FO100" s="112" t="str">
        <f>HYPERLINK("http://www.euro.who.int/__data/assets/pdf_file/0012/162300/VPD-Signs,-symptoms-and-complications-FRE.pdf","x")</f>
        <v>x</v>
      </c>
      <c r="FP100" s="112" t="str">
        <f>HYPERLINK("http://www.rki.de/DE/Content/Infekt/Impfen/Materialien/Downloads-MMR/MMR-Impfinfo-franzoesisch.pdf?__blob=publicationFile","x")</f>
        <v>x</v>
      </c>
      <c r="FQ100" s="112" t="str">
        <f>HYPERLINK("http://www.rki.de/DE/Content/InfAZ/P/Polio/Ausbruch_Syrien/Informationsblatt_Polio_Franzoesisch.pdf?__blob=publicationFile","x")</f>
        <v>x</v>
      </c>
      <c r="FR100" s="112" t="str">
        <f>HYPERLINK("http://www.rki.de/DE/Content/Infekt/Impfen/Materialien/Downloads_HepA/Aufklaerung_HAV-Impfung_Franzoesisch.pdf?__blob=publicationFile","x")</f>
        <v>x</v>
      </c>
      <c r="FS100" s="112" t="str">
        <f>HYPERLINK("http://www.rki.de/DE/Content/Infekt/Impfen/Materialien/Downloads_Pneumokokken/Aufklaerung_Pneumo-Impfung_Franzoesisch.pdf?__blob=publicationFile","x")</f>
        <v>x</v>
      </c>
      <c r="FT100" s="112" t="str">
        <f>HYPERLINK("http://www.rki.de/DE/Content/Infekt/Impfen/Materialien/Downloads-DTaPIPVHibHepB/DTaPIPVHibHepB-franzoesisch.pdf?__blob=publicationFile","x")</f>
        <v>x</v>
      </c>
      <c r="FU100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00" s="112" t="str">
        <f>HYPERLINK("http://www.rki.de/DE/Content/Infekt/Impfen/Materialien/Downloads-Tdap-IPV/Tdap-IPV-franzoesisch.pdf?__blob=publicationFile","x")</f>
        <v>x</v>
      </c>
      <c r="FW100" s="112" t="str">
        <f>HYPERLINK("http://www.rki.de/DE/Content/Infekt/Impfen/Materialien/Downloads-Influenza_nasal/Influenza_nasal-franzoesisch.pdf?__blob=publicationFile","x")</f>
        <v>x</v>
      </c>
      <c r="FX100" s="111"/>
      <c r="FY100" s="112"/>
      <c r="FZ100" s="112"/>
      <c r="GA100" s="111"/>
      <c r="GB100" s="111"/>
      <c r="GC100" s="111"/>
      <c r="GD100" s="112" t="str">
        <f>HYPERLINK("http://www.ethno-medizinisches-zentrum.de/images/PDF-Files/lf_diabete_franzosisch.pdf","x")</f>
        <v>x</v>
      </c>
      <c r="GE100" s="111"/>
      <c r="GF100" s="111"/>
      <c r="GG100" s="111"/>
      <c r="GH100" s="112"/>
      <c r="GI100" s="111"/>
      <c r="GJ100" s="111"/>
      <c r="GK100" s="112" t="str">
        <f>HYPERLINK("http://www.tipdoc.de/bus/pdf/hiv/HIV%20SRF_Webseite.pdf","x")</f>
        <v>x</v>
      </c>
      <c r="GL100" s="111"/>
      <c r="GM100" s="112" t="str">
        <f>HYPERLINK("http://www.rki.de/DE/Content/Infekt/Impfen/Materialien/Downloads-Influenza/Influenza-franzoesisch.pdf?__blob=publicationFile","x")</f>
        <v>x</v>
      </c>
      <c r="GN100" s="111"/>
      <c r="GO100" s="111"/>
      <c r="GP100" s="112" t="str">
        <f>HYPERLINK("http://www.tipdoc.de/grafik/pdf/kopflaeuse/Kopflaeuse_FRANZ.pdf","x")</f>
        <v>x</v>
      </c>
      <c r="GQ100" s="112"/>
      <c r="GR100" s="112" t="str">
        <f>HYPERLINK("http://www.tipdoc.com/bus/pdf/kraetze/tipdoc_Scabies_FRANZ.pdf","x")</f>
        <v>x</v>
      </c>
      <c r="GS100" s="112" t="str">
        <f>HYPERLINK("http://www.tipdoc.com/bus/pdf/MagenDarmHaende/MagenDarmHaende_FRANZ.pdf","x")</f>
        <v>x</v>
      </c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2" t="str">
        <f t="shared" si="38"/>
        <v>x</v>
      </c>
      <c r="HD100" s="112" t="str">
        <f>HYPERLINK("https://www.zahnaerzte-wl.de/images/_PDF-suche/KZV_ZÄK/ENDSTAND_Ankreuzbogen_Ich_verstehe.pdf","x")</f>
        <v>x</v>
      </c>
      <c r="HE100" s="112" t="str">
        <f>HYPERLINK("https://www.zahnaerzte-wl.de/images/_PDF-suche/KZV_ZÄK/Anschreiben_Patienten_franzoesisch.pdf","x")</f>
        <v>x</v>
      </c>
      <c r="HF100" s="112" t="str">
        <f>HYPERLINK("https://www.zahnaerzte-wl.de/images/_PDF-suche/KZV_ZÄK/Fragebogen_franzoesisch.pdf","x")</f>
        <v>x</v>
      </c>
      <c r="HG100" s="112" t="str">
        <f>HYPERLINK("https://www.zahnaerzte-wl.de/images/_PDF-suche/KZV_ZÄK/Patientenerhebungsbogen_franzoesisch.pdf","x")</f>
        <v>x</v>
      </c>
      <c r="HH100" s="112"/>
      <c r="HI100" s="112" t="str">
        <f>HYPERLINK("http://www.bvkm.de/fileadmin/web_data/Behinderung_und_Migration_franzoesisch_2014.pdf","x")</f>
        <v>x</v>
      </c>
      <c r="HJ100" s="112"/>
      <c r="HK100" s="112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2" t="str">
        <f t="shared" si="39"/>
        <v>x</v>
      </c>
      <c r="HZ100" s="112" t="str">
        <f t="shared" si="40"/>
        <v>x</v>
      </c>
      <c r="IA100" s="112" t="str">
        <f>HYPERLINK("http://peacefulheart.se/wp-content/uploads/2015/01/Tapping_French_Module-20150102-2.pdf","x")</f>
        <v>x</v>
      </c>
      <c r="IB100" s="111"/>
      <c r="IC100" s="111"/>
      <c r="ID100" s="111"/>
      <c r="IE100" s="111"/>
      <c r="IF100" s="111"/>
      <c r="IG100" s="111"/>
      <c r="IH100" s="111"/>
      <c r="II100" s="112" t="str">
        <f>HYPERLINK("http://www.caritas.de/hilfeundberatung/onlineberatung/suchtberatung/haeufiggestelltefragensucht/haeufiggestelltefragen-sucht","x")</f>
        <v>x</v>
      </c>
      <c r="IJ100" s="111"/>
      <c r="IK100" s="112" t="str">
        <f>HYPERLINK("http://www.bamf.de/SharedDocs/Anlagen/DE/Publikationen/Flyer/Lassen-Sie-Sich-Beraten/lassen-sie-sich-beraten_fr.pdf?__blob=publicationFile","x")</f>
        <v>x</v>
      </c>
      <c r="IL100" s="112" t="str">
        <f>HYPERLINK("http://www.bamf.de/SharedDocs/Anlagen/DE/Publikationen/Flyer/flyer-erstorientierung-asylsuchende_franzoesisch.pdf?__blob=publicationFile","x")</f>
        <v>x</v>
      </c>
      <c r="IM100" s="112" t="str">
        <f>HYPERLINK("http://www.frnrw.de/index.php/inhaltliche-themen/arbeitshilfen/item/3710-erstinfos-fuer-asylsuchende","x")</f>
        <v>x</v>
      </c>
      <c r="IN100" s="112" t="str">
        <f>HYPERLINK("https://www.bamf.de/SharedDocs/Anlagen/DE/Publikationen/Broschueren/willkommen-in-deutschland_fr.pdf?__blob=publicationFile","x")</f>
        <v>x</v>
      </c>
      <c r="IO100" s="112"/>
      <c r="IP100" s="112"/>
      <c r="IQ100" s="112" t="str">
        <f>HYPERLINK("http://www.bamf.de/SharedDocs/Anlagen/DE/Publikationen/Flyer/Lernen-Sie-Deutsch/lernen-sie-deutsch_fr.pdf?__blob=publicationFile","x")</f>
        <v>x</v>
      </c>
      <c r="IR100" s="112"/>
      <c r="IS100" s="111"/>
      <c r="IT100" s="111"/>
      <c r="IU100" s="111"/>
      <c r="IV100" s="112" t="str">
        <f>HYPERLINK("http://www.asyl.net/fileadmin/user_upload/infoblatt_anhoerung/Frz_final.pdf","x")</f>
        <v>x</v>
      </c>
      <c r="IW100" s="112"/>
      <c r="IX100" s="112" t="str">
        <f>HYPERLINK("http://www.berlin.de/labo/willkommen-in-berlin/service/downloads/artikel.273193.php","x")</f>
        <v>x</v>
      </c>
      <c r="IY100" s="112" t="str">
        <f>HYPERLINK("http://www.bamf.de/SharedDocs/Anlagen/DE/Publikationen/Broschueren/broschuere-eat-a4-fr-franzoesisch.pdf?__blob=publicationFile","x")</f>
        <v>x</v>
      </c>
      <c r="IZ100" s="111"/>
      <c r="JA100" s="112" t="str">
        <f>HYPERLINK("http://fluechtlingsrat-bw.de/informationen-fuer-fluechtlinge.html","x")</f>
        <v>x</v>
      </c>
      <c r="JB100" s="111"/>
      <c r="JC100" s="112" t="str">
        <f>HYPERLINK("http://www.bamf.de/SharedDocs/Anlagen/DE/Publikationen/Flyer/20150223_ura2_fra.pdf?__blob=publicationFile","x")</f>
        <v>x</v>
      </c>
      <c r="JD100" s="111"/>
      <c r="JE100" s="112"/>
      <c r="JF100" s="112"/>
      <c r="JG100" s="112"/>
      <c r="JH100" s="112"/>
      <c r="JI100" s="111"/>
      <c r="JJ100" s="112" t="str">
        <f>HYPERLINK("http://www.kub-berlin.org/formularprojekt/franzoesisch-antraege-und-anlagen-uebersetzungshilfen/","x")</f>
        <v>x</v>
      </c>
      <c r="JK100" s="112" t="str">
        <f>HYPERLINK("https://www.arbeitsagentur.de/web/wcm/idc/groups/public/documents/webdatei/mdaw/mjg1/~edisp/l6019022dstbai788667.pdf?_ba.sid=L6019022DSTBAI784626","x")</f>
        <v>x</v>
      </c>
      <c r="JL100" s="112" t="str">
        <f>HYPERLINK("http://www.kub-berlin.org/formularprojekt/franzoesisch-antraege-und-anlagen-uebersetzungshilfen/","x")</f>
        <v>x</v>
      </c>
      <c r="JM100" s="112" t="str">
        <f>HYPERLINK("https://www.arbeitsagentur.de/web/content/DE/Formulare/Detail/index.htm?dfContentId=L6019022DSTBAI485740","x")</f>
        <v>x</v>
      </c>
      <c r="JN100" s="112"/>
      <c r="JO100" s="112"/>
      <c r="JP100" s="112"/>
      <c r="JQ100" s="112"/>
      <c r="JR100" s="112" t="str">
        <f t="shared" si="44"/>
        <v>x</v>
      </c>
      <c r="JS100" s="112"/>
      <c r="JT100" s="112" t="str">
        <f>HYPERLINK("http://www.b-umf.de/images/willkommen/willkommensbroschurefranzoesisch-web.pdf","x")</f>
        <v>x</v>
      </c>
      <c r="JU100" s="111"/>
      <c r="JV100" s="111"/>
      <c r="JW100" s="112"/>
      <c r="JX100" s="112"/>
      <c r="JY100" s="112"/>
      <c r="JZ100" s="112"/>
      <c r="KA100" s="112"/>
      <c r="KB100" s="112" t="str">
        <f>HYPERLINK("http://www.refugeeguide.de/dl/RefugeeGuide_fr_925.pdf","x")</f>
        <v>x</v>
      </c>
      <c r="KC100" s="111"/>
      <c r="KD100" s="112" t="str">
        <f>HYPERLINK("http://www.wedel.de/fileadmin/user_upload/media/pdf/Rathaus_und_Politik/20160118_PM_Broschuere.pdf","x")</f>
        <v>x</v>
      </c>
      <c r="KE100" s="112" t="str">
        <f>HYPERLINK("http://www.frauenrechte.de/online/images/downloads/allgemein/TDF_Flyer_Women_Men.pdf","x")</f>
        <v>x</v>
      </c>
      <c r="KF100" s="112" t="str">
        <f>HYPERLINK("http://sab.landtag.sachsen.de/dokumente/landtagskurier/Grundwerte-A5-international_web_08012016.pdf","x")</f>
        <v>x</v>
      </c>
      <c r="KG100" s="112"/>
      <c r="KH100" s="112"/>
      <c r="KI100" s="112"/>
      <c r="KJ100" s="112"/>
      <c r="KK100" s="112"/>
      <c r="KL100" s="112"/>
      <c r="KM100" s="112"/>
      <c r="KN100" s="112"/>
      <c r="KO100" s="112"/>
      <c r="KP100" s="112"/>
      <c r="KQ100" s="112"/>
      <c r="KR100" s="112"/>
      <c r="KS100" s="112"/>
      <c r="KT100" s="112"/>
      <c r="KU100" s="112"/>
      <c r="KV100" s="112"/>
      <c r="KW100" s="112"/>
      <c r="KX100" s="112"/>
      <c r="KY100" s="112"/>
      <c r="KZ100" s="112"/>
      <c r="LA100" s="112"/>
      <c r="LB100" s="112"/>
      <c r="LC100" s="111"/>
      <c r="LD100" s="112"/>
      <c r="LE100" s="112"/>
      <c r="LF100" s="112"/>
      <c r="LG100" s="112"/>
      <c r="LH100" s="112"/>
      <c r="LI100" s="112"/>
      <c r="LJ100" s="112"/>
      <c r="LK100" s="112"/>
      <c r="LL100" s="112"/>
      <c r="LM100" s="111"/>
      <c r="LN100" s="111"/>
      <c r="LO100" s="111"/>
      <c r="LP100" s="111"/>
      <c r="LQ100" s="112"/>
      <c r="LR100" s="111"/>
      <c r="LS100" s="112"/>
      <c r="LT100" s="112"/>
      <c r="LU100" s="111"/>
      <c r="LV100" s="111"/>
      <c r="LW100" s="111"/>
      <c r="LX100" s="111"/>
      <c r="LY100" s="111"/>
      <c r="LZ100" s="111"/>
      <c r="MA100" s="111"/>
      <c r="MB100" s="112"/>
      <c r="MC100" s="111"/>
      <c r="MD100" s="112" t="str">
        <f>HYPERLINK("http://www.rki.de/DE/Content/Infekt/IfSG/Belehrungsbogen/belehrungsbogen_lebensmittel_franzoesisch.pdf?__blob=publicationFile","x")</f>
        <v>x</v>
      </c>
      <c r="ME100" s="111"/>
      <c r="MF100" s="112" t="str">
        <f>HYPERLINK("http://www.gdv.de/wp-content/uploads/2016/01/Information_Brandschutz_Fluechtlingsheim_-Sicherheit_mehrsprachig.pdf","x")</f>
        <v>x</v>
      </c>
      <c r="MG100" s="112" t="str">
        <f>HYPERLINK("http://www.gdv.de/wp-content/uploads/2016/01/Information_Verhalten-im-Brandfall_mehrsprachig.pdf","x")</f>
        <v>x</v>
      </c>
      <c r="MH100" s="112" t="str">
        <f>HYPERLINK("http://www.aha-region.de/fileadmin/Download/pdf/aha_Plakat_Muelltrennung_fr.pdf","x")</f>
        <v>x</v>
      </c>
      <c r="MI100" s="112" t="str">
        <f>HYPERLINK("http://www.kindersicherheit.de/pdf/2012_poster_achtunggiftig_8sprachig.pdf","x")</f>
        <v>x</v>
      </c>
    </row>
    <row r="101" spans="1:347" x14ac:dyDescent="0.25">
      <c r="A101" s="102" t="s">
        <v>403</v>
      </c>
      <c r="B101" s="127" t="s">
        <v>41</v>
      </c>
      <c r="C101" s="102"/>
      <c r="D101" s="102"/>
      <c r="E101" s="102"/>
      <c r="F101" s="102"/>
      <c r="G101" s="102"/>
      <c r="H101" s="102"/>
      <c r="I101" s="102"/>
      <c r="J101" s="102"/>
      <c r="K101" s="103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2"/>
      <c r="AP101" s="112"/>
      <c r="AQ101" s="112"/>
      <c r="AR101" s="112"/>
      <c r="AS101" s="112"/>
      <c r="AT101" s="112"/>
      <c r="AU101" s="112"/>
      <c r="AV101" s="113"/>
      <c r="AW101" s="114" t="str">
        <f t="shared" si="22"/>
        <v>x</v>
      </c>
      <c r="AX101" s="114" t="str">
        <f t="shared" si="23"/>
        <v>x</v>
      </c>
      <c r="AY101" s="111"/>
      <c r="AZ101" s="111"/>
      <c r="BA101" s="112" t="str">
        <f t="shared" si="24"/>
        <v>x</v>
      </c>
      <c r="BB101" s="112" t="str">
        <f t="shared" si="25"/>
        <v>x</v>
      </c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2" t="str">
        <f t="shared" si="26"/>
        <v>x</v>
      </c>
      <c r="BT101" s="112"/>
      <c r="BU101" s="111"/>
      <c r="BV101" s="112" t="str">
        <f t="shared" si="27"/>
        <v>x</v>
      </c>
      <c r="BW101" s="112"/>
      <c r="BX101" s="112"/>
      <c r="BY101" s="112"/>
      <c r="BZ101" s="112"/>
      <c r="CA101" s="112" t="str">
        <f t="shared" si="28"/>
        <v>x</v>
      </c>
      <c r="CB101" s="112" t="str">
        <f t="shared" si="29"/>
        <v>x</v>
      </c>
      <c r="CC101" s="112" t="str">
        <f t="shared" si="30"/>
        <v>x</v>
      </c>
      <c r="CD101" s="112"/>
      <c r="CE101" s="112"/>
      <c r="CF101" s="111"/>
      <c r="CG101" s="111"/>
      <c r="CH101" s="111"/>
      <c r="CI101" s="111"/>
      <c r="CJ101" s="112" t="str">
        <f t="shared" si="42"/>
        <v>x</v>
      </c>
      <c r="CK101" s="112" t="str">
        <f t="shared" si="31"/>
        <v>x</v>
      </c>
      <c r="CL101" s="112"/>
      <c r="CM101" s="112"/>
      <c r="CN101" s="112"/>
      <c r="CO101" s="112"/>
      <c r="CP101" s="112"/>
      <c r="CQ101" s="112"/>
      <c r="CR101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5"/>
      <c r="DD101" s="112"/>
      <c r="DE101" s="112"/>
      <c r="DF101" s="112" t="str">
        <f t="shared" si="32"/>
        <v>x</v>
      </c>
      <c r="DG101" s="115" t="str">
        <f t="shared" si="33"/>
        <v>x</v>
      </c>
      <c r="DH101" s="112" t="str">
        <f t="shared" si="34"/>
        <v>x</v>
      </c>
      <c r="DI101" s="112" t="str">
        <f t="shared" si="35"/>
        <v>x</v>
      </c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2"/>
      <c r="DV101" s="111"/>
      <c r="DW101" s="111"/>
      <c r="DX101" s="111"/>
      <c r="DY101" s="111"/>
      <c r="DZ101" s="111"/>
      <c r="EA101" s="111"/>
      <c r="EB101" s="112"/>
      <c r="EC101" s="112" t="str">
        <f>HYPERLINK("http://www.bamf.de/SharedDocs/Anlagen/DE/Publikationen/Flyer/Berufsbezsprachf-ESF-BAMF/berufsbezsprachf-esf-bamf_vi.pdf?__blob=publicationFile","x")</f>
        <v>x</v>
      </c>
      <c r="ED101" s="111"/>
      <c r="EE101" s="111"/>
      <c r="EF101" s="111"/>
      <c r="EG101" s="111"/>
      <c r="EH101" s="111"/>
      <c r="EI101" s="111"/>
      <c r="EJ101" s="112"/>
      <c r="EK101" s="112"/>
      <c r="EL101" s="111"/>
      <c r="EM101" s="112" t="str">
        <f>HYPERLINK("http://www.kvs-sachsen.de/fileadmin/img/Mitglieder/Asylbewerber/Allg-Informationen/Anlage_1_Vietnamesisch_LEK.pdf","x")</f>
        <v>x</v>
      </c>
      <c r="EN101" s="112" t="str">
        <f>HYPERLINK("http://www.medizin-hilft-fluechtlingen.de/images/Dokumente/gSch/gSch_vie.pdf","x")</f>
        <v>x</v>
      </c>
      <c r="EO101" s="111"/>
      <c r="EP101" s="117" t="str">
        <f t="shared" si="41"/>
        <v>x</v>
      </c>
      <c r="EQ101" s="118"/>
      <c r="ER101" s="112" t="str">
        <f>HYPERLINK("http://www.kvs-sachsen.de/fileadmin/img/Mitglieder/Asylbewerber/Allg-Informationen/Anlagen_2-1_2-2_Vietnamesisch_LEK.pdf","x")</f>
        <v>x</v>
      </c>
      <c r="ES101" s="111"/>
      <c r="ET101" s="111"/>
      <c r="EU101" s="111"/>
      <c r="EV101" s="111"/>
      <c r="EW101" s="112" t="str">
        <f t="shared" si="36"/>
        <v>x</v>
      </c>
      <c r="EX101" s="111"/>
      <c r="EY101" s="111"/>
      <c r="EZ101" s="111"/>
      <c r="FA101" s="111"/>
      <c r="FB101" s="111"/>
      <c r="FC101" s="111"/>
      <c r="FD101" s="112" t="str">
        <f t="shared" si="37"/>
        <v>x</v>
      </c>
      <c r="FE101" s="112" t="str">
        <f t="shared" si="43"/>
        <v>x</v>
      </c>
      <c r="FF101" s="111"/>
      <c r="FG101" s="111"/>
      <c r="FH101" s="111"/>
      <c r="FI101" s="111"/>
      <c r="FJ101" s="112"/>
      <c r="FK101" s="112" t="str">
        <f>HYPERLINK("http://www.rki.de/DE/Content/Infekt/Impfen/Materialien/Downloads-Impfkalender/Impfkalender_Vietnamesisch.pdf?__blob=publicationFile","x")</f>
        <v>x</v>
      </c>
      <c r="FL101" s="111"/>
      <c r="FM101" s="111"/>
      <c r="FN101" s="112" t="str">
        <f>HYPERLINK("http://www.rki.de/DE/Content/Infekt/Impfen/Materialien/Glossar-Downloads/glossar-de-vietnamesich.pdf?__blob=publicationFile","x")</f>
        <v>x</v>
      </c>
      <c r="FO101" s="112"/>
      <c r="FP101" s="112" t="str">
        <f>HYPERLINK("http://www.rki.de/DE/Content/Infekt/Impfen/Materialien/Downloads-MMR/MMR-Impfinfo-vietnamesisch.pdf?__blob=publicationFile","x")</f>
        <v>x</v>
      </c>
      <c r="FQ101" s="111"/>
      <c r="FR101" s="112" t="str">
        <f>HYPERLINK("http://www.rki.de/DE/Content/Infekt/Impfen/Materialien/Downloads_HepA/Aufklaerung_HAV-Impfung_Vietnamesisch.pdf?__blob=publicationFile","x")</f>
        <v>x</v>
      </c>
      <c r="FS101" s="112" t="str">
        <f>HYPERLINK("http://www.rki.de/DE/Content/Infekt/Impfen/Materialien/Downloads_Pneumokokken/Aufklaerung_Pneumo-Impfung_Vietnamesisch.pdf?__blob=publicationFile","x")</f>
        <v>x</v>
      </c>
      <c r="FT101" s="112" t="str">
        <f>HYPERLINK("http://www.rki.de/DE/Content/Infekt/Impfen/Materialien/Downloads-DTaPIPVHibHepB/DTaPIPVHibHepB-vietnamesisch.pdf?__blob=publicationFile","x")</f>
        <v>x</v>
      </c>
      <c r="FU101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V101" s="112" t="str">
        <f>HYPERLINK("http://www.rki.de/DE/Content/Infekt/Impfen/Materialien/Downloads-Tdap-IPV/Tdap-IPV-vietnamesisch.pdf?__blob=publicationFile","x")</f>
        <v>x</v>
      </c>
      <c r="FW101" s="112" t="str">
        <f>HYPERLINK("http://www.rki.de/DE/Content/Infekt/Impfen/Materialien/Downloads-Influenza_nasal/Influenza_nasal-vietnamesisch.pdf?__blob=publicationFile","x")</f>
        <v>x</v>
      </c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2"/>
      <c r="GI101" s="111"/>
      <c r="GJ101" s="111"/>
      <c r="GK101" s="111"/>
      <c r="GL101" s="111"/>
      <c r="GM101" s="112" t="str">
        <f>HYPERLINK("http://www.rki.de/DE/Content/Infekt/Impfen/Materialien/Downloads-Influenza/Influenza-vietnamesisch.pdf?__blob=publicationFile","x")</f>
        <v>x</v>
      </c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2" t="str">
        <f t="shared" si="38"/>
        <v>x</v>
      </c>
      <c r="HD101" s="111"/>
      <c r="HE101" s="111"/>
      <c r="HF101" s="111"/>
      <c r="HG101" s="111"/>
      <c r="HH101" s="111"/>
      <c r="HI101" s="111"/>
      <c r="HJ101" s="111"/>
      <c r="HK101" s="112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2" t="str">
        <f t="shared" si="39"/>
        <v>x</v>
      </c>
      <c r="HZ101" s="112" t="str">
        <f t="shared" si="40"/>
        <v>x</v>
      </c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2" t="str">
        <f>HYPERLINK("http://www.bamf.de/SharedDocs/Anlagen/DE/Publikationen/Flyer/Lassen-Sie-Sich-Beraten/lassen-sie-sich-beraten_vi.pdf?__blob=publicationFile","x")</f>
        <v>x</v>
      </c>
      <c r="IL101" s="111"/>
      <c r="IM101" s="111"/>
      <c r="IN101" s="111"/>
      <c r="IO101" s="111"/>
      <c r="IP101" s="111"/>
      <c r="IQ101" s="112" t="str">
        <f>HYPERLINK("http://www.bamf.de/SharedDocs/Anlagen/DE/Publikationen/Flyer/Lernen-Sie-Deutsch/lernen-sie-deutsch_vi.pdf?__blob=publicationFile","x")</f>
        <v>x</v>
      </c>
      <c r="IR101" s="112"/>
      <c r="IS101" s="111"/>
      <c r="IT101" s="111"/>
      <c r="IU101" s="111"/>
      <c r="IV101" s="112"/>
      <c r="IW101" s="112"/>
      <c r="IX101" s="112"/>
      <c r="IY101" s="112" t="str">
        <f>HYPERLINK("http://www.bamf.de/SharedDocs/Anlagen/DE/Publikationen/Broschueren/broschuere-eat-a4-vi-vietnamesisch.pdf?__blob=publicationFile","x")</f>
        <v>x</v>
      </c>
      <c r="IZ101" s="111"/>
      <c r="JA101" s="111"/>
      <c r="JB101" s="111"/>
      <c r="JC101" s="112"/>
      <c r="JD101" s="111"/>
      <c r="JE101" s="112"/>
      <c r="JF101" s="112"/>
      <c r="JG101" s="112"/>
      <c r="JH101" s="112"/>
      <c r="JI101" s="111"/>
      <c r="JJ101" s="112"/>
      <c r="JK101" s="112"/>
      <c r="JL101" s="112"/>
      <c r="JM101" s="112"/>
      <c r="JN101" s="112"/>
      <c r="JO101" s="112"/>
      <c r="JP101" s="112"/>
      <c r="JQ101" s="112"/>
      <c r="JR101" s="112" t="str">
        <f t="shared" si="44"/>
        <v>x</v>
      </c>
      <c r="JS101" s="112"/>
      <c r="JT101" s="112" t="str">
        <f>HYPERLINK("http://www.b-umf.de/images/willkommen/willkommensbroschrevietnamesisch-web.pdf","x")</f>
        <v>x</v>
      </c>
      <c r="JU101" s="111"/>
      <c r="JV101" s="111"/>
      <c r="JW101" s="112"/>
      <c r="JX101" s="112"/>
      <c r="JY101" s="111"/>
      <c r="JZ101" s="111"/>
      <c r="KA101" s="111"/>
      <c r="KB101" s="111"/>
      <c r="KC101" s="111"/>
      <c r="KD101" s="111"/>
      <c r="KE101" s="111"/>
      <c r="KF101" s="112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</row>
    <row r="102" spans="1:347" x14ac:dyDescent="0.25">
      <c r="A102" s="102" t="s">
        <v>384</v>
      </c>
      <c r="B102" s="127" t="s">
        <v>4</v>
      </c>
      <c r="C102" s="102"/>
      <c r="D102" s="102"/>
      <c r="E102" s="102"/>
      <c r="F102" s="102"/>
      <c r="G102" s="102"/>
      <c r="H102" s="102"/>
      <c r="I102" s="102"/>
      <c r="J102" s="102"/>
      <c r="K102" s="103"/>
      <c r="L102" s="111"/>
      <c r="M102" s="111"/>
      <c r="N102" s="112" t="str">
        <f>HYPERLINK("http://www.ag-fluechtlingshilfe-wetterau.de/uploads/infos/170.pdf","x")</f>
        <v>x</v>
      </c>
      <c r="O102" s="112" t="str">
        <f>HYPERLINK("http://www.ag-fluechtlingshilfe-wetterau.de/uploads/infos/220.pdf","x")</f>
        <v>x</v>
      </c>
      <c r="P102" s="112" t="str">
        <f>HYPERLINK("http://www.awb-ahrweiler.de/admin/data/ddownload/Abfall%20Sonderhinweise-englisch_2014.pdf","x")</f>
        <v>x</v>
      </c>
      <c r="Q102" s="112" t="str">
        <f>HYPERLINK("http://www.ag-fluechtlingshilfe-wetterau.de/uploads/infos/221.pdf","x")</f>
        <v>x</v>
      </c>
      <c r="R102" s="112" t="str">
        <f>HYPERLINK("http://www.konto.org/download/merkblatt-basiskonto-asylbewerber-english.pdf","x")</f>
        <v>x</v>
      </c>
      <c r="S102" s="112"/>
      <c r="T102" s="112" t="str">
        <f>HYPERLINK("https://antworten.sparkasse.de/wp-content/uploads/2015/10/English.pdf","x")</f>
        <v>x</v>
      </c>
      <c r="U102" s="112" t="str">
        <f>HYPERLINK("http://www.ag-fluechtlingshilfe-wetterau.de/uploads/infos/191.pdf","x")</f>
        <v>x</v>
      </c>
      <c r="V102" s="112"/>
      <c r="W102" s="112"/>
      <c r="X10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0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02" s="112"/>
      <c r="AA102" s="112"/>
      <c r="AB102" s="112"/>
      <c r="AC102" s="112" t="str">
        <f>HYPERLINK("http://www.vzhh.de/vzhh/409638/vzhh_refugees_telephone_internet.pdf","x")</f>
        <v>x</v>
      </c>
      <c r="AD102" s="112" t="str">
        <f>HYPERLINK("http://www.vzhh.de/vzhh/410647/vzhh_refugees_rundfunk.pdf","x")</f>
        <v>x</v>
      </c>
      <c r="AE102" s="112" t="str">
        <f>HYPERLINK("http://www.vzhh.de/vzhh/411476/vzhh_refugees_rundfunk_befreiung.pdf","x")</f>
        <v>x</v>
      </c>
      <c r="AF102" s="112" t="str">
        <f>HYPERLINK("http://www.kub-berlin.org/formularprojekt/de/englisch-antraege-und-anlagen-uebersetzungshilfen/","x")</f>
        <v>x</v>
      </c>
      <c r="AG102" s="112" t="str">
        <f>HYPERLINK("http://asyl-in-moenchengladbach.de/wp-content/uploads/2015/11/100711-Flyer_GB.pdf","x")</f>
        <v>x</v>
      </c>
      <c r="AH102" s="112" t="str">
        <f>HYPERLINK("http://sghanstedt.elbnetz.com/ueber-uns/","x")</f>
        <v>x</v>
      </c>
      <c r="AI102" s="112" t="str">
        <f>HYPERLINK("https://www.adac.de/sp/stiftung/_mmm/pdf/SGE_FOL_Verkehrssicherheit_Fl%C3%BCchtlinge_A3_01_16_Internet_250277.pdf","x")</f>
        <v>x</v>
      </c>
      <c r="AJ102" s="112" t="str">
        <f>HYPERLINK("http://www.stadt-koeln.de/mediaasset/content/kvb_kinderleicht_und_spielend_einfach__englisch_.pdf","x")</f>
        <v>x</v>
      </c>
      <c r="AK102" s="112" t="str">
        <f>HYPERLINK("https://www.vrsinfo.de/fileadmin/Dateien/downloadcenter/Folder_MobilPassTicket_Refugees01012016.pdf","x")</f>
        <v>x</v>
      </c>
      <c r="AL102" s="112" t="str">
        <f>HYPERLINK("https://www.vrsinfo.de/fileadmin/Dateien/downloadcenter/Willkommen_im_VRS2016_Druck.pdf","x")</f>
        <v>x</v>
      </c>
      <c r="AM102" s="112"/>
      <c r="AN102" s="112" t="str">
        <f>HYPERLINK("https://www.deutschebahn.com/file/de/2191748/eYdgZpqGpp5sMJ2KMKtg2r8aE4Q/10123812/data/infos_fuer_fluechtlinge.pdf","x")</f>
        <v>x</v>
      </c>
      <c r="AO102" s="112"/>
      <c r="AP102" s="112"/>
      <c r="AQ102" s="112"/>
      <c r="AR102" s="112"/>
      <c r="AS102" s="112"/>
      <c r="AT102" s="112"/>
      <c r="AU102" s="112" t="str">
        <f>HYPERLINK("http://www.stadt-koeln.de/mediaasset/content/festkomitee_flyer_2016_d_gb.pdf","x")</f>
        <v>x</v>
      </c>
      <c r="AV102" s="113"/>
      <c r="AW102" s="114" t="str">
        <f t="shared" si="22"/>
        <v>x</v>
      </c>
      <c r="AX102" s="114" t="str">
        <f t="shared" si="23"/>
        <v>x</v>
      </c>
      <c r="AY102" s="112" t="str">
        <f>HYPERLINK("http://fi-lohmar-siegburg.de/data/documents/Findefix_arabisch-Bildwoerterbuch.pdf","x")</f>
        <v>x</v>
      </c>
      <c r="AZ102" s="111"/>
      <c r="BA102" s="112" t="str">
        <f t="shared" si="24"/>
        <v>x</v>
      </c>
      <c r="BB102" s="112" t="str">
        <f t="shared" si="25"/>
        <v>x</v>
      </c>
      <c r="BC102" s="111"/>
      <c r="BD102" s="111"/>
      <c r="BE102" s="112" t="str">
        <f>HYPERLINK("http://fi-lohmar-siegburg.de/data/documents/communicationboard-arabic-english.pdf","x")</f>
        <v>x</v>
      </c>
      <c r="BF102" s="112"/>
      <c r="BG102" s="111"/>
      <c r="BH102" s="112" t="str">
        <f>HYPERLINK("http://www.refugeephrasebook.de/pdf/germany150920.pdf","x")</f>
        <v>x</v>
      </c>
      <c r="BI102" s="112" t="str">
        <f>HYPERLINK("https://www.advanced-online.eu/downloads/RefugeePhrasebookCards_German-English.pdf","x")</f>
        <v>x</v>
      </c>
      <c r="BJ102" s="112" t="str">
        <f>HYPERLINK("http://www.klett-sprachen.de/download/8638/W100255_Refugees_Welcome_Wortschatz.pdf","x")</f>
        <v>x</v>
      </c>
      <c r="BK102" s="111"/>
      <c r="BL102" s="112" t="str">
        <f>HYPERLINK("http://www.bundessprachenamt.de/deutsch/wir_ueber_uns/nachrichten/2015/20151103/Verständigungshilfe_Englisch_26_11_2015.pdf","x")</f>
        <v>x</v>
      </c>
      <c r="BM102" s="112" t="str">
        <f>HYPERLINK("http://www.frnrw.de/images/Aus_den_Initiativen/Ehrenamtler/2015/Dictionary_x10_print-2.pdf","x")</f>
        <v>x</v>
      </c>
      <c r="BN102" s="112" t="str">
        <f>HYPERLINK("http://www.medbox.org/toolboxes/kleines-worterbuch-little-dictionary-deutsch-englisch-arabisch/preview","x")</f>
        <v>x</v>
      </c>
      <c r="BO102" s="112" t="str">
        <f>HYPERLINK("http://mylanguages.org/dari_phrases.php","x")</f>
        <v>x</v>
      </c>
      <c r="BP102" s="111"/>
      <c r="BQ102" s="111"/>
      <c r="BR102" s="111"/>
      <c r="BS102" s="112" t="str">
        <f t="shared" si="26"/>
        <v>x</v>
      </c>
      <c r="BT102" s="112"/>
      <c r="BU102" s="111"/>
      <c r="BV102" s="112" t="str">
        <f t="shared" si="27"/>
        <v>x</v>
      </c>
      <c r="BW102" s="112" t="str">
        <f>HYPERLINK("http://www.welcomegrooves.de/wp-content/uploads/2015/10/welcomegrooves_DE-ENGLISH1.pdf","x")</f>
        <v>x</v>
      </c>
      <c r="BX102" s="112"/>
      <c r="BY102" s="112"/>
      <c r="BZ102" s="112"/>
      <c r="CA102" s="112" t="str">
        <f t="shared" si="28"/>
        <v>x</v>
      </c>
      <c r="CB102" s="112" t="str">
        <f t="shared" si="29"/>
        <v>x</v>
      </c>
      <c r="CC102" s="112" t="str">
        <f t="shared" si="30"/>
        <v>x</v>
      </c>
      <c r="CD102" s="112"/>
      <c r="CE102" s="112"/>
      <c r="CF102" s="111"/>
      <c r="CG102" s="112" t="str">
        <f>HYPERLINK("http://www.braunschweig.de/leben/frauen/hilfe/Ohne-Gewalt-leben.pdf","x")</f>
        <v>x</v>
      </c>
      <c r="CH102" s="112" t="str">
        <f>HYPERLINK("http://mifkjf.rlp.de/fileadmin/mifkjf/Frauen/Gewalt_gegen_Frauen/Downloads/Broschueren_Flyer/Flyer_Gewalt_englisch.pdf","x")</f>
        <v>x</v>
      </c>
      <c r="CI102" s="112" t="str">
        <f>HYPERLINK("https://www.hilfetelefon.de/fileadmin/hilfetelefon_de/Materialien/Flyer/Infoflyer_Hilfetelefon_Gewalt_gegen_Frauen141105_b2.pdf","x")</f>
        <v>x</v>
      </c>
      <c r="CJ102" s="112" t="str">
        <f t="shared" si="42"/>
        <v>x</v>
      </c>
      <c r="CK102" s="112" t="str">
        <f t="shared" si="31"/>
        <v>x</v>
      </c>
      <c r="CL102" s="112" t="str">
        <f>HYPERLINK("http://www.frauenberatungsstelle.de/pdf/Migrantinnen-beraten-Migrantinnen.pdf","x")</f>
        <v>x</v>
      </c>
      <c r="CM102" s="112" t="str">
        <f>HYPERLINK("http://www.frauenleben.org/spezielle_beratungsangebote/sexualisierte_gewalt.htm","x")</f>
        <v>x</v>
      </c>
      <c r="CN102" s="112"/>
      <c r="CO102" s="112"/>
      <c r="CP102" s="112" t="str">
        <f>HYPERLINK("http://www.schwanger-und-viele-fragen.de/en/","x")</f>
        <v>x</v>
      </c>
      <c r="CQ102" s="112"/>
      <c r="CR10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02" s="112" t="str">
        <f>HYPERLINK("http://en.beststart.org/for_parents/are-you-looking-resources-languages-other-english-and-french","x")</f>
        <v>x</v>
      </c>
      <c r="CT102" s="112"/>
      <c r="CU102" s="112" t="str">
        <f>HYPERLINK("http://www.profamilia.de/fileadmin/publikationen/Erwachsene/mehrsprachig/Bro_Verhuetung_engl_2013.pdf","x")</f>
        <v>x</v>
      </c>
      <c r="CV102" s="112" t="str">
        <f>HYPERLINK("http://www.profamilia.de/fileadmin/publikationen/Erwachsene/mehrsprachig/Bro_Pille_danach_Faltblatt_140122_RZ.pdf","x")</f>
        <v>x</v>
      </c>
      <c r="CW102" s="112" t="str">
        <f>HYPERLINK("http://www.profamilia.de/fileadmin/publikationen/Reihe_Verhuetungsmethoden/Einleger_englisch.pdf","x")</f>
        <v>x</v>
      </c>
      <c r="CX102" s="112" t="str">
        <f>HYPERLINK("http://www.profamilia.de/fileadmin/publikationen/Reihe_Koerper_und_Sexualtitaet/Schwangerschaftsabbruch_englisch_2010.pdf","x")</f>
        <v>x</v>
      </c>
      <c r="CY102" s="112" t="str">
        <f>HYPERLINK("http://www.caritas-schwarzwald-alb-donau.de/68854.html","x")</f>
        <v>x</v>
      </c>
      <c r="CZ102" s="112" t="str">
        <f>HYPERLINK("http://www.dgfpi.de/tl_files/download/medien/unwissen-macht-en.pdf","x")</f>
        <v>x</v>
      </c>
      <c r="DA102" s="112"/>
      <c r="DB102" s="112"/>
      <c r="DC102" s="115" t="str">
        <f>HYPERLINK("http://www.kindersicherheit.de/pdf/2013_BAG_Tomi_and_Mila_Deutsch_English.pdf","x")</f>
        <v>x</v>
      </c>
      <c r="DD102" s="112"/>
      <c r="DE102" s="112"/>
      <c r="DF102" s="112" t="str">
        <f t="shared" si="32"/>
        <v>x</v>
      </c>
      <c r="DG102" s="115" t="str">
        <f t="shared" si="33"/>
        <v>x</v>
      </c>
      <c r="DH102" s="112" t="str">
        <f t="shared" si="34"/>
        <v>x</v>
      </c>
      <c r="DI102" s="112" t="str">
        <f t="shared" si="35"/>
        <v>x</v>
      </c>
      <c r="DJ102" s="112"/>
      <c r="DK102" s="112"/>
      <c r="DL102" s="112"/>
      <c r="DM102" s="112"/>
      <c r="DN102" s="112"/>
      <c r="DO102" s="112" t="str">
        <f>HYPERLINK("http://www.wdrmaus.de/sachgeschichten/maus-international/","x")</f>
        <v>x</v>
      </c>
      <c r="DP102" s="111"/>
      <c r="DQ102" s="111"/>
      <c r="DR102" s="112" t="str">
        <f>HYPERLINK("https://broschueren.nordrheinwestfalendirekt.de/broschuerenservice/msw/eng-das-schulsystem-in-nordrhein-westfalen-einfach-und-schnell-erklaert/1902","x")</f>
        <v>x</v>
      </c>
      <c r="DS102" s="112" t="str">
        <f>HYPERLINK("http://bildung.koeln.de/materialbibliothek/download.php?idx=8e2a9f658e9fa830ce17dc18f0fb0268","x")</f>
        <v>x</v>
      </c>
      <c r="DT102" s="112" t="str">
        <f>HYPERLINK("http://bildung.koeln.de/materialbibliothek/download.php?idx=90aff7e7259385cadb46c517317f1446","x")</f>
        <v>x</v>
      </c>
      <c r="DU102" s="112"/>
      <c r="DV102" s="112" t="str">
        <f>HYPERLINK("https://www.bmbf.de/pub/Kausa_Elternbroschuere_englisch.pdf","x")</f>
        <v>x</v>
      </c>
      <c r="DW102" s="112"/>
      <c r="DX102" s="112" t="str">
        <f>HYPERLINK("http://www.wissenschaft.nrw.de/studium/informieren/informationen-fuer-fluechtlinge-die-in-nrw-studieren-moechten/","x")</f>
        <v>x</v>
      </c>
      <c r="DY102" s="112" t="str">
        <f>HYPERLINK("http://www.bamf.de/SharedDocs/Anlagen/DE/Publikationen/Flyer/AnerkennungBerufsabschluss/berufliche_anerkennung_akademische-heilberufe_en.pdf?__blob=publicationFile","x")</f>
        <v>x</v>
      </c>
      <c r="DZ102" s="112" t="str">
        <f>HYPERLINK("http://www.bamf.de/SharedDocs/Anlagen/EN/Publikationen/Flyer/AnerkennungBerufsabschluss/anerkennung-berufsabschluss.pdf?__blob=publicationFile","x")</f>
        <v>x</v>
      </c>
      <c r="EA102" s="112" t="str">
        <f>HYPERLINK("http://www.bamf.de/SharedDocs/Anlagen/EN/Publikationen/Flyer/AnerkennungBerufsabschluss/anerkennung-berufsabschluss_ausland.pdf?__blob=publicationFile","x")</f>
        <v>x</v>
      </c>
      <c r="EB102" s="112" t="str">
        <f>HYPERLINK("http://www.bamf.de/SharedDocs/Anlagen/EN/Publikationen/Broschueren/willkommen-in-deutschland-info-blaue-karte-eu_en.pdf?__blob=publicationFile","x")</f>
        <v>x</v>
      </c>
      <c r="EC102" s="112" t="str">
        <f>HYPERLINK("http://www.bamf.de/SharedDocs/Anlagen/EN/Publikationen/Flyer/Berufsbezsprachf-ESF-BAMF/berufsbezsprachf-esf-bamf.pdf?__blob=publicationFile","x")</f>
        <v>x</v>
      </c>
      <c r="ED102" s="111"/>
      <c r="EE102" s="111"/>
      <c r="EF102" s="111"/>
      <c r="EG102" s="111"/>
      <c r="EH102" s="111"/>
      <c r="EI102" s="111"/>
      <c r="EJ102" s="112"/>
      <c r="EK102" s="112" t="str">
        <f>HYPERLINK("http://fluechtlingsrat-bw.de/files/Dateien/Dokumente/Materialbestellung/2014-12-flyer%20arbeitserlaubnis%20EN%20WEB.pdf","x")</f>
        <v>x</v>
      </c>
      <c r="EL102" s="112" t="str">
        <f>HYPERLINK("http://www.aponet.de/englisch/20151019-fuer-den-notfall-wichtige-rufnummern-im-ueberblick.html","x")</f>
        <v>x</v>
      </c>
      <c r="EM102" s="112" t="str">
        <f>HYPERLINK("http://www.kvs-sachsen.de/fileadmin/img/Mitglieder/Asylbewerber/Allg-Informationen/Anlage_1_Englisch_LEK.pdf","x")</f>
        <v>x</v>
      </c>
      <c r="EN102" s="112" t="str">
        <f>HYPERLINK("http://www.medizin-hilft-fluechtlingen.de/images/Dokumente/gSch/gSch_eng.pdf","x")</f>
        <v>x</v>
      </c>
      <c r="EO102" s="112" t="str">
        <f>HYPERLINK("http://www.aponet.de/englisch/medical-care-for-asylum-seekers.html","x")</f>
        <v>x</v>
      </c>
      <c r="EP102" s="117" t="str">
        <f t="shared" si="41"/>
        <v>x</v>
      </c>
      <c r="EQ102" s="117" t="str">
        <f>HYPERLINK("http://www.armut-gesundheit.de/fileadmin/redakteur/dokumente/Anamnesebogen%20-%20englischnew.pdf","x")</f>
        <v>x</v>
      </c>
      <c r="ER102" s="112" t="str">
        <f>HYPERLINK("http://www.kvs-sachsen.de/fileadmin/img/Mitglieder/Asylbewerber/Allg-Informationen/Anlagen_2-1_2-2_Englisch_LEK.pdf","x")</f>
        <v>x</v>
      </c>
      <c r="ES102" s="111"/>
      <c r="ET102" s="111"/>
      <c r="EU102" s="112" t="str">
        <f>HYPERLINK("http://www.medizin-hilft-fluechtlingen.de/images/Dokumente/ein/ein_engl.pdf","x")</f>
        <v>x</v>
      </c>
      <c r="EV102" s="112" t="str">
        <f>HYPERLINK("http://www.adler-apotheke-hh.de/fileadmin/user_upload/PDF-Dateien/Dosierzettel_mehrsprachig_AUF_0_.pdf","x")</f>
        <v>x</v>
      </c>
      <c r="EW102" s="112" t="str">
        <f t="shared" si="36"/>
        <v>x</v>
      </c>
      <c r="EX102" s="112" t="str">
        <f>HYPERLINK("http://www.rki.de/DE/Content/Infekt/IfSG/Belehrungsbogen/belehrungsbogen_eltern_englisch.pdf?__blob=publicationFile","x")</f>
        <v>x</v>
      </c>
      <c r="EY102" s="112" t="str">
        <f>HYPERLINK("http://www.bzga.de/infomaterialien/?sid=236","x")</f>
        <v>x</v>
      </c>
      <c r="EZ102" s="112" t="str">
        <f>HYPERLINK("https://www.mh-hannover.de/fileadmin/mhh/bilder/aktuelles_presse/pressestelle/bilder/Pilzvergif_English.pdf","x")</f>
        <v>x</v>
      </c>
      <c r="FA102" s="112"/>
      <c r="FB102" s="112" t="str">
        <f>HYPERLINK("http://static.apotheken-umschau.de/media/gp/article_506373/bildwoerterbuch.pdf","x")</f>
        <v>x</v>
      </c>
      <c r="FC102" s="112" t="str">
        <f>HYPERLINK("https://www.studentenwerke.de/sites/default/files/gesundheitswoerterbuch.pdf","x")</f>
        <v>x</v>
      </c>
      <c r="FD102" s="112" t="str">
        <f t="shared" si="37"/>
        <v>x</v>
      </c>
      <c r="FE102" s="112" t="str">
        <f t="shared" si="43"/>
        <v>x</v>
      </c>
      <c r="FF102" s="112" t="str">
        <f>HYPERLINK("http://www.fuhlenhagen.com/pdf_dateien/uebertzungshilfe_aerzte_mehrsprachig.pdf","x")</f>
        <v>x</v>
      </c>
      <c r="FG102" s="112" t="str">
        <f>HYPERLINK("http://www.tipdoc.de/grafik/asyl/Gesundheitsheft_Asyl.pdf","x")</f>
        <v>x</v>
      </c>
      <c r="FH102" s="111"/>
      <c r="FI102" s="111"/>
      <c r="FJ102" s="112" t="str">
        <f>HYPERLINK("http://www.bundesgesundheitsministerium.de/fileadmin/dateien/Publikationen/Gesundheit/Broschueren/Ratgeber_Asylsuchende/Ratgeber_Asylsuchende_engl.pdf","x")</f>
        <v>x</v>
      </c>
      <c r="FK102" s="112" t="str">
        <f>HYPERLINK("http://www.rki.de/DE/Content/Infekt/Impfen/Materialien/Downloads-Impfkalender/Impfkalender_Englisch.pdf?__blob=publicationFile","x")</f>
        <v>x</v>
      </c>
      <c r="FL102" s="112" t="str">
        <f>HYPERLINK("http://www.ethno-medizinisches-zentrum.de/images/PDF-Files/impfwegweiser_englisch_2013_online.pdf","x")</f>
        <v>x</v>
      </c>
      <c r="FM102" s="112"/>
      <c r="FN102" s="112" t="str">
        <f>HYPERLINK("http://www.rki.de/DE/Content/Infekt/Impfen/Materialien/Glossar-Downloads/glossar-de-englisch.pdf?__blob=publicationFile","x")</f>
        <v>x</v>
      </c>
      <c r="FO102" s="112" t="str">
        <f>HYPERLINK("http://www.euro.who.int/__data/assets/pdf_file/0005/160754/VPDs_Signs-symptoms-complications.pdf?ua=1","x")</f>
        <v>x</v>
      </c>
      <c r="FP102" s="112" t="str">
        <f>HYPERLINK("http://www.rki.de/DE/Content/Infekt/Impfen/Materialien/Downloads-MMR/MMR-Impfinfo-englisch.pdf?__blob=publicationFile","x")</f>
        <v>x</v>
      </c>
      <c r="FQ102" s="112" t="str">
        <f>HYPERLINK("http://www.rki.de/DE/Content/InfAZ/P/Polio/Ausbruch_Syrien/Informationsblatt_Polio_Englisch.pdf?__blob=publicationFile","x")</f>
        <v>x</v>
      </c>
      <c r="FR102" s="112" t="str">
        <f>HYPERLINK("http://www.rki.de/DE/Content/Infekt/Impfen/Materialien/Downloads_HepA/Aufklaerung_HAV-Impfung_Englisch.pdf?__blob=publicationFile","x")</f>
        <v>x</v>
      </c>
      <c r="FS102" s="112" t="str">
        <f>HYPERLINK("http://www.rki.de/DE/Content/Infekt/Impfen/Materialien/Downloads_Pneumokokken/Aufklaerung_Pneumo-Impfung_Englisch.pdf?__blob=publicationFile","x")</f>
        <v>x</v>
      </c>
      <c r="FT102" s="112" t="str">
        <f>HYPERLINK("http://www.rki.de/DE/Content/Infekt/Impfen/Materialien/Downloads-DTaPIPVHibHepB/DTaPIPVHibHepB-englisch.pdf?__blob=publicationFile","x")</f>
        <v>x</v>
      </c>
      <c r="FU10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02" s="112" t="str">
        <f>HYPERLINK("http://www.rki.de/DE/Content/Infekt/Impfen/Materialien/Downloads-Tdap-IPV/Tdap-IPV-englisch.pdf?__blob=publicationFile","x")</f>
        <v>x</v>
      </c>
      <c r="FW102" s="112" t="str">
        <f>HYPERLINK("http://www.rki.de/DE/Content/Infekt/Impfen/Materialien/Downloads-Influenza_nasal/Influenza_nasal-englisch.pdf?__blob=publicationFile","x")</f>
        <v>x</v>
      </c>
      <c r="FX102" s="111"/>
      <c r="FY102" s="112"/>
      <c r="FZ102" s="112"/>
      <c r="GA102" s="111"/>
      <c r="GB102" s="111"/>
      <c r="GC102" s="111"/>
      <c r="GD102" s="112" t="str">
        <f>HYPERLINK("http://www.ethno-medizinisches-zentrum.de/images/PDF-Files/lf_diabete_englisch.pdf","x")</f>
        <v>x</v>
      </c>
      <c r="GE102" s="111"/>
      <c r="GF102" s="111"/>
      <c r="GG102" s="111"/>
      <c r="GH102" s="112"/>
      <c r="GI102" s="111"/>
      <c r="GJ102" s="111"/>
      <c r="GK102" s="112" t="str">
        <f>HYPERLINK("http://www.tipdoc.de/bus/pdf/hiv/HIV%20ESP_Webseite.pdf","x")</f>
        <v>x</v>
      </c>
      <c r="GL102" s="111"/>
      <c r="GM102" s="112" t="str">
        <f>HYPERLINK("http://www.rki.de/DE/Content/Infekt/Impfen/Materialien/Downloads-Influenza/Influenza-englisch.pdf?__blob=publicationFile","x")</f>
        <v>x</v>
      </c>
      <c r="GN102" s="111"/>
      <c r="GO102" s="112" t="str">
        <f>HYPERLINK("http://www.aponet.de/englisch/20151111-so-unterscheiden-sich-grippe-und-erkaeltung.html","x")</f>
        <v>x</v>
      </c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2" t="str">
        <f t="shared" si="38"/>
        <v>x</v>
      </c>
      <c r="HD102" s="112" t="str">
        <f>HYPERLINK("https://www.zahnaerzte-wl.de/images/_PDF-suche/KZV_ZÄK/ENDSTAND_Ankreuzbogen_Ich_verstehe.pdf","x")</f>
        <v>x</v>
      </c>
      <c r="HE102" s="112" t="str">
        <f>HYPERLINK("https://www.zahnaerzte-wl.de/images/_PDF-suche/KZV_ZÄK/Anschreiben_Patienten_englisch.pdf","x")</f>
        <v>x</v>
      </c>
      <c r="HF102" s="112" t="str">
        <f>HYPERLINK("https://www.zahnaerzte-wl.de/images/_PDF-suche/KZV_ZÄK/Fragebogen_englisch.pdf","x")</f>
        <v>x</v>
      </c>
      <c r="HG102" s="112" t="str">
        <f>HYPERLINK("https://www.zahnaerzte-wl.de/images/_PDF-suche/KZV_ZÄK/Patientenerhebungsbogen_englisch.pdf","x")</f>
        <v>x</v>
      </c>
      <c r="HH102" s="112"/>
      <c r="HI102" s="112" t="str">
        <f>HYPERLINK("http://www.bvkm.de/fileadmin/web_data/Behinderung_und_Migration_englisch_2014.pdf","x")</f>
        <v>x</v>
      </c>
      <c r="HJ102" s="112"/>
      <c r="HK102" s="112" t="str">
        <f>HYPERLINK("http://www.psychenet.de/en/mental-health/knowledge/depression.html","x")</f>
        <v>x</v>
      </c>
      <c r="HL102" s="111"/>
      <c r="HM102" s="112" t="str">
        <f>HYPERLINK("http://www.psychenet.de/en/mental-health/knowledge/psychoses.html","x")</f>
        <v>x</v>
      </c>
      <c r="HN102" s="112" t="str">
        <f>HYPERLINK("http://www.psychenet.de/en/mental-health/knowledge/somatoform-disorders.html","x")</f>
        <v>x</v>
      </c>
      <c r="HO102" s="112" t="str">
        <f>HYPERLINK("http://www.psychenet.de/en/mental-health/knowledge/anorexia.html","x")</f>
        <v>x</v>
      </c>
      <c r="HP102" s="112" t="str">
        <f>HYPERLINK("http://www.psychenet.de/en/mental-health/knowledge/bulimia.html","x")</f>
        <v>x</v>
      </c>
      <c r="HQ102" s="112" t="str">
        <f>HYPERLINK("http://www.psychenet.de/en/mental-health/knowledge/bipolar-disorder.html","x")</f>
        <v>x</v>
      </c>
      <c r="HR102" s="112" t="str">
        <f>HYPERLINK("http://www.psychenet.de/en/mental-health/knowledge/panic-and-agoraphobia.html","x")</f>
        <v>x</v>
      </c>
      <c r="HS102" s="112" t="str">
        <f>HYPERLINK("http://www.psychenet.de/en/mental-health/knowledge/social-phobia.html","x")</f>
        <v>x</v>
      </c>
      <c r="HT102" s="112" t="str">
        <f>HYPERLINK("http://www.psychenet.de/en/mental-health/knowledge/generalized-anxiety-disorder.html","x")</f>
        <v>x</v>
      </c>
      <c r="HU102" s="112"/>
      <c r="HV102" s="112" t="str">
        <f>HYPERLINK("http://www.psychenet.de/en/mental-health/knowledge/information-and-support.html","x")</f>
        <v>x</v>
      </c>
      <c r="HW102" s="112"/>
      <c r="HX102" s="112" t="str">
        <f>HYPERLINK("http://www.bkk-psychisch-gesund.de/fileadmin/user_upload/Dokumente/Versicherte/Broschueren/Wegweiser_Psychotherapie_englisch.pdf","x")</f>
        <v>x</v>
      </c>
      <c r="HY102" s="112" t="str">
        <f t="shared" si="39"/>
        <v>x</v>
      </c>
      <c r="HZ102" s="112" t="str">
        <f t="shared" si="40"/>
        <v>x</v>
      </c>
      <c r="IA102" s="112" t="str">
        <f>HYPERLINK("http://peacefulheart.se/wp-content/uploads/2012/02/TTT_English_2013.pdf","x")</f>
        <v>x</v>
      </c>
      <c r="IB102" s="112"/>
      <c r="IC102" s="112"/>
      <c r="ID102" s="112" t="str">
        <f>HYPERLINK("http://www.susannestein.de/VIA-online/trauma-picture-book.pdf","x")</f>
        <v>x</v>
      </c>
      <c r="IE102" s="112" t="str">
        <f>HYPERLINK("http://www.psychenet.de/en/mental-health/knowledge/alcohol-in-adolescence.html","x")</f>
        <v>x</v>
      </c>
      <c r="IF102" s="112"/>
      <c r="IG102" s="112"/>
      <c r="IH102" s="111"/>
      <c r="II102" s="112" t="str">
        <f>HYPERLINK("http://www.caritas.de/hilfeundberatung/onlineberatung/suchtberatung/haeufiggestelltefragensucht/haeufiggestelltefragen-sucht","x")</f>
        <v>x</v>
      </c>
      <c r="IJ102" s="112" t="str">
        <f>HYPERLINK("http://www.dhs.de/fileadmin/user_upload/pdf/Broschueren/Ein_Angebot_an_alle-Englisch.pdf","x")</f>
        <v>x</v>
      </c>
      <c r="IK102" s="112" t="str">
        <f>HYPERLINK("http://www.bamf.de/SharedDocs/Anlagen/EN/Publikationen/Flyer/Lassen-Sie-Sich-Beraten/lassen-sie-sich-beraten.pdf?__blob=publicationFile","x")</f>
        <v>x</v>
      </c>
      <c r="IL102" s="115" t="str">
        <f>HYPERLINK("http://www.bamf.de/SharedDocs/Anlagen/EN/Publikationen/Flyer/flyer-erstorientierung-asylsuchende.pdf?__blob=publicationFile","x")</f>
        <v>x</v>
      </c>
      <c r="IM102" s="112" t="str">
        <f>HYPERLINK("http://www.frnrw.de/index.php/inhaltliche-themen/arbeitshilfen/item/3710-erstinfos-fuer-asylsuchende","x")</f>
        <v>x</v>
      </c>
      <c r="IN102" s="112" t="str">
        <f>HYPERLINK("http://www.bamf.de/SharedDocs/Anlagen/EN/Publikationen/Broschueren/willkommen-in-deutschland.pdf;jsessionid=2D72CB108E4AC02BBB9659E7D9A589B2.1_cid368?__blob=publicationFile","x")</f>
        <v>x</v>
      </c>
      <c r="IO102" s="112"/>
      <c r="IP102" s="112"/>
      <c r="IQ102" s="112" t="str">
        <f>HYPERLINK("http://www.bamf.de/SharedDocs/Anlagen/EN/Publikationen/Flyer/Lernen-Sie-Deutsch/lernen-sie-deutsch.pdf?__blob=publicationFile","x")</f>
        <v>x</v>
      </c>
      <c r="IR102" s="112" t="str">
        <f>HYPERLINK("http://www.asyl.net/fileadmin/user_upload/redaktion/Dokumente/Arbeitshilfen/150910_Wie_l%C3%A4uft_ein_Asylverfahren_ab_%C3%9Cberblickstext_Englisch.pdf","x")</f>
        <v>x</v>
      </c>
      <c r="IS102" s="111"/>
      <c r="IT102" s="112" t="str">
        <f>HYPERLINK("http://www.bamf.de/SharedDocs/Anlagen/EN/Publikationen/Flyer/ablauf-asylverfahren.pdf;jsessionid=DBD4307960D761935FCC3E0325D459A1.1_cid294?__blob=publicationFile","x")</f>
        <v>x</v>
      </c>
      <c r="IU102" s="111"/>
      <c r="IV102" s="112" t="str">
        <f>HYPERLINK("http://www.asyl.net/fileadmin/user_upload/infoblatt_anhoerung/Infoblatt_2015_en_fin.pdf","x")</f>
        <v>x</v>
      </c>
      <c r="IW102" s="112"/>
      <c r="IX102" s="112" t="str">
        <f>HYPERLINK("http://www.berlin.de/labo/willkommen-in-berlin/service/downloads/artikel.273193.php","x")</f>
        <v>x</v>
      </c>
      <c r="IY102" s="112" t="str">
        <f>HYPERLINK("http://www.bamf.de/SharedDocs/Anlagen/EN/Publikationen/Broschueren/broschuere-eat-a4.pdf?__blob=publicationFile","x")</f>
        <v>x</v>
      </c>
      <c r="IZ102" s="111"/>
      <c r="JA102" s="112" t="str">
        <f>HYPERLINK("http://fluechtlingsrat-bw.de/informationen-fuer-fluechtlinge.html","x")</f>
        <v>x</v>
      </c>
      <c r="JB102" s="111"/>
      <c r="JC102" s="112" t="str">
        <f>HYPERLINK("http://www.bamf.de/SharedDocs/Anlagen/EN/Publikationen/Flyer/20150223_ura2_en.pdf?__blob=publicationFile","x")</f>
        <v>x</v>
      </c>
      <c r="JD102" s="111"/>
      <c r="JE102" s="112"/>
      <c r="JF102" s="112"/>
      <c r="JG102" s="112" t="str">
        <f>HYPERLINK("http://www.bamf.de/SharedDocs/Anlagen/EN/Publikationen/Flyer/Ehegattennachzug/ehegattennachzug.pdf?__blob=publicationFile","x")</f>
        <v>x</v>
      </c>
      <c r="JH102" s="112" t="str">
        <f>HYPERLINK("https://familyreunion-syria.diplo.de/webportal/index.html#start","x")</f>
        <v>x</v>
      </c>
      <c r="JI102" s="112" t="str">
        <f>HYPERLINK("http://ec.europa.eu/dgs/home-affairs/what-we-do/networks/european_migration_network/docs/emn-glossary-en-version.pdf","x")</f>
        <v>x</v>
      </c>
      <c r="JJ102" s="112"/>
      <c r="JK102" s="112" t="str">
        <f>HYPERLINK("https://www.arbeitsagentur.de/web/wcm/idc/groups/public/documents/webdatei/mdaw/mjgz/~edisp/l6019022dstbai784628.pdf?_ba.sid=L6019022DSTBAI784625","x")</f>
        <v>x</v>
      </c>
      <c r="JL102" s="112" t="str">
        <f>HYPERLINK("http://www.kub-berlin.org/formularprojekt/de/englisch-antraege-und-anlagen-uebersetzungshilfen/","x")</f>
        <v>x</v>
      </c>
      <c r="JM102" s="112" t="str">
        <f>HYPERLINK("https://www.arbeitsagentur.de/web/content/DE/Formulare/Detail/index.htm?dfContentId=L6019022DSTBAI485740","x")</f>
        <v>x</v>
      </c>
      <c r="JN102" s="112"/>
      <c r="JO102" s="112"/>
      <c r="JP102" s="112"/>
      <c r="JQ102" s="112"/>
      <c r="JR102" s="112" t="str">
        <f t="shared" si="44"/>
        <v>x</v>
      </c>
      <c r="JS102" s="112"/>
      <c r="JT102" s="112" t="str">
        <f>HYPERLINK("http://www.b-umf.de/images/willkommen/willkommensbroschureenglisch-web.pdf","x")</f>
        <v>x</v>
      </c>
      <c r="JU102" s="111"/>
      <c r="JV102" s="111"/>
      <c r="JW102" s="112"/>
      <c r="JX102" s="112" t="str">
        <f>HYPERLINK("https://www.arbeitsagentur.de/web/wcm/idc/groups/public/documents/webdatei/mdaw/mjgz/~edisp/l6019022dstbai784636.pdf?_ba.sid=L6019022DSTBAI784633","x")</f>
        <v>x</v>
      </c>
      <c r="JY102" s="112"/>
      <c r="JZ102" s="112"/>
      <c r="KA102" s="112"/>
      <c r="KB102" s="112" t="str">
        <f>HYPERLINK("http://www.refugeeguide.de/dl/RefugeeGuide_en_925.pdf","x")</f>
        <v>x</v>
      </c>
      <c r="KC102" s="112" t="str">
        <f>HYPERLINK("http://www.gesetze-im-internet.de/englisch_gg/basic_law_for_the_federal_republic_of_germany.pdf","x")</f>
        <v>x</v>
      </c>
      <c r="KD102" s="112" t="str">
        <f>HYPERLINK("http://www.wedel.de/fileadmin/user_upload/media/pdf/Rathaus_und_Politik/20160118_PM_Broschuere.pdf","x")</f>
        <v>x</v>
      </c>
      <c r="KE102" s="112" t="str">
        <f>HYPERLINK("http://www.frauenrechte.de/online/images/downloads/allgemein/TDF_Flyer_Women_Men.pdf","x")</f>
        <v>x</v>
      </c>
      <c r="KF102" s="112" t="str">
        <f>HYPERLINK("http://sab.landtag.sachsen.de/dokumente/landtagskurier/Grundwerte-A5-international_web_08012016.pdf","x")</f>
        <v>x</v>
      </c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1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1"/>
      <c r="MD102" s="112" t="str">
        <f>HYPERLINK("http://www.rki.de/DE/Content/Infekt/IfSG/Belehrungsbogen/belehrungsbogen_lebensmittel_englisch.pdf?__blob=publicationFile","x")</f>
        <v>x</v>
      </c>
      <c r="ME102" s="112"/>
      <c r="MF102" s="112" t="str">
        <f>HYPERLINK("http://www.gdv.de/wp-content/uploads/2016/01/Information_Brandschutz_Fluechtlingsheim_-Sicherheit_mehrsprachig.pdf","x")</f>
        <v>x</v>
      </c>
      <c r="MG102" s="112" t="str">
        <f>HYPERLINK("http://www.gdv.de/wp-content/uploads/2016/01/Information_Verhalten-im-Brandfall_mehrsprachig.pdf","x")</f>
        <v>x</v>
      </c>
      <c r="MH102" s="112" t="str">
        <f>HYPERLINK("http://www.aha-region.de/fileadmin/Download/pdf/aha_Plakat_Muelltrennung_en.pdf","x")</f>
        <v>x</v>
      </c>
      <c r="MI102" s="112" t="str">
        <f>HYPERLINK("http://www.kindersicherheit.de/pdf/2012_poster_achtunggiftig_8sprachig.pdf","x")</f>
        <v>x</v>
      </c>
    </row>
    <row r="103" spans="1:347" x14ac:dyDescent="0.25">
      <c r="A103" s="102" t="s">
        <v>384</v>
      </c>
      <c r="B103" s="127" t="s">
        <v>5</v>
      </c>
      <c r="C103" s="102"/>
      <c r="D103" s="102"/>
      <c r="E103" s="102"/>
      <c r="F103" s="102"/>
      <c r="G103" s="102"/>
      <c r="H103" s="102"/>
      <c r="I103" s="102"/>
      <c r="J103" s="102"/>
      <c r="K103" s="103"/>
      <c r="L103" s="111"/>
      <c r="M103" s="111"/>
      <c r="N103" s="111"/>
      <c r="O103" s="111"/>
      <c r="P103" s="112" t="str">
        <f>HYPERLINK("http://www.awb-ahrweiler.de/admin/data/ddownload/Abfall%20Sonderhinweise-Franzoesisch%202015.pdf","x")</f>
        <v>x</v>
      </c>
      <c r="Q103" s="111"/>
      <c r="R103" s="111"/>
      <c r="S103" s="111"/>
      <c r="T103" s="111"/>
      <c r="U103" s="112" t="str">
        <f>HYPERLINK("http://www.ag-fluechtlingshilfe-wetterau.de/uploads/infos/191.pdf","x")</f>
        <v>x</v>
      </c>
      <c r="V103" s="112"/>
      <c r="W103" s="112"/>
      <c r="X103" s="111"/>
      <c r="Y103" s="112"/>
      <c r="Z103" s="112"/>
      <c r="AA103" s="112"/>
      <c r="AB103" s="112"/>
      <c r="AC103" s="112"/>
      <c r="AD103" s="112" t="str">
        <f>HYPERLINK("http://www.rundfunkbeitrag.de/e175/e1632/Informationsflyer_Buergerinnen_und_Buerger_franzoesisch.pdf","x")</f>
        <v>x</v>
      </c>
      <c r="AE103" s="112"/>
      <c r="AF103" s="112" t="str">
        <f>HYPERLINK("http://www.kub-berlin.org/formularprojekt/franzoesisch-antraege-und-anlagen-uebersetzungshilfen/","x")</f>
        <v>x</v>
      </c>
      <c r="AG103" s="112" t="str">
        <f>HYPERLINK("http://asyl-in-moenchengladbach.de/wp-content/uploads/2015/11/100711-Flyer_FR.pdf","x")</f>
        <v>x</v>
      </c>
      <c r="AH103" s="112" t="str">
        <f>HYPERLINK("http://sghanstedt.elbnetz.com/ueber-uns/","x")</f>
        <v>x</v>
      </c>
      <c r="AI103" s="111"/>
      <c r="AJ103" s="111"/>
      <c r="AK103" s="112" t="str">
        <f>HYPERLINK("https://www.vrsinfo.de/fileadmin/Dateien/downloadcenter/Folder_MobilPassTicket_Refugees01012016.pdf","x")</f>
        <v>x</v>
      </c>
      <c r="AL103" s="112" t="str">
        <f>HYPERLINK("https://www.vrsinfo.de/fileadmin/Dateien/downloadcenter/Willkommen_im_VRS2016_Druck.pdf","x")</f>
        <v>x</v>
      </c>
      <c r="AM103" s="112"/>
      <c r="AN103" s="112" t="str">
        <f>HYPERLINK("https://www.deutschebahn.com/file/de/2191748/eYdgZpqGpp5sMJ2KMKtg2r8aE4Q/10123812/data/infos_fuer_fluechtlinge.pdf","x")</f>
        <v>x</v>
      </c>
      <c r="AO103" s="112"/>
      <c r="AP103" s="112"/>
      <c r="AQ103" s="112"/>
      <c r="AR103" s="112"/>
      <c r="AS103" s="112"/>
      <c r="AT103" s="112"/>
      <c r="AU103" s="112"/>
      <c r="AV103" s="114" t="str">
        <f>HYPERLINK("http://www.studentenwerke.de/de/content/illustriertes-wohnheimw%C3%B6rterbuch-1","x")</f>
        <v>x</v>
      </c>
      <c r="AW103" s="114" t="str">
        <f t="shared" si="22"/>
        <v>x</v>
      </c>
      <c r="AX103" s="114" t="str">
        <f t="shared" si="23"/>
        <v>x</v>
      </c>
      <c r="AY103" s="111"/>
      <c r="AZ103" s="111"/>
      <c r="BA103" s="112" t="str">
        <f t="shared" si="24"/>
        <v>x</v>
      </c>
      <c r="BB103" s="112" t="str">
        <f t="shared" si="25"/>
        <v>x</v>
      </c>
      <c r="BC103" s="111"/>
      <c r="BD103" s="111"/>
      <c r="BE103" s="111"/>
      <c r="BF103" s="112" t="str">
        <f>HYPERLINK("http://fi-lohmar-siegburg.de/data/documents/communicationboard-arabic-french.pdf","x")</f>
        <v>x</v>
      </c>
      <c r="BG103" s="111"/>
      <c r="BH103" s="112" t="str">
        <f>HYPERLINK("http://www.refugeephrasebook.de/pdf/germany150920.pdf","x")</f>
        <v>x</v>
      </c>
      <c r="BI103" s="112" t="str">
        <f>HYPERLINK("https://www.advanced-online.eu/downloads/RefugeePhrasebookCards_German-French.pdf","x")</f>
        <v>x</v>
      </c>
      <c r="BJ103" s="112" t="str">
        <f>HYPERLINK("http://www.klett-sprachen.de/download/8638/W100255_Refugees_Welcome_Wortschatz.pdf","x")</f>
        <v>x</v>
      </c>
      <c r="BK103" s="111"/>
      <c r="BL103" s="112" t="str">
        <f>HYPERLINK("http://www.bundessprachenamt.de/deutsch/wir_ueber_uns/nachrichten/2015/20151103/Verständigungshilfe_Französisch_26_11_2015.pdf","x")</f>
        <v>x</v>
      </c>
      <c r="BM103" s="111"/>
      <c r="BN103" s="111"/>
      <c r="BO103" s="111"/>
      <c r="BP103" s="111"/>
      <c r="BQ103" s="111"/>
      <c r="BR103" s="111"/>
      <c r="BS103" s="112" t="str">
        <f t="shared" si="26"/>
        <v>x</v>
      </c>
      <c r="BT103" s="112"/>
      <c r="BU103" s="111"/>
      <c r="BV103" s="112" t="str">
        <f t="shared" si="27"/>
        <v>x</v>
      </c>
      <c r="BW103" s="112" t="str">
        <f>HYPERLINK("http://www.welcomegrooves.de/wp-content/uploads/2015/11/welcomegrooves-de-franzoesisch.pdf","x")</f>
        <v>x</v>
      </c>
      <c r="BX103" s="112"/>
      <c r="BY103" s="112"/>
      <c r="BZ103" s="112" t="str">
        <f>HYPERLINK("http://fluechtlingshilfe-nettetal.de/ausbildung/video-sprachkurse-deutsch-fuer-fluechtlinge/video-sprachkurs-franzoesisch-deutsch/","x")</f>
        <v>x</v>
      </c>
      <c r="CA103" s="112" t="str">
        <f t="shared" si="28"/>
        <v>x</v>
      </c>
      <c r="CB103" s="112" t="str">
        <f t="shared" si="29"/>
        <v>x</v>
      </c>
      <c r="CC103" s="112" t="str">
        <f t="shared" si="30"/>
        <v>x</v>
      </c>
      <c r="CD103" s="112"/>
      <c r="CE103" s="112"/>
      <c r="CF103" s="111"/>
      <c r="CG103" s="111"/>
      <c r="CH103" s="112" t="str">
        <f>HYPERLINK("http://mifkjf.rlp.de/fileadmin/mifkjf/Frauen/Gewalt_gegen_Frauen/Downloads/Broschueren_Flyer/Flyer_Gewalt_franzoesisch.pdf","x")</f>
        <v>x</v>
      </c>
      <c r="CI103" s="112" t="str">
        <f>HYPERLINK("https://www.hilfetelefon.de/fileadmin/hilfetelefon_de/Materialien/Flyer/Infoflyer_Hilfetelefon_Gewalt_gegen_Frauen141105_b2.pdf","x")</f>
        <v>x</v>
      </c>
      <c r="CJ103" s="112" t="str">
        <f t="shared" si="42"/>
        <v>x</v>
      </c>
      <c r="CK103" s="112" t="str">
        <f t="shared" si="31"/>
        <v>x</v>
      </c>
      <c r="CL103" s="112"/>
      <c r="CM103" s="112"/>
      <c r="CN103" s="112"/>
      <c r="CO103" s="112"/>
      <c r="CP103" s="112" t="str">
        <f>HYPERLINK("http://www.schwanger-und-viele-fragen.de/fr/","x")</f>
        <v>x</v>
      </c>
      <c r="CQ103" s="112"/>
      <c r="CR103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03" s="112" t="str">
        <f>HYPERLINK("http://en.beststart.org/for_parents/are-you-looking-resources-languages-other-english-and-french","x")</f>
        <v>x</v>
      </c>
      <c r="CT103" s="112"/>
      <c r="CU103" s="112" t="str">
        <f>HYPERLINK("http://www.profamilia.de/fileadmin/publikationen/Erwachsene/mehrsprachig/Bro_Verhuetung_frz_141002.pdf","x")</f>
        <v>x</v>
      </c>
      <c r="CV103" s="112"/>
      <c r="CW103" s="112"/>
      <c r="CX103" s="112"/>
      <c r="CY103" s="112" t="str">
        <f>HYPERLINK("http://www.caritas-schwarzwald-alb-donau.de/68854.html","x")</f>
        <v>x</v>
      </c>
      <c r="CZ103" s="112"/>
      <c r="DA103" s="112"/>
      <c r="DB103" s="112"/>
      <c r="DC103" s="115" t="str">
        <f>HYPERLINK("http://www.kindersicherheit.de/pdf/2013_BAG_Tomi_and_Mila_Deutsch_Francais.pdf","x")</f>
        <v>x</v>
      </c>
      <c r="DD103" s="112"/>
      <c r="DE103" s="112"/>
      <c r="DF103" s="112" t="str">
        <f t="shared" si="32"/>
        <v>x</v>
      </c>
      <c r="DG103" s="115" t="str">
        <f t="shared" si="33"/>
        <v>x</v>
      </c>
      <c r="DH103" s="112" t="str">
        <f t="shared" si="34"/>
        <v>x</v>
      </c>
      <c r="DI103" s="112" t="str">
        <f t="shared" si="35"/>
        <v>x</v>
      </c>
      <c r="DJ103" s="112"/>
      <c r="DK103" s="112"/>
      <c r="DL103" s="112"/>
      <c r="DM103" s="112"/>
      <c r="DN103" s="112"/>
      <c r="DO103" s="112"/>
      <c r="DP103" s="111"/>
      <c r="DQ103" s="111"/>
      <c r="DR103" s="112" t="str">
        <f>HYPERLINK("https://broschueren.nordrheinwestfalendirekt.de/broschuerenservice/msw/fr-das-schulsystem-in-nordrhein-westfalen-einfach-und-schnell-erklaert/1903","x")</f>
        <v>x</v>
      </c>
      <c r="DS103" s="112" t="str">
        <f>HYPERLINK("http://bildung.koeln.de/materialbibliothek/download.php?idx=6f75d59e17e7868506c0a48e6f7a44f2","x")</f>
        <v>x</v>
      </c>
      <c r="DT103" s="112" t="str">
        <f>HYPERLINK("http://bildung.koeln.de/materialbibliothek/download.php?idx=bde72be3f1bc4c51a4b0bcfe4a4187c4","x")</f>
        <v>x</v>
      </c>
      <c r="DU103" s="112"/>
      <c r="DV103" s="112" t="str">
        <f>HYPERLINK("https://www.bmbf.de/pub/KAUSA_Elternratgeber_deutsch_franzoesisch.pdf","x")</f>
        <v>x</v>
      </c>
      <c r="DW103" s="111"/>
      <c r="DX103" s="112" t="str">
        <f>HYPERLINK("http://www.wissenschaft.nrw.de/studium/informieren/informationen-fuer-fluechtlinge-die-in-nrw-studieren-moechten/","x")</f>
        <v>x</v>
      </c>
      <c r="DY103" s="111"/>
      <c r="DZ103" s="112" t="str">
        <f>HYPERLINK("http://www.bamf.de/SharedDocs/Anlagen/DE/Publikationen/Flyer/AnerkennungBerufsabschluss/anerkennung-berufsabschluss_fr.pdf?__blob=publicationFile","x")</f>
        <v>x</v>
      </c>
      <c r="EA103" s="112" t="str">
        <f>HYPERLINK("http://www.bamf.de/SharedDocs/Anlagen/DE/Publikationen/Flyer/AnerkennungBerufsabschluss/anerkennung-berufsabschluss_ausland_fr.pdf?__blob=publicationFile","x")</f>
        <v>x</v>
      </c>
      <c r="EB103" s="112" t="str">
        <f>HYPERLINK("http://www.bamf.de/SharedDocs/Anlagen/DE/Publikationen/Broschueren/willkommen-in-deutschland-info-blaue-karte-eu_fr.pdf?__blob=publicationFile","x")</f>
        <v>x</v>
      </c>
      <c r="EC103" s="112" t="str">
        <f>HYPERLINK("http://www.bamf.de/SharedDocs/Anlagen/DE/Publikationen/Flyer/Berufsbezsprachf-ESF-BAMF/berufsbezsprachf-esf-bamf_fr.pdf?__blob=publicationFile","x")</f>
        <v>x</v>
      </c>
      <c r="ED103" s="111"/>
      <c r="EE103" s="111"/>
      <c r="EF103" s="111"/>
      <c r="EG103" s="111"/>
      <c r="EH103" s="111"/>
      <c r="EI103" s="111"/>
      <c r="EJ103" s="112"/>
      <c r="EK103" s="112" t="str">
        <f>HYPERLINK("http://fluechtlingsrat-bw.de/files/Dateien/Dokumente/Materialbestellung/2014-12-flyer%20arbeitserlaubnis%20FRZ%20WEB.pdf","x")</f>
        <v>x</v>
      </c>
      <c r="EL103" s="111"/>
      <c r="EM103" s="112" t="str">
        <f>HYPERLINK("http://www.kvs-sachsen.de/fileadmin/img/Mitglieder/Asylbewerber/Allg-Informationen/Anlage_1_Franzoesisch_LEK.pdf","x")</f>
        <v>x</v>
      </c>
      <c r="EN103" s="112" t="str">
        <f>HYPERLINK("http://www.medizin-hilft-fluechtlingen.de/images/Dokumente/gSch/gSch_fra.pdf","x")</f>
        <v>x</v>
      </c>
      <c r="EO103" s="112"/>
      <c r="EP103" s="117" t="str">
        <f t="shared" si="41"/>
        <v>x</v>
      </c>
      <c r="EQ103" s="117" t="str">
        <f>HYPERLINK("http://www.armut-gesundheit.de/fileadmin/redakteur/dokumente/Anamnesebogen%20-%20franz%C3%B6sischnew.pdf","x")</f>
        <v>x</v>
      </c>
      <c r="ER103" s="112" t="str">
        <f>HYPERLINK("http://www.kvs-sachsen.de/fileadmin/img/Mitglieder/Asylbewerber/Allg-Informationen/Anlagen_2-1_2-2_Franzoesisch_LEK.pdf","x")</f>
        <v>x</v>
      </c>
      <c r="ES103" s="111"/>
      <c r="ET103" s="111"/>
      <c r="EU103" s="112" t="str">
        <f>HYPERLINK("http://medizin-hilft-fluechtlingen.de/images/Dokumente/ein/ein_per.pdf","x")</f>
        <v>x</v>
      </c>
      <c r="EV103" s="112" t="str">
        <f>HYPERLINK("http://www.adler-apotheke-hh.de/fileadmin/user_upload/PDF-Dateien/Dosierzettel_mehrsprachig_AUF_0_.pdf","x")</f>
        <v>x</v>
      </c>
      <c r="EW103" s="112" t="str">
        <f t="shared" si="36"/>
        <v>x</v>
      </c>
      <c r="EX103" s="112" t="str">
        <f>HYPERLINK("http://www.rki.de/DE/Content/Infekt/IfSG/Belehrungsbogen/belehrungsbogen_eltern_franzoesisch.pdf?__blob=publicationFile","x")</f>
        <v>x</v>
      </c>
      <c r="EY103" s="111"/>
      <c r="EZ103" s="112" t="str">
        <f>HYPERLINK("https://www.mh-hannover.de/fileadmin/mhh/bilder/aktuelles_presse/pressestelle/bilder/Pilzvergif_franzoesisch.pdf","x")</f>
        <v>x</v>
      </c>
      <c r="FA103" s="112"/>
      <c r="FB103" s="112" t="str">
        <f>HYPERLINK("http://static.apotheken-umschau.de/media/gp/article_506373/bildwoerterbuch.pdf","x")</f>
        <v>x</v>
      </c>
      <c r="FC103" s="111"/>
      <c r="FD103" s="112" t="str">
        <f t="shared" si="37"/>
        <v>x</v>
      </c>
      <c r="FE103" s="112" t="str">
        <f t="shared" si="43"/>
        <v>x</v>
      </c>
      <c r="FF103" s="111"/>
      <c r="FG103" s="112" t="str">
        <f>HYPERLINK("http://www.tipdoc.de/grafik/asyl/Gesundheitsheft_Asyl.pdf","x")</f>
        <v>x</v>
      </c>
      <c r="FH103" s="111"/>
      <c r="FI103" s="111"/>
      <c r="FJ103" s="112"/>
      <c r="FK103" s="112" t="str">
        <f>HYPERLINK("http://www.rki.de/DE/Content/Infekt/Impfen/Materialien/Downloads-Impfkalender/Impfkalender_Franzoesisch.pdf?__blob=publicationFile","x")</f>
        <v>x</v>
      </c>
      <c r="FL103" s="112" t="str">
        <f>HYPERLINK("http://www.ethno-medizinisches-zentrum.de/images/PDF-Files/impfwegweiser_franzosisch_2013_online.pdf","x")</f>
        <v>x</v>
      </c>
      <c r="FM103" s="112"/>
      <c r="FN103" s="112" t="str">
        <f>HYPERLINK("http://www.rki.de/DE/Content/Infekt/Impfen/Materialien/Glossar-Downloads/glossar-de-franzoesisch.pdf?__blob=publicationFile","x")</f>
        <v>x</v>
      </c>
      <c r="FO103" s="112" t="str">
        <f>HYPERLINK("http://www.euro.who.int/__data/assets/pdf_file/0012/162300/VPD-Signs,-symptoms-and-complications-FRE.pdf","x")</f>
        <v>x</v>
      </c>
      <c r="FP103" s="112" t="str">
        <f>HYPERLINK("http://www.rki.de/DE/Content/Infekt/Impfen/Materialien/Downloads-MMR/MMR-Impfinfo-franzoesisch.pdf?__blob=publicationFile","x")</f>
        <v>x</v>
      </c>
      <c r="FQ103" s="112" t="str">
        <f>HYPERLINK("http://www.rki.de/DE/Content/InfAZ/P/Polio/Ausbruch_Syrien/Informationsblatt_Polio_Franzoesisch.pdf?__blob=publicationFile","x")</f>
        <v>x</v>
      </c>
      <c r="FR103" s="112" t="str">
        <f>HYPERLINK("http://www.rki.de/DE/Content/Infekt/Impfen/Materialien/Downloads_HepA/Aufklaerung_HAV-Impfung_Franzoesisch.pdf?__blob=publicationFile","x")</f>
        <v>x</v>
      </c>
      <c r="FS103" s="112" t="str">
        <f>HYPERLINK("http://www.rki.de/DE/Content/Infekt/Impfen/Materialien/Downloads_Pneumokokken/Aufklaerung_Pneumo-Impfung_Franzoesisch.pdf?__blob=publicationFile","x")</f>
        <v>x</v>
      </c>
      <c r="FT103" s="112" t="str">
        <f>HYPERLINK("http://www.rki.de/DE/Content/Infekt/Impfen/Materialien/Downloads-DTaPIPVHibHepB/DTaPIPVHibHepB-franzoesisch.pdf?__blob=publicationFile","x")</f>
        <v>x</v>
      </c>
      <c r="FU103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03" s="112" t="str">
        <f>HYPERLINK("http://www.rki.de/DE/Content/Infekt/Impfen/Materialien/Downloads-Tdap-IPV/Tdap-IPV-franzoesisch.pdf?__blob=publicationFile","x")</f>
        <v>x</v>
      </c>
      <c r="FW103" s="112" t="str">
        <f>HYPERLINK("http://www.rki.de/DE/Content/Infekt/Impfen/Materialien/Downloads-Influenza_nasal/Influenza_nasal-franzoesisch.pdf?__blob=publicationFile","x")</f>
        <v>x</v>
      </c>
      <c r="FX103" s="111"/>
      <c r="FY103" s="112"/>
      <c r="FZ103" s="112"/>
      <c r="GA103" s="111"/>
      <c r="GB103" s="111"/>
      <c r="GC103" s="111"/>
      <c r="GD103" s="112" t="str">
        <f>HYPERLINK("http://www.ethno-medizinisches-zentrum.de/images/PDF-Files/lf_diabete_franzosisch.pdf","x")</f>
        <v>x</v>
      </c>
      <c r="GE103" s="111"/>
      <c r="GF103" s="111"/>
      <c r="GG103" s="111"/>
      <c r="GH103" s="112"/>
      <c r="GI103" s="111"/>
      <c r="GJ103" s="111"/>
      <c r="GK103" s="112" t="str">
        <f>HYPERLINK("http://www.tipdoc.de/bus/pdf/hiv/HIV%20SRF_Webseite.pdf","x")</f>
        <v>x</v>
      </c>
      <c r="GL103" s="111"/>
      <c r="GM103" s="112" t="str">
        <f>HYPERLINK("http://www.rki.de/DE/Content/Infekt/Impfen/Materialien/Downloads-Influenza/Influenza-franzoesisch.pdf?__blob=publicationFile","x")</f>
        <v>x</v>
      </c>
      <c r="GN103" s="111"/>
      <c r="GO103" s="111"/>
      <c r="GP103" s="112" t="str">
        <f>HYPERLINK("http://www.tipdoc.de/grafik/pdf/kopflaeuse/Kopflaeuse_FRANZ.pdf","x")</f>
        <v>x</v>
      </c>
      <c r="GQ103" s="112"/>
      <c r="GR103" s="112" t="str">
        <f>HYPERLINK("http://www.tipdoc.com/bus/pdf/kraetze/tipdoc_Scabies_FRANZ.pdf","x")</f>
        <v>x</v>
      </c>
      <c r="GS103" s="112" t="str">
        <f>HYPERLINK("http://www.tipdoc.com/bus/pdf/MagenDarmHaende/MagenDarmHaende_FRANZ.pdf","x")</f>
        <v>x</v>
      </c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2" t="str">
        <f t="shared" si="38"/>
        <v>x</v>
      </c>
      <c r="HD103" s="112" t="str">
        <f>HYPERLINK("https://www.zahnaerzte-wl.de/images/_PDF-suche/KZV_ZÄK/ENDSTAND_Ankreuzbogen_Ich_verstehe.pdf","x")</f>
        <v>x</v>
      </c>
      <c r="HE103" s="112" t="str">
        <f>HYPERLINK("https://www.zahnaerzte-wl.de/images/_PDF-suche/KZV_ZÄK/Anschreiben_Patienten_franzoesisch.pdf","x")</f>
        <v>x</v>
      </c>
      <c r="HF103" s="112" t="str">
        <f>HYPERLINK("https://www.zahnaerzte-wl.de/images/_PDF-suche/KZV_ZÄK/Fragebogen_franzoesisch.pdf","x")</f>
        <v>x</v>
      </c>
      <c r="HG103" s="112" t="str">
        <f>HYPERLINK("https://www.zahnaerzte-wl.de/images/_PDF-suche/KZV_ZÄK/Patientenerhebungsbogen_franzoesisch.pdf","x")</f>
        <v>x</v>
      </c>
      <c r="HH103" s="112"/>
      <c r="HI103" s="112" t="str">
        <f>HYPERLINK("http://www.bvkm.de/fileadmin/web_data/Behinderung_und_Migration_franzoesisch_2014.pdf","x")</f>
        <v>x</v>
      </c>
      <c r="HJ103" s="112"/>
      <c r="HK103" s="112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2" t="str">
        <f t="shared" si="39"/>
        <v>x</v>
      </c>
      <c r="HZ103" s="112" t="str">
        <f t="shared" si="40"/>
        <v>x</v>
      </c>
      <c r="IA103" s="112" t="str">
        <f>HYPERLINK("http://peacefulheart.se/wp-content/uploads/2015/01/Tapping_French_Module-20150102-2.pdf","x")</f>
        <v>x</v>
      </c>
      <c r="IB103" s="111"/>
      <c r="IC103" s="111"/>
      <c r="ID103" s="111"/>
      <c r="IE103" s="111"/>
      <c r="IF103" s="111"/>
      <c r="IG103" s="111"/>
      <c r="IH103" s="111"/>
      <c r="II103" s="112" t="str">
        <f>HYPERLINK("http://www.caritas.de/hilfeundberatung/onlineberatung/suchtberatung/haeufiggestelltefragensucht/haeufiggestelltefragen-sucht","x")</f>
        <v>x</v>
      </c>
      <c r="IJ103" s="111"/>
      <c r="IK103" s="112" t="str">
        <f>HYPERLINK("http://www.bamf.de/SharedDocs/Anlagen/DE/Publikationen/Flyer/Lassen-Sie-Sich-Beraten/lassen-sie-sich-beraten_fr.pdf?__blob=publicationFile","x")</f>
        <v>x</v>
      </c>
      <c r="IL103" s="112" t="str">
        <f>HYPERLINK("http://www.bamf.de/SharedDocs/Anlagen/DE/Publikationen/Flyer/flyer-erstorientierung-asylsuchende_franzoesisch.pdf?__blob=publicationFile","x")</f>
        <v>x</v>
      </c>
      <c r="IM103" s="112" t="str">
        <f>HYPERLINK("http://www.frnrw.de/index.php/inhaltliche-themen/arbeitshilfen/item/3710-erstinfos-fuer-asylsuchende","x")</f>
        <v>x</v>
      </c>
      <c r="IN103" s="112" t="str">
        <f>HYPERLINK("https://www.bamf.de/SharedDocs/Anlagen/DE/Publikationen/Broschueren/willkommen-in-deutschland_fr.pdf?__blob=publicationFile","x")</f>
        <v>x</v>
      </c>
      <c r="IO103" s="112"/>
      <c r="IP103" s="112"/>
      <c r="IQ103" s="112" t="str">
        <f>HYPERLINK("http://www.bamf.de/SharedDocs/Anlagen/DE/Publikationen/Flyer/Lernen-Sie-Deutsch/lernen-sie-deutsch_fr.pdf?__blob=publicationFile","x")</f>
        <v>x</v>
      </c>
      <c r="IR103" s="112"/>
      <c r="IS103" s="111"/>
      <c r="IT103" s="111"/>
      <c r="IU103" s="111"/>
      <c r="IV103" s="112" t="str">
        <f>HYPERLINK("http://www.asyl.net/fileadmin/user_upload/infoblatt_anhoerung/Frz_final.pdf","x")</f>
        <v>x</v>
      </c>
      <c r="IW103" s="112"/>
      <c r="IX103" s="112" t="str">
        <f>HYPERLINK("http://www.berlin.de/labo/willkommen-in-berlin/service/downloads/artikel.273193.php","x")</f>
        <v>x</v>
      </c>
      <c r="IY103" s="112" t="str">
        <f>HYPERLINK("http://www.bamf.de/SharedDocs/Anlagen/DE/Publikationen/Broschueren/broschuere-eat-a4-fr-franzoesisch.pdf?__blob=publicationFile","x")</f>
        <v>x</v>
      </c>
      <c r="IZ103" s="111"/>
      <c r="JA103" s="112" t="str">
        <f>HYPERLINK("http://fluechtlingsrat-bw.de/informationen-fuer-fluechtlinge.html","x")</f>
        <v>x</v>
      </c>
      <c r="JB103" s="111"/>
      <c r="JC103" s="112" t="str">
        <f>HYPERLINK("http://www.bamf.de/SharedDocs/Anlagen/DE/Publikationen/Flyer/20150223_ura2_fra.pdf?__blob=publicationFile","x")</f>
        <v>x</v>
      </c>
      <c r="JD103" s="111"/>
      <c r="JE103" s="112"/>
      <c r="JF103" s="112"/>
      <c r="JG103" s="112"/>
      <c r="JH103" s="112"/>
      <c r="JI103" s="111"/>
      <c r="JJ103" s="112" t="str">
        <f>HYPERLINK("http://www.kub-berlin.org/formularprojekt/franzoesisch-antraege-und-anlagen-uebersetzungshilfen/","x")</f>
        <v>x</v>
      </c>
      <c r="JK103" s="112" t="str">
        <f>HYPERLINK("https://www.arbeitsagentur.de/web/wcm/idc/groups/public/documents/webdatei/mdaw/mjg1/~edisp/l6019022dstbai788667.pdf?_ba.sid=L6019022DSTBAI784626","x")</f>
        <v>x</v>
      </c>
      <c r="JL103" s="112" t="str">
        <f>HYPERLINK("http://www.kub-berlin.org/formularprojekt/franzoesisch-antraege-und-anlagen-uebersetzungshilfen/","x")</f>
        <v>x</v>
      </c>
      <c r="JM103" s="112" t="str">
        <f>HYPERLINK("https://www.arbeitsagentur.de/web/content/DE/Formulare/Detail/index.htm?dfContentId=L6019022DSTBAI485740","x")</f>
        <v>x</v>
      </c>
      <c r="JN103" s="112"/>
      <c r="JO103" s="112"/>
      <c r="JP103" s="112"/>
      <c r="JQ103" s="112"/>
      <c r="JR103" s="112" t="str">
        <f t="shared" si="44"/>
        <v>x</v>
      </c>
      <c r="JS103" s="112"/>
      <c r="JT103" s="112" t="str">
        <f>HYPERLINK("http://www.b-umf.de/images/willkommen/willkommensbroschurefranzoesisch-web.pdf","x")</f>
        <v>x</v>
      </c>
      <c r="JU103" s="111"/>
      <c r="JV103" s="111"/>
      <c r="JW103" s="112"/>
      <c r="JX103" s="112"/>
      <c r="JY103" s="112"/>
      <c r="JZ103" s="112"/>
      <c r="KA103" s="112"/>
      <c r="KB103" s="112" t="str">
        <f>HYPERLINK("http://www.refugeeguide.de/dl/RefugeeGuide_fr_925.pdf","x")</f>
        <v>x</v>
      </c>
      <c r="KC103" s="111"/>
      <c r="KD103" s="112" t="str">
        <f>HYPERLINK("http://www.wedel.de/fileadmin/user_upload/media/pdf/Rathaus_und_Politik/20160118_PM_Broschuere.pdf","x")</f>
        <v>x</v>
      </c>
      <c r="KE103" s="112" t="str">
        <f>HYPERLINK("http://www.frauenrechte.de/online/images/downloads/allgemein/TDF_Flyer_Women_Men.pdf","x")</f>
        <v>x</v>
      </c>
      <c r="KF103" s="112" t="str">
        <f>HYPERLINK("http://sab.landtag.sachsen.de/dokumente/landtagskurier/Grundwerte-A5-international_web_08012016.pdf","x")</f>
        <v>x</v>
      </c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1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1"/>
      <c r="LN103" s="111"/>
      <c r="LO103" s="111"/>
      <c r="LP103" s="111"/>
      <c r="LQ103" s="112"/>
      <c r="LR103" s="111"/>
      <c r="LS103" s="112"/>
      <c r="LT103" s="112"/>
      <c r="LU103" s="111"/>
      <c r="LV103" s="111"/>
      <c r="LW103" s="111"/>
      <c r="LX103" s="111"/>
      <c r="LY103" s="111"/>
      <c r="LZ103" s="111"/>
      <c r="MA103" s="111"/>
      <c r="MB103" s="112"/>
      <c r="MC103" s="111"/>
      <c r="MD103" s="112" t="str">
        <f>HYPERLINK("http://www.rki.de/DE/Content/Infekt/IfSG/Belehrungsbogen/belehrungsbogen_lebensmittel_franzoesisch.pdf?__blob=publicationFile","x")</f>
        <v>x</v>
      </c>
      <c r="ME103" s="111"/>
      <c r="MF103" s="112" t="str">
        <f>HYPERLINK("http://www.gdv.de/wp-content/uploads/2016/01/Information_Brandschutz_Fluechtlingsheim_-Sicherheit_mehrsprachig.pdf","x")</f>
        <v>x</v>
      </c>
      <c r="MG103" s="112" t="str">
        <f>HYPERLINK("http://www.gdv.de/wp-content/uploads/2016/01/Information_Verhalten-im-Brandfall_mehrsprachig.pdf","x")</f>
        <v>x</v>
      </c>
      <c r="MH103" s="112" t="str">
        <f>HYPERLINK("http://www.aha-region.de/fileadmin/Download/pdf/aha_Plakat_Muelltrennung_fr.pdf","x")</f>
        <v>x</v>
      </c>
      <c r="MI103" s="112" t="str">
        <f>HYPERLINK("http://www.kindersicherheit.de/pdf/2012_poster_achtunggiftig_8sprachig.pdf","x")</f>
        <v>x</v>
      </c>
    </row>
    <row r="104" spans="1:347" x14ac:dyDescent="0.25">
      <c r="A104" s="102" t="s">
        <v>84</v>
      </c>
      <c r="B104" s="127" t="s">
        <v>7</v>
      </c>
      <c r="C104" s="102"/>
      <c r="D104" s="102"/>
      <c r="E104" s="102"/>
      <c r="F104" s="102"/>
      <c r="G104" s="102"/>
      <c r="H104" s="102"/>
      <c r="I104" s="102"/>
      <c r="J104" s="102"/>
      <c r="K104" s="103"/>
      <c r="L104" s="111"/>
      <c r="M104" s="111"/>
      <c r="N104" s="112" t="str">
        <f>HYPERLINK("http://www.ag-fluechtlingshilfe-wetterau.de/uploads/infos/170.pdf","x")</f>
        <v>x</v>
      </c>
      <c r="O104" s="112"/>
      <c r="P104" s="112" t="str">
        <f>HYPERLINK("https://willkommensteamelmshorn.files.wordpress.com/2015/11/sortieranleitung_pinneberg_2015_russisch.pdf","x")</f>
        <v>x</v>
      </c>
      <c r="Q104" s="112"/>
      <c r="R104" s="112"/>
      <c r="S104" s="112"/>
      <c r="T104" s="112"/>
      <c r="U104" s="112"/>
      <c r="V104" s="112"/>
      <c r="W104" s="111"/>
      <c r="X104" s="112"/>
      <c r="Y104" s="111"/>
      <c r="Z104" s="111"/>
      <c r="AA104" s="111"/>
      <c r="AB104" s="111"/>
      <c r="AC104" s="111"/>
      <c r="AD104" s="112" t="str">
        <f>HYPERLINK("http://www.rundfunkbeitrag.de/e175/e1634/Informationsflyer_Buerginnen_und_Buerger_russisch.pdf","x")</f>
        <v>x</v>
      </c>
      <c r="AE104" s="111"/>
      <c r="AF104" s="112" t="str">
        <f>HYPERLINK("http://www.kub-berlin.org/formularprojekt/de/russisch-antraege-und-anlagen/","x")</f>
        <v>x</v>
      </c>
      <c r="AG104" s="111"/>
      <c r="AH104" s="112" t="str">
        <f>HYPERLINK("http://sghanstedt.elbnetz.com/ueber-uns/","x")</f>
        <v>x</v>
      </c>
      <c r="AI104" s="111"/>
      <c r="AJ104" s="111"/>
      <c r="AK104" s="111"/>
      <c r="AL104" s="111"/>
      <c r="AM104" s="111"/>
      <c r="AN104" s="111"/>
      <c r="AO104" s="112"/>
      <c r="AP104" s="112"/>
      <c r="AQ104" s="112"/>
      <c r="AR104" s="112"/>
      <c r="AS104" s="112"/>
      <c r="AT104" s="112"/>
      <c r="AU104" s="112"/>
      <c r="AV104" s="113"/>
      <c r="AW104" s="114" t="str">
        <f t="shared" si="22"/>
        <v>x</v>
      </c>
      <c r="AX104" s="114" t="str">
        <f t="shared" si="23"/>
        <v>x</v>
      </c>
      <c r="AY104" s="111"/>
      <c r="AZ104" s="111"/>
      <c r="BA104" s="112" t="str">
        <f t="shared" si="24"/>
        <v>x</v>
      </c>
      <c r="BB104" s="112" t="str">
        <f t="shared" si="25"/>
        <v>x</v>
      </c>
      <c r="BC104" s="111"/>
      <c r="BD104" s="111"/>
      <c r="BE104" s="111"/>
      <c r="BF104" s="111"/>
      <c r="BG104" s="111"/>
      <c r="BH104" s="111"/>
      <c r="BI104" s="111"/>
      <c r="BJ104" s="111"/>
      <c r="BK104" s="112" t="str">
        <f>HYPERLINK("http://www.agf-trier.de/sites/default/files/bersetzungshilfe%20russisch%20allgemein.pdf","x")</f>
        <v>x</v>
      </c>
      <c r="BL104" s="111"/>
      <c r="BM104" s="112" t="str">
        <f>HYPERLINK("http://www.frnrw.de/images/Aus_den_Initiativen/Ehrenamtler/2015/Dictionary_x10_print-2.pdf","x")</f>
        <v>x</v>
      </c>
      <c r="BN104" s="111"/>
      <c r="BO104" s="111"/>
      <c r="BP104" s="111"/>
      <c r="BQ104" s="111"/>
      <c r="BR104" s="111"/>
      <c r="BS104" s="112" t="str">
        <f t="shared" si="26"/>
        <v>x</v>
      </c>
      <c r="BT104" s="112"/>
      <c r="BU104" s="111"/>
      <c r="BV104" s="112" t="str">
        <f t="shared" si="27"/>
        <v>x</v>
      </c>
      <c r="BW104" s="112" t="str">
        <f>HYPERLINK("http://www.welcomegrooves.de/wp-content/uploads/2015/10/welcomegrooves_DE-RUSSISCH.pdf","x")</f>
        <v>x</v>
      </c>
      <c r="BX104" s="112"/>
      <c r="BY104" s="112"/>
      <c r="BZ104" s="112"/>
      <c r="CA104" s="112" t="str">
        <f t="shared" si="28"/>
        <v>x</v>
      </c>
      <c r="CB104" s="112" t="str">
        <f t="shared" si="29"/>
        <v>x</v>
      </c>
      <c r="CC104" s="112" t="str">
        <f t="shared" si="30"/>
        <v>x</v>
      </c>
      <c r="CD104" s="112"/>
      <c r="CE104" s="112"/>
      <c r="CF104" s="112" t="str">
        <f>HYPERLINK("http://www.agf-trier.de/sites/default/files/bersetzungshilfe%20russisch%20f%C3%BCr%20Frauen.pdf","x")</f>
        <v>x</v>
      </c>
      <c r="CG104" s="112" t="str">
        <f>HYPERLINK("http://www.braunschweig.de/leben/frauen/hilfe/Ohne-Gewalt-leben.pdf","x")</f>
        <v>x</v>
      </c>
      <c r="CH104" s="112" t="str">
        <f>HYPERLINK("http://mifkjf.rlp.de/fileadmin/mifkjf/Frauen/Gewalt_gegen_Frauen/Downloads/Broschueren_Flyer/Flyer_Gewalt_russisch.pdf","x")</f>
        <v>x</v>
      </c>
      <c r="CI104" s="112" t="str">
        <f>HYPERLINK("https://www.hilfetelefon.de/fileadmin/hilfetelefon_de/Materialien/Flyer/Infoflyer_Hilfetelefon_Gewalt_gegen_Frauen141105_b2.pdf","x")</f>
        <v>x</v>
      </c>
      <c r="CJ104" s="112" t="str">
        <f t="shared" si="42"/>
        <v>x</v>
      </c>
      <c r="CK104" s="112" t="str">
        <f t="shared" si="31"/>
        <v>x</v>
      </c>
      <c r="CL104" s="112" t="str">
        <f>HYPERLINK("http://www.frauenberatungsstelle.de/pdf/Migrantinnen-beraten-Migrantinnen.pdf","x")</f>
        <v>x</v>
      </c>
      <c r="CM104" s="112"/>
      <c r="CN104" s="112"/>
      <c r="CO104" s="112"/>
      <c r="CP104" s="112" t="str">
        <f>HYPERLINK("http://www.schwanger-und-viele-fragen.de/ru/","x")</f>
        <v>x</v>
      </c>
      <c r="CQ104" s="112"/>
      <c r="CR104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04" s="112"/>
      <c r="CT104" s="112"/>
      <c r="CU104" s="112" t="str">
        <f>HYPERLINK("http://www.profamilia.de/fileadmin/publikationen/Erwachsene/mehrsprachig/verhuetung_russisch_2011.pdf","x")</f>
        <v>x</v>
      </c>
      <c r="CV104" s="112" t="str">
        <f>HYPERLINK("http://www.profamilia.de/fileadmin/publikationen/Erwachsene/mehrsprachig/Pille_danach_russisch_2012.pdf","x")</f>
        <v>x</v>
      </c>
      <c r="CW104" s="112" t="str">
        <f>HYPERLINK("http://www.profamilia.de/fileadmin/publikationen/Reihe_Verhuetungsmethoden/Einleger_Russisch.pdf","x")</f>
        <v>x</v>
      </c>
      <c r="CX104" s="112" t="str">
        <f>HYPERLINK("http://www.profamilia.de/fileadmin/publikationen/Erwachsene/mehrsprachig/schwangerschaftsabbruch_russisch.pdf","x")</f>
        <v>x</v>
      </c>
      <c r="CY104" s="112" t="str">
        <f>HYPERLINK("http://www.caritas-schwarzwald-alb-donau.de/68854.html","x")</f>
        <v>x</v>
      </c>
      <c r="CZ104" s="112" t="str">
        <f>HYPERLINK("http://www.dgfpi.de/tl_files/download/medien/unwissen-macht-ru.pdf","x")</f>
        <v>x</v>
      </c>
      <c r="DA104" s="112"/>
      <c r="DB104" s="112"/>
      <c r="DC104" s="115" t="str">
        <f>HYPERLINK("http://www.kindersicherheit.de/pdf/2012_Bilderbuch-Gift-Russisch.pdf","x")</f>
        <v>x</v>
      </c>
      <c r="DD104" s="112"/>
      <c r="DE104" s="112"/>
      <c r="DF104" s="112" t="str">
        <f t="shared" si="32"/>
        <v>x</v>
      </c>
      <c r="DG104" s="115" t="str">
        <f t="shared" si="33"/>
        <v>x</v>
      </c>
      <c r="DH104" s="112" t="str">
        <f t="shared" si="34"/>
        <v>x</v>
      </c>
      <c r="DI104" s="112" t="str">
        <f t="shared" si="35"/>
        <v>x</v>
      </c>
      <c r="DJ104" s="112" t="str">
        <f>HYPERLINK("http://www.bibliomedia.ch/de/angebote/dokumente/Glossar_russisch.pdf","x")</f>
        <v>x</v>
      </c>
      <c r="DK104" s="112"/>
      <c r="DL104" s="112"/>
      <c r="DM104" s="112"/>
      <c r="DN104" s="112"/>
      <c r="DO104" s="112"/>
      <c r="DP104" s="111"/>
      <c r="DQ104" s="112" t="str">
        <f>HYPERLINK("http://tipdoc.de/bus/grafik/kinder-tip/SCHULTIP_give_didacta.pdf","x")</f>
        <v>x</v>
      </c>
      <c r="DR104" s="112" t="str">
        <f>HYPERLINK("https://broschueren.nordrheinwestfalendirekt.de/broschuerenservice/msw/rus-das-schulsystem-in-nordrhein-westfalen-einfach-und-schnell-erklaert/1905","x")</f>
        <v>x</v>
      </c>
      <c r="DS104" s="112" t="str">
        <f>HYPERLINK("http://bildung.koeln.de/materialbibliothek/download.php?idx=89409237e8c48c84d1f410e2c231c942","x")</f>
        <v>x</v>
      </c>
      <c r="DT104" s="112" t="str">
        <f>HYPERLINK("http://bildung.koeln.de/materialbibliothek/download.php?idx=3e35937e1b8f8986880efaf07701a323","x")</f>
        <v>x</v>
      </c>
      <c r="DU104" s="112"/>
      <c r="DV104" s="112" t="str">
        <f>HYPERLINK("https://www.bmbf.de/pub/Kausa_Elternbroschuere_russisch.pdf","x")</f>
        <v>x</v>
      </c>
      <c r="DW104" s="112"/>
      <c r="DX104" s="112"/>
      <c r="DY104" s="112" t="str">
        <f>HYPERLINK("http://www.bamf.de/SharedDocs/Anlagen/DE/Publikationen/Flyer/AnerkennungBerufsabschluss/berufliche_anerkennung_akademische-heilberufe_ru.pdf?__blob=publicationFile","x")</f>
        <v>x</v>
      </c>
      <c r="DZ104" s="112" t="str">
        <f>HYPERLINK("http://www.bamf.de/SharedDocs/Anlagen/RU/Publikationen/Flyer/AnerkennungBerufsabschluss/anerkennung-berufsabschluss.pdf?__blob=publicationFile","x")</f>
        <v>x</v>
      </c>
      <c r="EA104" s="112" t="str">
        <f>HYPERLINK("http://www.bamf.de/SharedDocs/Anlagen/RU/Publikationen/Flyer/AnerkennungBerufsabschluss/anerkennung-berufsabschluss_ausland.pdf?__blob=publicationFile","x")</f>
        <v>x</v>
      </c>
      <c r="EB104" s="112" t="str">
        <f>HYPERLINK("http://www.bamf.de/SharedDocs/Anlagen/DE/Publikationen/Broschueren/willkommen-in-deutschland-info-blaue-karte-eu_ru.pdf?__blob=publicationFile","x")</f>
        <v>x</v>
      </c>
      <c r="EC104" s="112" t="str">
        <f>HYPERLINK("http://www.bamf.de/SharedDocs/Anlagen/RU/Publikationen/Flyer/Berufsbezsprachf-ESF-BAMF/berufsbezsprachf-esf-bamf.pdf?__blob=publicationFile","x")</f>
        <v>x</v>
      </c>
      <c r="ED104" s="111"/>
      <c r="EE104" s="111"/>
      <c r="EF104" s="111"/>
      <c r="EG104" s="111"/>
      <c r="EH104" s="111"/>
      <c r="EI104" s="111"/>
      <c r="EJ104" s="112"/>
      <c r="EK104" s="112"/>
      <c r="EL104" s="112"/>
      <c r="EM104" s="112" t="str">
        <f>HYPERLINK("http://www.kvs-sachsen.de/fileadmin/img/Mitglieder/Asylbewerber/Allg-Informationen/Anlage_1_Russisch_LEK.pdf","x")</f>
        <v>x</v>
      </c>
      <c r="EN104" s="112" t="str">
        <f>HYPERLINK("http://www.medizin-hilft-fluechtlingen.de/images/Dokumente/gSch/gSch_ru.pdf","x")</f>
        <v>x</v>
      </c>
      <c r="EO104" s="111"/>
      <c r="EP104" s="117" t="str">
        <f t="shared" si="41"/>
        <v>x</v>
      </c>
      <c r="EQ104" s="117" t="str">
        <f>HYPERLINK("http://www.armut-gesundheit.de/fileadmin/redakteur/dokumente/Anamnesebogen%20-%20russischnew.pdf","x")</f>
        <v>x</v>
      </c>
      <c r="ER104" s="112" t="str">
        <f>HYPERLINK("http://www.kvs-sachsen.de/fileadmin/img/Mitglieder/Asylbewerber/Allg-Informationen/Anlagen_2-1_2-2_Russisch_LEK.pdf","x")</f>
        <v>x</v>
      </c>
      <c r="ES104" s="111"/>
      <c r="ET104" s="111"/>
      <c r="EU104" s="111"/>
      <c r="EV104" s="111"/>
      <c r="EW104" s="112" t="str">
        <f t="shared" si="36"/>
        <v>x</v>
      </c>
      <c r="EX104" s="112" t="str">
        <f>HYPERLINK("http://www.rki.de/DE/Content/Infekt/IfSG/Belehrungsbogen/belehrungsbogen_eltern_russisch.pdf?__blob=publicationFile","x")</f>
        <v>x</v>
      </c>
      <c r="EY104" s="112" t="str">
        <f>HYPERLINK("http://www.bzga.de/infomaterialien/?sid=236","x")</f>
        <v>x</v>
      </c>
      <c r="EZ104" s="112" t="str">
        <f>HYPERLINK("https://www.mh-hannover.de/fileadmin/mhh/bilder/aktuelles_presse/presseinformationen_news/-Pilzvergif_RUSSISCH_2.pdf","x")</f>
        <v>x</v>
      </c>
      <c r="FA104" s="112"/>
      <c r="FB104" s="111"/>
      <c r="FC104" s="111"/>
      <c r="FD104" s="112" t="str">
        <f t="shared" si="37"/>
        <v>x</v>
      </c>
      <c r="FE104" s="112" t="str">
        <f t="shared" si="43"/>
        <v>x</v>
      </c>
      <c r="FF104" s="111"/>
      <c r="FG104" s="112" t="str">
        <f>HYPERLINK("http://www.tipdoc.de/grafik/asyl/Gesundheitsheft_Asyl.pdf","x")</f>
        <v>x</v>
      </c>
      <c r="FH104" s="111"/>
      <c r="FI104" s="111"/>
      <c r="FJ104" s="112"/>
      <c r="FK104" s="112" t="str">
        <f>HYPERLINK("http://www.rki.de/DE/Content/Infekt/Impfen/Materialien/Downloads-Impfkalender/Impfkalender_Russisch.pdf?__blob=publicationFile","x")</f>
        <v>x</v>
      </c>
      <c r="FL104" s="112" t="str">
        <f>HYPERLINK("http://www.ethno-medizinisches-zentrum.de/images/PDF-Files/impfwegweiser_russisch_2013_online.pdf","x")</f>
        <v>x</v>
      </c>
      <c r="FM104" s="112"/>
      <c r="FN104" s="112" t="str">
        <f>HYPERLINK("http://www.rki.de/DE/Content/Infekt/Impfen/Materialien/Glossar-Downloads/glossar-de-russisch.pdf?__blob=publicationFile","x")</f>
        <v>x</v>
      </c>
      <c r="FO104" s="112" t="str">
        <f>HYPERLINK("http://tvoyashkola10.ru/img/VPD-Signs,-symptoms-and-complications-RUS.pdf","x")</f>
        <v>x</v>
      </c>
      <c r="FP104" s="112" t="str">
        <f>HYPERLINK("http://www.rki.de/DE/Content/Infekt/Impfen/Materialien/Downloads-MMR/MMR-Impfinfo-russisch.pdf?__blob=publicationFile","x")</f>
        <v>x</v>
      </c>
      <c r="FQ104" s="112"/>
      <c r="FR104" s="112" t="str">
        <f>HYPERLINK("http://www.rki.de/DE/Content/Infekt/Impfen/Materialien/Downloads_HepA/Aufklaerung_HAV-Impfung_Russisch.pdf?__blob=publicationFile","x")</f>
        <v>x</v>
      </c>
      <c r="FS104" s="112" t="str">
        <f>HYPERLINK("http://www.rki.de/DE/Content/Infekt/Impfen/Materialien/Downloads_Pneumokokken/Aufklaerung_Pneumo-Impfung_Russisch.pdf?__blob=publicationFile","x")</f>
        <v>x</v>
      </c>
      <c r="FT104" s="112" t="str">
        <f>HYPERLINK("http://www.rki.de/DE/Content/Infekt/Impfen/Materialien/Downloads-DTaPIPVHibHepB/DTaPIPVHibHepB-russisch.pdf?__blob=publicationFile","x")</f>
        <v>x</v>
      </c>
      <c r="FU104" s="112" t="str">
        <f>HYPERLINK("http://www.rki.de/DE/Content/Infekt/Impfen/Materialien/Downloads-Varizellen/Varizellen-Impfinfo-russisch.pdf;jsessionid=65B697F4EE7EDA8A1ED9E2C4CD6C74EC.2_cid363?__blob=publicationFile","x")</f>
        <v>x</v>
      </c>
      <c r="FV104" s="112" t="str">
        <f>HYPERLINK("http://www.rki.de/DE/Content/Infekt/Impfen/Materialien/Downloads-Tdap-IPV/Tdap-IPV-russisch.pdf?__blob=publicationFile","x")</f>
        <v>x</v>
      </c>
      <c r="FW104" s="112" t="str">
        <f>HYPERLINK("http://www.rki.de/DE/Content/Infekt/Impfen/Materialien/Downloads-Influenza_nasal/Influenza_nasal-russisch.pdf?__blob=publicationFile","x")</f>
        <v>x</v>
      </c>
      <c r="FX104" s="112" t="str">
        <f>HYPERLINK("http://www.medical-tribune.de/fileadmin/PDF/PI_Arthrose_russ.pdf","x")</f>
        <v>x</v>
      </c>
      <c r="FY104" s="112" t="str">
        <f>HYPERLINK("http://www.medical-tribune.de/fileadmin/PDF/Astma_russisch.pdf","x")</f>
        <v>x</v>
      </c>
      <c r="FZ104" s="112" t="str">
        <f>HYPERLINK("http://www.medical-tribune.de/fileadmin/PDF/Bluthochdruck_russisch.pdf","x")</f>
        <v>x</v>
      </c>
      <c r="GA104" s="112" t="str">
        <f>HYPERLINK("http://www.medical-tribune.de/fileadmin/PDF/Cholesterin_russisch.pdf","x")</f>
        <v>x</v>
      </c>
      <c r="GB104" s="112" t="str">
        <f>HYPERLINK("http://www.medical-tribune.de/fileadmin/PDF/COPD-Bronchitis-russ.pdf","x")</f>
        <v>x</v>
      </c>
      <c r="GC104" s="112" t="str">
        <f>HYPERLINK("http://www.medical-tribune.de/fileadmin/PDF/PI_Demenz_russ.pdf","x")</f>
        <v>x</v>
      </c>
      <c r="GD104" s="112" t="str">
        <f>HYPERLINK("http://www.ethno-medizinisches-zentrum.de/images/PDF-Files/lf_diabete_russisch.pdf","x")</f>
        <v>x</v>
      </c>
      <c r="GE104" s="112" t="str">
        <f>HYPERLINK("http://www.medical-tribune.de/fileadmin/PDF/PI_Divertikel_russ.pdf","x")</f>
        <v>x</v>
      </c>
      <c r="GF104" s="112" t="str">
        <f>HYPERLINK("http://www.medical-tribune.de/fileadmin/PDF/PAVK_russ.pdf","x")</f>
        <v>x</v>
      </c>
      <c r="GG104" s="112" t="str">
        <f>HYPERLINK("http://www.medical-tribune.de/fileadmin/PDF/PI_Gallensteine_russ.pdf","x")</f>
        <v>x</v>
      </c>
      <c r="GH104" s="112" t="str">
        <f>HYPERLINK("http://www.medical-tribune.de/fileadmin/PDF/Gicht_russisch.pdf","x")</f>
        <v>x</v>
      </c>
      <c r="GI104" s="112" t="str">
        <f>HYPERLINK("http://www.tipdoc.de/bus/pdf/hepatitis/Hep_B_Webseite.pdf","x")</f>
        <v>x</v>
      </c>
      <c r="GJ104" s="112" t="str">
        <f>HYPERLINK("http://www.tipdoc.de/bus/pdf/hepatitis/Hep_C_Webseite.pdf","x")</f>
        <v>x</v>
      </c>
      <c r="GK104" s="112" t="str">
        <f>HYPERLINK("http://www.tipdoc.de/bus/pdf/hiv/HIV%20SRF_Webseite.pdf","x")</f>
        <v>x</v>
      </c>
      <c r="GL104" s="111"/>
      <c r="GM104" s="112" t="str">
        <f>HYPERLINK("http://www.rki.de/DE/Content/Infekt/Impfen/Materialien/Downloads-Influenza/Influenza-russisch.pdf?__blob=publicationFile","x")</f>
        <v>x</v>
      </c>
      <c r="GN104" s="112" t="str">
        <f>HYPERLINK("http://www.medical-tribune.de/fileadmin/PDF/PI_Erkaeltung_russ.pdf","x")</f>
        <v>x</v>
      </c>
      <c r="GO104" s="112"/>
      <c r="GP104" s="112" t="str">
        <f>HYPERLINK("http://www.tipdoc.de/grafik/pdf/kopflaeuse/Kopflaeuse_RUSS.pdf","x")</f>
        <v>x</v>
      </c>
      <c r="GQ104" s="112" t="str">
        <f>HYPERLINK("http://www.bing.com/search?q=Medical+tribune+KHK+russ&amp;qs=n&amp;form=QBRE&amp;pq=medical+tribune+khk+russ&amp;sc=0-16&amp;sp=-1&amp;sk=&amp;cvid=9C7440E0A0144B029D31F2004BF1F219","x")</f>
        <v>x</v>
      </c>
      <c r="GR104" s="112" t="str">
        <f>HYPERLINK("http://www.tipdoc.com/bus/pdf/kraetze/tipdoc_Scabies_RUSS.pdf","x")</f>
        <v>x</v>
      </c>
      <c r="GS104" s="112" t="str">
        <f>HYPERLINK("http://www.tipdoc.com/bus/pdf/MagenDarmHaende/MagenDarmHaende_RUSS.pdf","x")</f>
        <v>x</v>
      </c>
      <c r="GT104" s="112" t="str">
        <f>HYPERLINK("http://www.medical-tribune.de/fileadmin/PDF/Migraene_russ.pdf","x")</f>
        <v>x</v>
      </c>
      <c r="GU104" s="112" t="str">
        <f>HYPERLINK("http://www.medical-tribune.de/fileadmin/PDF/Rueckenschmerzen_russisch.pdf","x")</f>
        <v>x</v>
      </c>
      <c r="GV104" s="112" t="str">
        <f>HYPERLINK("http://www.medical-tribune.de/fileadmin/PDF/Schlafapnoe_russisch.pdf","x")</f>
        <v>x</v>
      </c>
      <c r="GW104" s="112" t="str">
        <f>HYPERLINK("http://www.medical-tribune.de/fileadmin/PDF/Schlafstoerungen_russisch.pdf","x")</f>
        <v>x</v>
      </c>
      <c r="GX104" s="112" t="str">
        <f>HYPERLINK("http://www.medical-tribune.de/fileadmin/PDF/Schwindel_russisch.pdf","x")</f>
        <v>x</v>
      </c>
      <c r="GY104" s="112" t="str">
        <f>HYPERLINK("http://www.medical-tribune.de/fileadmin/PDF/Sodbrennen_russisch.pdf","x")</f>
        <v>x</v>
      </c>
      <c r="GZ104" s="112" t="str">
        <f>HYPERLINK("http://www.medical-tribune.de/fileadmin/PDF/Sportverletzungen_russisch.pdf","x")</f>
        <v>x</v>
      </c>
      <c r="HA104" s="112" t="str">
        <f>HYPERLINK("http://www.medical-tribune.de/fileadmin/PDF/Thrombose_russisch.pdf","x")</f>
        <v>x</v>
      </c>
      <c r="HB104" s="112" t="str">
        <f>HYPERLINK("http://www.medical-tribune.de/fileadmin/PDF/Verstopfung_russisch.pdf","x")</f>
        <v>x</v>
      </c>
      <c r="HC104" s="112" t="str">
        <f t="shared" si="38"/>
        <v>x</v>
      </c>
      <c r="HD104" s="111"/>
      <c r="HE104" s="111"/>
      <c r="HF104" s="111"/>
      <c r="HG104" s="111"/>
      <c r="HH104" s="111"/>
      <c r="HI104" s="112" t="str">
        <f>HYPERLINK("http://www.bvkm.de/fileadmin/web_data/Behinderung_und_Migation_russisch_2014.pdf","x")</f>
        <v>x</v>
      </c>
      <c r="HJ104" s="111"/>
      <c r="HK104" s="112"/>
      <c r="HL104" s="112" t="str">
        <f>HYPERLINK("http://www.ethno-medizinisches-zentrum.de/images/PDF-Files/lf_depression_rus.pdf","x")</f>
        <v>x</v>
      </c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 t="str">
        <f>HYPERLINK("http://www.medical-tribune.de/fileadmin/PDF/RestlessLegs_russ.pdf","x")</f>
        <v>x</v>
      </c>
      <c r="HX104" s="112" t="str">
        <f>HYPERLINK("http://www.bkk-psychisch-gesund.de/fileadmin/user_upload/bkk-psychisch-gesund.de/PDFs/Migrantenwegweiser_Psychotherpie_russisch.pdf","x")</f>
        <v>x</v>
      </c>
      <c r="HY104" s="112" t="str">
        <f t="shared" si="39"/>
        <v>x</v>
      </c>
      <c r="HZ104" s="112" t="str">
        <f t="shared" si="40"/>
        <v>x</v>
      </c>
      <c r="IA104" s="112"/>
      <c r="IB104" s="112"/>
      <c r="IC104" s="112"/>
      <c r="ID104" s="112"/>
      <c r="IE104" s="112"/>
      <c r="IF104" s="112"/>
      <c r="IG104" s="112"/>
      <c r="IH104" s="112" t="str">
        <f>HYPERLINK("http://www.ethno-medizinisches-zentrum.de/images/PDF-Files/lf_mediensucht_ru_geschutzt.pdf","x")</f>
        <v>x</v>
      </c>
      <c r="II104" s="112" t="str">
        <f>HYPERLINK("http://www.caritas.de/hilfeundberatung/onlineberatung/suchtberatung/haeufiggestelltefragensucht/haeufiggestelltefragen-sucht","x")</f>
        <v>x</v>
      </c>
      <c r="IJ104" s="112" t="str">
        <f>HYPERLINK("http://www.bzga.de/infomaterialien/suchtvorbeugung/","x")</f>
        <v>x</v>
      </c>
      <c r="IK104" s="112" t="str">
        <f>HYPERLINK("http://www.bamf.de/SharedDocs/Anlagen/RU/Publikationen/Flyer/Lassen-Sie-Sich-Beraten/lassen-sie-sich-beraten.pdf?__blob=publicationFile","x")</f>
        <v>x</v>
      </c>
      <c r="IL104" s="112" t="str">
        <f>HYPERLINK("http://www.bamf.de/SharedDocs/Anlagen/DE/Publikationen/Flyer/flyer-erstorientierung-asylsuchende_russisch.pdf?__blob=publicationFile","x")</f>
        <v>x</v>
      </c>
      <c r="IM104" s="111"/>
      <c r="IN104" s="112" t="str">
        <f>HYPERLINK("https://www.bamf.de/SharedDocs/Anlagen/RU/Publikationen/Broschueren/willkommen-in-deutschland-ru.pdf?__blob=publicationFile","x")</f>
        <v>x</v>
      </c>
      <c r="IO104" s="112"/>
      <c r="IP104" s="111"/>
      <c r="IQ104" s="112" t="str">
        <f>HYPERLINK("http://www.bamf.de/SharedDocs/Anlagen/RU/Publikationen/Flyer/Lernen-Sie-Deutsch/lernen-sie-deutsch.pdf?__blob=publicationFile","x")</f>
        <v>x</v>
      </c>
      <c r="IR104" s="112"/>
      <c r="IS104" s="111"/>
      <c r="IT104" s="111"/>
      <c r="IU104" s="111"/>
      <c r="IV104" s="112" t="str">
        <f>HYPERLINK("http://www.asyl.net/fileadmin/user_upload/infoblatt_anhoerung/Infoblatt_2015_russ_fin.pdf","x")</f>
        <v>x</v>
      </c>
      <c r="IW104" s="112"/>
      <c r="IX104" s="112" t="str">
        <f>HYPERLINK("http://www.berlin.de/labo/willkommen-in-berlin/service/downloads/artikel.273193.php","x")</f>
        <v>x</v>
      </c>
      <c r="IY104" s="112" t="str">
        <f>HYPERLINK("http://www.bamf.de/SharedDocs/Anlagen/RU/Publikationen/Broschueren/broschuere-eat-a4.pdf?__blob=publicationFile","x")</f>
        <v>x</v>
      </c>
      <c r="IZ104" s="111"/>
      <c r="JA104" s="112" t="str">
        <f>HYPERLINK("http://fluechtlingsrat-bw.de/informationen-fuer-fluechtlinge.html","x")</f>
        <v>x</v>
      </c>
      <c r="JB104" s="111"/>
      <c r="JC104" s="112"/>
      <c r="JD104" s="111"/>
      <c r="JE104" s="112"/>
      <c r="JF104" s="112"/>
      <c r="JG104" s="112" t="str">
        <f>HYPERLINK("http://www.bamf.de/SharedDocs/Anlagen/RU/Publikationen/Flyer/Ehegattennachzug/ehegattennachzug.pdf?__blob=publicationFile","x")</f>
        <v>x</v>
      </c>
      <c r="JH104" s="112"/>
      <c r="JI104" s="111"/>
      <c r="JJ104" s="112"/>
      <c r="JK104" s="112"/>
      <c r="JL104" s="112" t="str">
        <f>HYPERLINK("http://www.kub-berlin.org/formularprojekt/de/russisch-antraege-und-anlagen/","x")</f>
        <v>x</v>
      </c>
      <c r="JM104" s="112" t="str">
        <f>HYPERLINK("https://www.arbeitsagentur.de/web/content/DE/Formulare/Detail/index.htm?dfContentId=L6019022DSTBAI485740","x")</f>
        <v>x</v>
      </c>
      <c r="JN104" s="112"/>
      <c r="JO104" s="112"/>
      <c r="JP104" s="112"/>
      <c r="JQ104" s="112"/>
      <c r="JR104" s="112" t="str">
        <f t="shared" si="44"/>
        <v>x</v>
      </c>
      <c r="JS104" s="112"/>
      <c r="JT104" s="112" t="str">
        <f>HYPERLINK("http://www.b-umf.de/images/willkommensbroschurerussisch-web.pdf","x")</f>
        <v>x</v>
      </c>
      <c r="JU104" s="111"/>
      <c r="JV104" s="111"/>
      <c r="JW104" s="112"/>
      <c r="JX104" s="112"/>
      <c r="JY104" s="112"/>
      <c r="JZ104" s="112"/>
      <c r="KA104" s="112"/>
      <c r="KB104" s="112" t="str">
        <f>HYPERLINK("http://www.refugeeguide.de/dl/RefugeeGuide_ru_1207.pdf","x")</f>
        <v>x</v>
      </c>
      <c r="KC104" s="111"/>
      <c r="KD104" s="112" t="str">
        <f>HYPERLINK("http://www.wedel.de/fileadmin/user_upload/media/pdf/Rathaus_und_Politik/20160118_PM_Broschuere.pdf","x")</f>
        <v>x</v>
      </c>
      <c r="KE104" s="112"/>
      <c r="KF104" s="112" t="str">
        <f>HYPERLINK("http://sab.landtag.sachsen.de/dokumente/landtagskurier/Grundwerte-A5-international_web_08012016.pdf","x")</f>
        <v>x</v>
      </c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2" t="str">
        <f>HYPERLINK("http://www.rki.de/DE/Content/Infekt/IfSG/Belehrungsbogen/belehrungsbogen_lebensmittel_russisch.pdf?__blob=publicationFile","x")</f>
        <v>x</v>
      </c>
      <c r="ME104" s="111"/>
      <c r="MF104" s="111"/>
      <c r="MG104" s="111"/>
      <c r="MH104" s="111"/>
      <c r="MI104" s="112" t="str">
        <f>HYPERLINK("http://www.kindersicherheit.de/pdf/2012_poster_achtunggiftig_8sprachig.pdf","x")</f>
        <v>x</v>
      </c>
    </row>
    <row r="105" spans="1:347" x14ac:dyDescent="0.25">
      <c r="A105" s="102" t="s">
        <v>84</v>
      </c>
      <c r="B105" s="127" t="s">
        <v>154</v>
      </c>
      <c r="C105" s="102"/>
      <c r="D105" s="102"/>
      <c r="E105" s="102"/>
      <c r="F105" s="102"/>
      <c r="G105" s="102"/>
      <c r="H105" s="102"/>
      <c r="I105" s="102"/>
      <c r="J105" s="102"/>
      <c r="K105" s="103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3"/>
      <c r="AW105" s="114" t="str">
        <f t="shared" si="22"/>
        <v>x</v>
      </c>
      <c r="AX105" s="114" t="str">
        <f t="shared" si="23"/>
        <v>x</v>
      </c>
      <c r="AY105" s="111"/>
      <c r="AZ105" s="111"/>
      <c r="BA105" s="112" t="str">
        <f t="shared" si="24"/>
        <v>x</v>
      </c>
      <c r="BB105" s="112" t="str">
        <f t="shared" si="25"/>
        <v>x</v>
      </c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2" t="str">
        <f t="shared" si="26"/>
        <v>x</v>
      </c>
      <c r="BT105" s="112"/>
      <c r="BU105" s="111"/>
      <c r="BV105" s="112" t="str">
        <f t="shared" si="27"/>
        <v>x</v>
      </c>
      <c r="BW105" s="112"/>
      <c r="BX105" s="112"/>
      <c r="BY105" s="112"/>
      <c r="BZ105" s="112"/>
      <c r="CA105" s="112" t="str">
        <f t="shared" si="28"/>
        <v>x</v>
      </c>
      <c r="CB105" s="112" t="str">
        <f t="shared" si="29"/>
        <v>x</v>
      </c>
      <c r="CC105" s="112" t="str">
        <f t="shared" si="30"/>
        <v>x</v>
      </c>
      <c r="CD105" s="112"/>
      <c r="CE105" s="112"/>
      <c r="CF105" s="111"/>
      <c r="CG105" s="111"/>
      <c r="CH105" s="111"/>
      <c r="CI105" s="111"/>
      <c r="CJ105" s="111"/>
      <c r="CK105" s="112" t="str">
        <f t="shared" si="31"/>
        <v>x</v>
      </c>
      <c r="CL105" s="112"/>
      <c r="CM105" s="112"/>
      <c r="CN105" s="112"/>
      <c r="CO105" s="112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2"/>
      <c r="DA105" s="112"/>
      <c r="DB105" s="112"/>
      <c r="DC105" s="115"/>
      <c r="DD105" s="112"/>
      <c r="DE105" s="112"/>
      <c r="DF105" s="112" t="str">
        <f t="shared" si="32"/>
        <v>x</v>
      </c>
      <c r="DG105" s="115" t="str">
        <f t="shared" si="33"/>
        <v>x</v>
      </c>
      <c r="DH105" s="112" t="str">
        <f t="shared" si="34"/>
        <v>x</v>
      </c>
      <c r="DI105" s="112" t="str">
        <f t="shared" si="35"/>
        <v>x</v>
      </c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8"/>
      <c r="EQ105" s="118"/>
      <c r="ER105" s="111"/>
      <c r="ES105" s="111"/>
      <c r="ET105" s="111"/>
      <c r="EU105" s="111"/>
      <c r="EV105" s="111"/>
      <c r="EW105" s="112" t="str">
        <f t="shared" si="36"/>
        <v>x</v>
      </c>
      <c r="EX105" s="111"/>
      <c r="EY105" s="111"/>
      <c r="EZ105" s="111"/>
      <c r="FA105" s="111"/>
      <c r="FB105" s="111"/>
      <c r="FC105" s="111"/>
      <c r="FD105" s="112" t="str">
        <f t="shared" si="37"/>
        <v>x</v>
      </c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2" t="str">
        <f t="shared" si="38"/>
        <v>x</v>
      </c>
      <c r="HD105" s="112" t="str">
        <f>HYPERLINK("https://www.zahnaerzte-wl.de/images/_PDF-suche/KZV_ZÄK/ENDSTAND_Ankreuzbogen_Ich_verstehe.pdf","x")</f>
        <v>x</v>
      </c>
      <c r="HE105" s="112" t="str">
        <f>HYPERLINK("https://www.zahnaerzte-wl.de/images/_PDF-suche/KZV_ZÄK/Anschreiben_Patienten_usbekisch.pdf","x")</f>
        <v>x</v>
      </c>
      <c r="HF105" s="112" t="str">
        <f>HYPERLINK("https://www.zahnaerzte-wl.de/images/_PDF-suche/KZV_ZÄK/Fragebogen_usbekisch.pdf","x")</f>
        <v>x</v>
      </c>
      <c r="HG105" s="112" t="str">
        <f>HYPERLINK("https://www.zahnaerzte-wl.de/images/_PDF-suche/KZV_ZÄK/Patientenerhebungsbogen_usbekisch.pdf","x")</f>
        <v>x</v>
      </c>
      <c r="HH105" s="112"/>
      <c r="HI105" s="112"/>
      <c r="HJ105" s="112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2" t="str">
        <f t="shared" si="39"/>
        <v>x</v>
      </c>
      <c r="HZ105" s="112" t="str">
        <f t="shared" si="40"/>
        <v>x</v>
      </c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</row>
    <row r="106" spans="1:347" x14ac:dyDescent="0.25">
      <c r="A106" s="102" t="s">
        <v>88</v>
      </c>
      <c r="B106" s="127" t="s">
        <v>38</v>
      </c>
      <c r="C106" s="102"/>
      <c r="D106" s="102"/>
      <c r="E106" s="102"/>
      <c r="F106" s="102"/>
      <c r="G106" s="102"/>
      <c r="H106" s="102"/>
      <c r="I106" s="102"/>
      <c r="J106" s="102"/>
      <c r="K106" s="103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2"/>
      <c r="AP106" s="112"/>
      <c r="AQ106" s="112"/>
      <c r="AR106" s="112"/>
      <c r="AS106" s="112"/>
      <c r="AT106" s="112"/>
      <c r="AU106" s="112"/>
      <c r="AV106" s="113"/>
      <c r="AW106" s="114" t="str">
        <f t="shared" si="22"/>
        <v>x</v>
      </c>
      <c r="AX106" s="114" t="str">
        <f t="shared" si="23"/>
        <v>x</v>
      </c>
      <c r="AY106" s="111"/>
      <c r="AZ106" s="111"/>
      <c r="BA106" s="112" t="str">
        <f t="shared" si="24"/>
        <v>x</v>
      </c>
      <c r="BB106" s="112" t="str">
        <f t="shared" si="25"/>
        <v>x</v>
      </c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2" t="str">
        <f t="shared" si="26"/>
        <v>x</v>
      </c>
      <c r="BT106" s="112"/>
      <c r="BU106" s="111"/>
      <c r="BV106" s="112" t="str">
        <f t="shared" si="27"/>
        <v>x</v>
      </c>
      <c r="BW106" s="112"/>
      <c r="BX106" s="112"/>
      <c r="BY106" s="112"/>
      <c r="BZ106" s="112"/>
      <c r="CA106" s="112" t="str">
        <f t="shared" si="28"/>
        <v>x</v>
      </c>
      <c r="CB106" s="112" t="str">
        <f t="shared" si="29"/>
        <v>x</v>
      </c>
      <c r="CC106" s="112" t="str">
        <f t="shared" si="30"/>
        <v>x</v>
      </c>
      <c r="CD106" s="112"/>
      <c r="CE106" s="112"/>
      <c r="CF106" s="111"/>
      <c r="CG106" s="111"/>
      <c r="CH106" s="111"/>
      <c r="CI106" s="111"/>
      <c r="CJ106" s="111"/>
      <c r="CK106" s="112" t="str">
        <f t="shared" si="31"/>
        <v>x</v>
      </c>
      <c r="CL106" s="112"/>
      <c r="CM106" s="112"/>
      <c r="CN106" s="112"/>
      <c r="CO106" s="112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2"/>
      <c r="DA106" s="112" t="str">
        <f>HYPERLINK("http://sichere-orte-schaffen.de/wp-content/uploads/Minibrosch_Fluechtlinge_multilang.pdf","x")</f>
        <v>x</v>
      </c>
      <c r="DB106" s="112"/>
      <c r="DC106" s="115"/>
      <c r="DD106" s="112"/>
      <c r="DE106" s="112"/>
      <c r="DF106" s="112" t="str">
        <f t="shared" si="32"/>
        <v>x</v>
      </c>
      <c r="DG106" s="115" t="str">
        <f t="shared" si="33"/>
        <v>x</v>
      </c>
      <c r="DH106" s="112" t="str">
        <f t="shared" si="34"/>
        <v>x</v>
      </c>
      <c r="DI106" s="112" t="str">
        <f t="shared" si="35"/>
        <v>x</v>
      </c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2"/>
      <c r="DV106" s="111"/>
      <c r="DW106" s="111"/>
      <c r="DX106" s="111"/>
      <c r="DY106" s="111"/>
      <c r="DZ106" s="111"/>
      <c r="EA106" s="111"/>
      <c r="EB106" s="112"/>
      <c r="EC106" s="111"/>
      <c r="ED106" s="111"/>
      <c r="EE106" s="111"/>
      <c r="EF106" s="111"/>
      <c r="EG106" s="111"/>
      <c r="EH106" s="111"/>
      <c r="EI106" s="111"/>
      <c r="EJ106" s="112"/>
      <c r="EK106" s="112"/>
      <c r="EL106" s="111"/>
      <c r="EM106" s="111"/>
      <c r="EN106" s="111"/>
      <c r="EO106" s="111"/>
      <c r="EP106" s="117" t="str">
        <f>HYPERLINK("http://www.medi-bild.de/pdf/anamnese/Welche_Sprache.pdf","x")</f>
        <v>x</v>
      </c>
      <c r="EQ106" s="117" t="str">
        <f>HYPERLINK("http://www.medi-bild.de/pdf/anamnese/tipdoc_Anamnese_amh.pdf","x")</f>
        <v>x</v>
      </c>
      <c r="ER106" s="111"/>
      <c r="ES106" s="111"/>
      <c r="ET106" s="111"/>
      <c r="EU106" s="111"/>
      <c r="EV106" s="111"/>
      <c r="EW106" s="112" t="str">
        <f t="shared" si="36"/>
        <v>x</v>
      </c>
      <c r="EX106" s="111"/>
      <c r="EY106" s="111"/>
      <c r="EZ106" s="111"/>
      <c r="FA106" s="111"/>
      <c r="FB106" s="111"/>
      <c r="FC106" s="111"/>
      <c r="FD106" s="112" t="str">
        <f t="shared" si="37"/>
        <v>x</v>
      </c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2" t="str">
        <f t="shared" si="38"/>
        <v>x</v>
      </c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2" t="str">
        <f t="shared" si="39"/>
        <v>x</v>
      </c>
      <c r="HZ106" s="112" t="str">
        <f t="shared" si="40"/>
        <v>x</v>
      </c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2"/>
      <c r="IL106" s="112" t="str">
        <f>HYPERLINK("http://www.bamf.de/SharedDocs/Anlagen/DE/Publikationen/Flyer/flyer-erstorientierung-asylsuchende_amharisch.pdf?__blob=publicationFile","x")</f>
        <v>x</v>
      </c>
      <c r="IM106" s="111"/>
      <c r="IN106" s="111"/>
      <c r="IO106" s="111"/>
      <c r="IP106" s="111"/>
      <c r="IQ106" s="112"/>
      <c r="IR106" s="112"/>
      <c r="IS106" s="111"/>
      <c r="IT106" s="111"/>
      <c r="IU106" s="111"/>
      <c r="IV106" s="112" t="str">
        <f>HYPERLINK("http://www.asyl.net/fileadmin/user_upload/infoblatt_anhoerung/Infoblatt_2015_amh_fin.pdf","x")</f>
        <v>x</v>
      </c>
      <c r="IW106" s="112"/>
      <c r="IX106" s="112"/>
      <c r="IY106" s="112" t="str">
        <f>HYPERLINK("http://www.bamf.de/SharedDocs/Anlagen/DE/Publikationen/Broschueren/broschuere-eat-a4-am-amharisch.pdf?__blob=publicationFile","x")</f>
        <v>x</v>
      </c>
      <c r="IZ106" s="111"/>
      <c r="JA106" s="111"/>
      <c r="JB106" s="111"/>
      <c r="JC106" s="112"/>
      <c r="JD106" s="111"/>
      <c r="JE106" s="112"/>
      <c r="JF106" s="112"/>
      <c r="JG106" s="111"/>
      <c r="JH106" s="111"/>
      <c r="JI106" s="111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1"/>
      <c r="JU106" s="111"/>
      <c r="JV106" s="111"/>
      <c r="JW106" s="112"/>
      <c r="JX106" s="112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</row>
    <row r="107" spans="1:347" x14ac:dyDescent="0.25">
      <c r="A107" s="102" t="s">
        <v>88</v>
      </c>
      <c r="B107" s="127" t="s">
        <v>4</v>
      </c>
      <c r="C107" s="102"/>
      <c r="D107" s="102"/>
      <c r="E107" s="102"/>
      <c r="F107" s="102"/>
      <c r="G107" s="102"/>
      <c r="H107" s="102"/>
      <c r="I107" s="102"/>
      <c r="J107" s="102"/>
      <c r="K107" s="103"/>
      <c r="L107" s="111"/>
      <c r="M107" s="111"/>
      <c r="N107" s="112" t="str">
        <f>HYPERLINK("http://www.ag-fluechtlingshilfe-wetterau.de/uploads/infos/170.pdf","x")</f>
        <v>x</v>
      </c>
      <c r="O107" s="112" t="str">
        <f>HYPERLINK("http://www.ag-fluechtlingshilfe-wetterau.de/uploads/infos/220.pdf","x")</f>
        <v>x</v>
      </c>
      <c r="P107" s="112" t="str">
        <f>HYPERLINK("http://www.awb-ahrweiler.de/admin/data/ddownload/Abfall%20Sonderhinweise-englisch_2014.pdf","x")</f>
        <v>x</v>
      </c>
      <c r="Q107" s="112" t="str">
        <f>HYPERLINK("http://www.ag-fluechtlingshilfe-wetterau.de/uploads/infos/221.pdf","x")</f>
        <v>x</v>
      </c>
      <c r="R107" s="112" t="str">
        <f>HYPERLINK("http://www.konto.org/download/merkblatt-basiskonto-asylbewerber-english.pdf","x")</f>
        <v>x</v>
      </c>
      <c r="S107" s="112"/>
      <c r="T107" s="112" t="str">
        <f>HYPERLINK("https://antworten.sparkasse.de/wp-content/uploads/2015/10/English.pdf","x")</f>
        <v>x</v>
      </c>
      <c r="U107" s="112" t="str">
        <f>HYPERLINK("http://www.ag-fluechtlingshilfe-wetterau.de/uploads/infos/191.pdf","x")</f>
        <v>x</v>
      </c>
      <c r="V107" s="112"/>
      <c r="W107" s="112"/>
      <c r="X10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0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07" s="112"/>
      <c r="AA107" s="112"/>
      <c r="AB107" s="112"/>
      <c r="AC107" s="112" t="str">
        <f>HYPERLINK("http://www.vzhh.de/vzhh/409638/vzhh_refugees_telephone_internet.pdf","x")</f>
        <v>x</v>
      </c>
      <c r="AD107" s="112" t="str">
        <f>HYPERLINK("http://www.vzhh.de/vzhh/410647/vzhh_refugees_rundfunk.pdf","x")</f>
        <v>x</v>
      </c>
      <c r="AE107" s="112" t="str">
        <f>HYPERLINK("http://www.vzhh.de/vzhh/411476/vzhh_refugees_rundfunk_befreiung.pdf","x")</f>
        <v>x</v>
      </c>
      <c r="AF107" s="112" t="str">
        <f>HYPERLINK("http://www.kub-berlin.org/formularprojekt/de/englisch-antraege-und-anlagen-uebersetzungshilfen/","x")</f>
        <v>x</v>
      </c>
      <c r="AG107" s="112" t="str">
        <f>HYPERLINK("http://asyl-in-moenchengladbach.de/wp-content/uploads/2015/11/100711-Flyer_GB.pdf","x")</f>
        <v>x</v>
      </c>
      <c r="AH107" s="112" t="str">
        <f>HYPERLINK("http://sghanstedt.elbnetz.com/ueber-uns/","x")</f>
        <v>x</v>
      </c>
      <c r="AI107" s="112" t="str">
        <f>HYPERLINK("https://www.adac.de/sp/stiftung/_mmm/pdf/SGE_FOL_Verkehrssicherheit_Fl%C3%BCchtlinge_A3_01_16_Internet_250277.pdf","x")</f>
        <v>x</v>
      </c>
      <c r="AJ107" s="112" t="str">
        <f>HYPERLINK("http://www.stadt-koeln.de/mediaasset/content/kvb_kinderleicht_und_spielend_einfach__englisch_.pdf","x")</f>
        <v>x</v>
      </c>
      <c r="AK107" s="112" t="str">
        <f>HYPERLINK("https://www.vrsinfo.de/fileadmin/Dateien/downloadcenter/Folder_MobilPassTicket_Refugees01012016.pdf","x")</f>
        <v>x</v>
      </c>
      <c r="AL107" s="112" t="str">
        <f>HYPERLINK("https://www.vrsinfo.de/fileadmin/Dateien/downloadcenter/Willkommen_im_VRS2016_Druck.pdf","x")</f>
        <v>x</v>
      </c>
      <c r="AM107" s="112"/>
      <c r="AN107" s="112" t="str">
        <f>HYPERLINK("https://www.deutschebahn.com/file/de/2191748/eYdgZpqGpp5sMJ2KMKtg2r8aE4Q/10123812/data/infos_fuer_fluechtlinge.pdf","x")</f>
        <v>x</v>
      </c>
      <c r="AO107" s="112"/>
      <c r="AP107" s="112"/>
      <c r="AQ107" s="112"/>
      <c r="AR107" s="112"/>
      <c r="AS107" s="112"/>
      <c r="AT107" s="112"/>
      <c r="AU107" s="112" t="str">
        <f>HYPERLINK("http://www.stadt-koeln.de/mediaasset/content/festkomitee_flyer_2016_d_gb.pdf","x")</f>
        <v>x</v>
      </c>
      <c r="AV107" s="113"/>
      <c r="AW107" s="114" t="str">
        <f t="shared" si="22"/>
        <v>x</v>
      </c>
      <c r="AX107" s="114" t="str">
        <f t="shared" si="23"/>
        <v>x</v>
      </c>
      <c r="AY107" s="112" t="str">
        <f>HYPERLINK("http://fi-lohmar-siegburg.de/data/documents/Findefix_arabisch-Bildwoerterbuch.pdf","x")</f>
        <v>x</v>
      </c>
      <c r="AZ107" s="111"/>
      <c r="BA107" s="112" t="str">
        <f t="shared" si="24"/>
        <v>x</v>
      </c>
      <c r="BB107" s="112" t="str">
        <f t="shared" si="25"/>
        <v>x</v>
      </c>
      <c r="BC107" s="111"/>
      <c r="BD107" s="111"/>
      <c r="BE107" s="112" t="str">
        <f>HYPERLINK("http://fi-lohmar-siegburg.de/data/documents/communicationboard-arabic-english.pdf","x")</f>
        <v>x</v>
      </c>
      <c r="BF107" s="112"/>
      <c r="BG107" s="111"/>
      <c r="BH107" s="112" t="str">
        <f>HYPERLINK("http://www.refugeephrasebook.de/pdf/germany150920.pdf","x")</f>
        <v>x</v>
      </c>
      <c r="BI107" s="112" t="str">
        <f>HYPERLINK("https://www.advanced-online.eu/downloads/RefugeePhrasebookCards_German-English.pdf","x")</f>
        <v>x</v>
      </c>
      <c r="BJ107" s="112" t="str">
        <f>HYPERLINK("http://www.klett-sprachen.de/download/8638/W100255_Refugees_Welcome_Wortschatz.pdf","x")</f>
        <v>x</v>
      </c>
      <c r="BK107" s="111"/>
      <c r="BL107" s="112" t="str">
        <f>HYPERLINK("http://www.bundessprachenamt.de/deutsch/wir_ueber_uns/nachrichten/2015/20151103/Verständigungshilfe_Englisch_26_11_2015.pdf","x")</f>
        <v>x</v>
      </c>
      <c r="BM107" s="112" t="str">
        <f>HYPERLINK("http://www.frnrw.de/images/Aus_den_Initiativen/Ehrenamtler/2015/Dictionary_x10_print-2.pdf","x")</f>
        <v>x</v>
      </c>
      <c r="BN107" s="112" t="str">
        <f>HYPERLINK("http://www.medbox.org/toolboxes/kleines-worterbuch-little-dictionary-deutsch-englisch-arabisch/preview","x")</f>
        <v>x</v>
      </c>
      <c r="BO107" s="112" t="str">
        <f>HYPERLINK("http://mylanguages.org/dari_phrases.php","x")</f>
        <v>x</v>
      </c>
      <c r="BP107" s="111"/>
      <c r="BQ107" s="111"/>
      <c r="BR107" s="111"/>
      <c r="BS107" s="112" t="str">
        <f t="shared" si="26"/>
        <v>x</v>
      </c>
      <c r="BT107" s="112"/>
      <c r="BU107" s="111"/>
      <c r="BV107" s="112" t="str">
        <f t="shared" si="27"/>
        <v>x</v>
      </c>
      <c r="BW107" s="112" t="str">
        <f>HYPERLINK("http://www.welcomegrooves.de/wp-content/uploads/2015/10/welcomegrooves_DE-ENGLISH1.pdf","x")</f>
        <v>x</v>
      </c>
      <c r="BX107" s="112"/>
      <c r="BY107" s="112"/>
      <c r="BZ107" s="112"/>
      <c r="CA107" s="112" t="str">
        <f t="shared" si="28"/>
        <v>x</v>
      </c>
      <c r="CB107" s="112" t="str">
        <f t="shared" si="29"/>
        <v>x</v>
      </c>
      <c r="CC107" s="112" t="str">
        <f t="shared" si="30"/>
        <v>x</v>
      </c>
      <c r="CD107" s="112"/>
      <c r="CE107" s="112"/>
      <c r="CF107" s="111"/>
      <c r="CG107" s="112" t="str">
        <f>HYPERLINK("http://www.braunschweig.de/leben/frauen/hilfe/Ohne-Gewalt-leben.pdf","x")</f>
        <v>x</v>
      </c>
      <c r="CH107" s="112" t="str">
        <f>HYPERLINK("http://mifkjf.rlp.de/fileadmin/mifkjf/Frauen/Gewalt_gegen_Frauen/Downloads/Broschueren_Flyer/Flyer_Gewalt_englisch.pdf","x")</f>
        <v>x</v>
      </c>
      <c r="CI107" s="112" t="str">
        <f>HYPERLINK("https://www.hilfetelefon.de/fileadmin/hilfetelefon_de/Materialien/Flyer/Infoflyer_Hilfetelefon_Gewalt_gegen_Frauen141105_b2.pdf","x")</f>
        <v>x</v>
      </c>
      <c r="CJ107" s="112" t="str">
        <f>HYPERLINK("https://www.hilfetelefon.de/fileadmin/hilfetelefon_de/Materialien/weitere_werbemittel/Klappflyer_Vorder-_und_Rueckseite_opt2.pdf","x")</f>
        <v>x</v>
      </c>
      <c r="CK107" s="112" t="str">
        <f t="shared" si="31"/>
        <v>x</v>
      </c>
      <c r="CL107" s="112" t="str">
        <f>HYPERLINK("http://www.frauenberatungsstelle.de/pdf/Migrantinnen-beraten-Migrantinnen.pdf","x")</f>
        <v>x</v>
      </c>
      <c r="CM107" s="112" t="str">
        <f>HYPERLINK("http://www.frauenleben.org/spezielle_beratungsangebote/sexualisierte_gewalt.htm","x")</f>
        <v>x</v>
      </c>
      <c r="CN107" s="112"/>
      <c r="CO107" s="112"/>
      <c r="CP107" s="112" t="str">
        <f>HYPERLINK("http://www.schwanger-und-viele-fragen.de/en/","x")</f>
        <v>x</v>
      </c>
      <c r="CQ107" s="112"/>
      <c r="CR10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07" s="112" t="str">
        <f>HYPERLINK("http://en.beststart.org/for_parents/are-you-looking-resources-languages-other-english-and-french","x")</f>
        <v>x</v>
      </c>
      <c r="CT107" s="112"/>
      <c r="CU107" s="112" t="str">
        <f>HYPERLINK("http://www.profamilia.de/fileadmin/publikationen/Erwachsene/mehrsprachig/Bro_Verhuetung_engl_2013.pdf","x")</f>
        <v>x</v>
      </c>
      <c r="CV107" s="112" t="str">
        <f>HYPERLINK("http://www.profamilia.de/fileadmin/publikationen/Erwachsene/mehrsprachig/Bro_Pille_danach_Faltblatt_140122_RZ.pdf","x")</f>
        <v>x</v>
      </c>
      <c r="CW107" s="112" t="str">
        <f>HYPERLINK("http://www.profamilia.de/fileadmin/publikationen/Reihe_Verhuetungsmethoden/Einleger_englisch.pdf","x")</f>
        <v>x</v>
      </c>
      <c r="CX107" s="112" t="str">
        <f>HYPERLINK("http://www.profamilia.de/fileadmin/publikationen/Reihe_Koerper_und_Sexualtitaet/Schwangerschaftsabbruch_englisch_2010.pdf","x")</f>
        <v>x</v>
      </c>
      <c r="CY107" s="112" t="str">
        <f>HYPERLINK("http://www.caritas-schwarzwald-alb-donau.de/68854.html","x")</f>
        <v>x</v>
      </c>
      <c r="CZ107" s="112" t="str">
        <f>HYPERLINK("http://www.dgfpi.de/tl_files/download/medien/unwissen-macht-en.pdf","x")</f>
        <v>x</v>
      </c>
      <c r="DA107" s="112"/>
      <c r="DB107" s="112"/>
      <c r="DC107" s="115" t="str">
        <f>HYPERLINK("http://www.kindersicherheit.de/pdf/2013_BAG_Tomi_and_Mila_Deutsch_English.pdf","x")</f>
        <v>x</v>
      </c>
      <c r="DD107" s="112"/>
      <c r="DE107" s="112"/>
      <c r="DF107" s="112" t="str">
        <f t="shared" si="32"/>
        <v>x</v>
      </c>
      <c r="DG107" s="115" t="str">
        <f t="shared" si="33"/>
        <v>x</v>
      </c>
      <c r="DH107" s="112" t="str">
        <f t="shared" si="34"/>
        <v>x</v>
      </c>
      <c r="DI107" s="112" t="str">
        <f t="shared" si="35"/>
        <v>x</v>
      </c>
      <c r="DJ107" s="112"/>
      <c r="DK107" s="112"/>
      <c r="DL107" s="112"/>
      <c r="DM107" s="112"/>
      <c r="DN107" s="112"/>
      <c r="DO107" s="112" t="str">
        <f>HYPERLINK("http://www.wdrmaus.de/sachgeschichten/maus-international/","x")</f>
        <v>x</v>
      </c>
      <c r="DP107" s="111"/>
      <c r="DQ107" s="111"/>
      <c r="DR107" s="112" t="str">
        <f>HYPERLINK("https://broschueren.nordrheinwestfalendirekt.de/broschuerenservice/msw/eng-das-schulsystem-in-nordrhein-westfalen-einfach-und-schnell-erklaert/1902","x")</f>
        <v>x</v>
      </c>
      <c r="DS107" s="112" t="str">
        <f>HYPERLINK("http://bildung.koeln.de/materialbibliothek/download.php?idx=8e2a9f658e9fa830ce17dc18f0fb0268","x")</f>
        <v>x</v>
      </c>
      <c r="DT107" s="112" t="str">
        <f>HYPERLINK("http://bildung.koeln.de/materialbibliothek/download.php?idx=90aff7e7259385cadb46c517317f1446","x")</f>
        <v>x</v>
      </c>
      <c r="DU107" s="112"/>
      <c r="DV107" s="112" t="str">
        <f>HYPERLINK("https://www.bmbf.de/pub/Kausa_Elternbroschuere_englisch.pdf","x")</f>
        <v>x</v>
      </c>
      <c r="DW107" s="112"/>
      <c r="DX107" s="112" t="str">
        <f>HYPERLINK("http://www.wissenschaft.nrw.de/studium/informieren/informationen-fuer-fluechtlinge-die-in-nrw-studieren-moechten/","x")</f>
        <v>x</v>
      </c>
      <c r="DY107" s="112" t="str">
        <f>HYPERLINK("http://www.bamf.de/SharedDocs/Anlagen/DE/Publikationen/Flyer/AnerkennungBerufsabschluss/berufliche_anerkennung_akademische-heilberufe_en.pdf?__blob=publicationFile","x")</f>
        <v>x</v>
      </c>
      <c r="DZ107" s="112" t="str">
        <f>HYPERLINK("http://www.bamf.de/SharedDocs/Anlagen/EN/Publikationen/Flyer/AnerkennungBerufsabschluss/anerkennung-berufsabschluss.pdf?__blob=publicationFile","x")</f>
        <v>x</v>
      </c>
      <c r="EA107" s="112" t="str">
        <f>HYPERLINK("http://www.bamf.de/SharedDocs/Anlagen/EN/Publikationen/Flyer/AnerkennungBerufsabschluss/anerkennung-berufsabschluss_ausland.pdf?__blob=publicationFile","x")</f>
        <v>x</v>
      </c>
      <c r="EB107" s="112" t="str">
        <f>HYPERLINK("http://www.bamf.de/SharedDocs/Anlagen/EN/Publikationen/Broschueren/willkommen-in-deutschland-info-blaue-karte-eu_en.pdf?__blob=publicationFile","x")</f>
        <v>x</v>
      </c>
      <c r="EC107" s="112" t="str">
        <f>HYPERLINK("http://www.bamf.de/SharedDocs/Anlagen/EN/Publikationen/Flyer/Berufsbezsprachf-ESF-BAMF/berufsbezsprachf-esf-bamf.pdf?__blob=publicationFile","x")</f>
        <v>x</v>
      </c>
      <c r="ED107" s="111"/>
      <c r="EE107" s="111"/>
      <c r="EF107" s="111"/>
      <c r="EG107" s="111"/>
      <c r="EH107" s="111"/>
      <c r="EI107" s="111"/>
      <c r="EJ107" s="112"/>
      <c r="EK107" s="112" t="str">
        <f>HYPERLINK("http://fluechtlingsrat-bw.de/files/Dateien/Dokumente/Materialbestellung/2014-12-flyer%20arbeitserlaubnis%20EN%20WEB.pdf","x")</f>
        <v>x</v>
      </c>
      <c r="EL107" s="112" t="str">
        <f>HYPERLINK("http://www.aponet.de/englisch/20151019-fuer-den-notfall-wichtige-rufnummern-im-ueberblick.html","x")</f>
        <v>x</v>
      </c>
      <c r="EM107" s="112" t="str">
        <f>HYPERLINK("http://www.kvs-sachsen.de/fileadmin/img/Mitglieder/Asylbewerber/Allg-Informationen/Anlage_1_Englisch_LEK.pdf","x")</f>
        <v>x</v>
      </c>
      <c r="EN107" s="112" t="str">
        <f>HYPERLINK("http://www.medizin-hilft-fluechtlingen.de/images/Dokumente/gSch/gSch_eng.pdf","x")</f>
        <v>x</v>
      </c>
      <c r="EO107" s="112" t="str">
        <f>HYPERLINK("http://www.aponet.de/englisch/medical-care-for-asylum-seekers.html","x")</f>
        <v>x</v>
      </c>
      <c r="EP107" s="117" t="str">
        <f>HYPERLINK("http://www.medi-bild.de/pdf/anamnese/Welche_Sprache.pdf","x")</f>
        <v>x</v>
      </c>
      <c r="EQ107" s="117" t="str">
        <f>HYPERLINK("http://www.armut-gesundheit.de/fileadmin/redakteur/dokumente/Anamnesebogen%20-%20englischnew.pdf","x")</f>
        <v>x</v>
      </c>
      <c r="ER107" s="112" t="str">
        <f>HYPERLINK("http://www.kvs-sachsen.de/fileadmin/img/Mitglieder/Asylbewerber/Allg-Informationen/Anlagen_2-1_2-2_Englisch_LEK.pdf","x")</f>
        <v>x</v>
      </c>
      <c r="ES107" s="111"/>
      <c r="ET107" s="111"/>
      <c r="EU107" s="112" t="str">
        <f>HYPERLINK("http://www.medizin-hilft-fluechtlingen.de/images/Dokumente/ein/ein_engl.pdf","x")</f>
        <v>x</v>
      </c>
      <c r="EV107" s="112" t="str">
        <f>HYPERLINK("http://www.adler-apotheke-hh.de/fileadmin/user_upload/PDF-Dateien/Dosierzettel_mehrsprachig_AUF_0_.pdf","x")</f>
        <v>x</v>
      </c>
      <c r="EW107" s="112" t="str">
        <f t="shared" si="36"/>
        <v>x</v>
      </c>
      <c r="EX107" s="112" t="str">
        <f>HYPERLINK("http://www.rki.de/DE/Content/Infekt/IfSG/Belehrungsbogen/belehrungsbogen_eltern_englisch.pdf?__blob=publicationFile","x")</f>
        <v>x</v>
      </c>
      <c r="EY107" s="112" t="str">
        <f>HYPERLINK("http://www.bzga.de/infomaterialien/?sid=236","x")</f>
        <v>x</v>
      </c>
      <c r="EZ107" s="112" t="str">
        <f>HYPERLINK("https://www.mh-hannover.de/fileadmin/mhh/bilder/aktuelles_presse/pressestelle/bilder/Pilzvergif_English.pdf","x")</f>
        <v>x</v>
      </c>
      <c r="FA107" s="112"/>
      <c r="FB107" s="112" t="str">
        <f>HYPERLINK("http://static.apotheken-umschau.de/media/gp/article_506373/bildwoerterbuch.pdf","x")</f>
        <v>x</v>
      </c>
      <c r="FC107" s="112" t="str">
        <f>HYPERLINK("https://www.studentenwerke.de/sites/default/files/gesundheitswoerterbuch.pdf","x")</f>
        <v>x</v>
      </c>
      <c r="FD107" s="112" t="str">
        <f t="shared" si="37"/>
        <v>x</v>
      </c>
      <c r="FE107" s="112" t="str">
        <f>HYPERLINK("http://sghanstedt.elbnetz.com/ueber-uns/","x")</f>
        <v>x</v>
      </c>
      <c r="FF107" s="112" t="str">
        <f>HYPERLINK("http://www.fuhlenhagen.com/pdf_dateien/uebertzungshilfe_aerzte_mehrsprachig.pdf","x")</f>
        <v>x</v>
      </c>
      <c r="FG107" s="112" t="str">
        <f>HYPERLINK("http://www.tipdoc.de/grafik/asyl/Gesundheitsheft_Asyl.pdf","x")</f>
        <v>x</v>
      </c>
      <c r="FH107" s="111"/>
      <c r="FI107" s="111"/>
      <c r="FJ107" s="112" t="str">
        <f>HYPERLINK("http://www.bundesgesundheitsministerium.de/fileadmin/dateien/Publikationen/Gesundheit/Broschueren/Ratgeber_Asylsuchende/Ratgeber_Asylsuchende_engl.pdf","x")</f>
        <v>x</v>
      </c>
      <c r="FK107" s="112" t="str">
        <f>HYPERLINK("http://www.rki.de/DE/Content/Infekt/Impfen/Materialien/Downloads-Impfkalender/Impfkalender_Englisch.pdf?__blob=publicationFile","x")</f>
        <v>x</v>
      </c>
      <c r="FL107" s="112" t="str">
        <f>HYPERLINK("http://www.ethno-medizinisches-zentrum.de/images/PDF-Files/impfwegweiser_englisch_2013_online.pdf","x")</f>
        <v>x</v>
      </c>
      <c r="FM107" s="112"/>
      <c r="FN107" s="112" t="str">
        <f>HYPERLINK("http://www.rki.de/DE/Content/Infekt/Impfen/Materialien/Glossar-Downloads/glossar-de-englisch.pdf?__blob=publicationFile","x")</f>
        <v>x</v>
      </c>
      <c r="FO107" s="112" t="str">
        <f>HYPERLINK("http://www.euro.who.int/__data/assets/pdf_file/0005/160754/VPDs_Signs-symptoms-complications.pdf?ua=1","x")</f>
        <v>x</v>
      </c>
      <c r="FP107" s="112" t="str">
        <f>HYPERLINK("http://www.rki.de/DE/Content/Infekt/Impfen/Materialien/Downloads-MMR/MMR-Impfinfo-englisch.pdf?__blob=publicationFile","x")</f>
        <v>x</v>
      </c>
      <c r="FQ107" s="112" t="str">
        <f>HYPERLINK("http://www.rki.de/DE/Content/InfAZ/P/Polio/Ausbruch_Syrien/Informationsblatt_Polio_Englisch.pdf?__blob=publicationFile","x")</f>
        <v>x</v>
      </c>
      <c r="FR107" s="112" t="str">
        <f>HYPERLINK("http://www.rki.de/DE/Content/Infekt/Impfen/Materialien/Downloads_HepA/Aufklaerung_HAV-Impfung_Englisch.pdf?__blob=publicationFile","x")</f>
        <v>x</v>
      </c>
      <c r="FS107" s="112" t="str">
        <f>HYPERLINK("http://www.rki.de/DE/Content/Infekt/Impfen/Materialien/Downloads_Pneumokokken/Aufklaerung_Pneumo-Impfung_Englisch.pdf?__blob=publicationFile","x")</f>
        <v>x</v>
      </c>
      <c r="FT107" s="112" t="str">
        <f>HYPERLINK("http://www.rki.de/DE/Content/Infekt/Impfen/Materialien/Downloads-DTaPIPVHibHepB/DTaPIPVHibHepB-englisch.pdf?__blob=publicationFile","x")</f>
        <v>x</v>
      </c>
      <c r="FU107" s="112" t="str">
        <f>HYPERLINK("http://www.rki.de/DE/Content/Infekt/Impfen/Materialien/Downloads-Varizellen/Varizellen-Impfinfo-englisch.pdf;jsessionid=65B697F4EE7EDA8A1ED9E2C4CD6C74EC.2_cid363?__blob=publicationFile","x")</f>
        <v>x</v>
      </c>
      <c r="FV107" s="112" t="str">
        <f>HYPERLINK("http://www.rki.de/DE/Content/Infekt/Impfen/Materialien/Downloads-Tdap-IPV/Tdap-IPV-englisch.pdf?__blob=publicationFile","x")</f>
        <v>x</v>
      </c>
      <c r="FW107" s="112" t="str">
        <f>HYPERLINK("http://www.rki.de/DE/Content/Infekt/Impfen/Materialien/Downloads-Influenza_nasal/Influenza_nasal-englisch.pdf?__blob=publicationFile","x")</f>
        <v>x</v>
      </c>
      <c r="FX107" s="111"/>
      <c r="FY107" s="112"/>
      <c r="FZ107" s="112"/>
      <c r="GA107" s="111"/>
      <c r="GB107" s="111"/>
      <c r="GC107" s="111"/>
      <c r="GD107" s="112" t="str">
        <f>HYPERLINK("http://www.ethno-medizinisches-zentrum.de/images/PDF-Files/lf_diabete_englisch.pdf","x")</f>
        <v>x</v>
      </c>
      <c r="GE107" s="111"/>
      <c r="GF107" s="111"/>
      <c r="GG107" s="111"/>
      <c r="GH107" s="112"/>
      <c r="GI107" s="111"/>
      <c r="GJ107" s="111"/>
      <c r="GK107" s="112" t="str">
        <f>HYPERLINK("http://www.tipdoc.de/bus/pdf/hiv/HIV%20ESP_Webseite.pdf","x")</f>
        <v>x</v>
      </c>
      <c r="GL107" s="111"/>
      <c r="GM107" s="112" t="str">
        <f>HYPERLINK("http://www.rki.de/DE/Content/Infekt/Impfen/Materialien/Downloads-Influenza/Influenza-englisch.pdf?__blob=publicationFile","x")</f>
        <v>x</v>
      </c>
      <c r="GN107" s="111"/>
      <c r="GO107" s="112" t="str">
        <f>HYPERLINK("http://www.aponet.de/englisch/20151111-so-unterscheiden-sich-grippe-und-erkaeltung.html","x")</f>
        <v>x</v>
      </c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2" t="str">
        <f t="shared" si="38"/>
        <v>x</v>
      </c>
      <c r="HD107" s="112" t="str">
        <f>HYPERLINK("https://www.zahnaerzte-wl.de/images/_PDF-suche/KZV_ZÄK/ENDSTAND_Ankreuzbogen_Ich_verstehe.pdf","x")</f>
        <v>x</v>
      </c>
      <c r="HE107" s="112" t="str">
        <f>HYPERLINK("https://www.zahnaerzte-wl.de/images/_PDF-suche/KZV_ZÄK/Anschreiben_Patienten_englisch.pdf","x")</f>
        <v>x</v>
      </c>
      <c r="HF107" s="112" t="str">
        <f>HYPERLINK("https://www.zahnaerzte-wl.de/images/_PDF-suche/KZV_ZÄK/Fragebogen_englisch.pdf","x")</f>
        <v>x</v>
      </c>
      <c r="HG107" s="112" t="str">
        <f>HYPERLINK("https://www.zahnaerzte-wl.de/images/_PDF-suche/KZV_ZÄK/Patientenerhebungsbogen_englisch.pdf","x")</f>
        <v>x</v>
      </c>
      <c r="HH107" s="112"/>
      <c r="HI107" s="112" t="str">
        <f>HYPERLINK("http://www.bvkm.de/fileadmin/web_data/Behinderung_und_Migration_englisch_2014.pdf","x")</f>
        <v>x</v>
      </c>
      <c r="HJ107" s="112"/>
      <c r="HK107" s="112" t="str">
        <f>HYPERLINK("http://www.psychenet.de/en/mental-health/knowledge/depression.html","x")</f>
        <v>x</v>
      </c>
      <c r="HL107" s="111"/>
      <c r="HM107" s="112" t="str">
        <f>HYPERLINK("http://www.psychenet.de/en/mental-health/knowledge/psychoses.html","x")</f>
        <v>x</v>
      </c>
      <c r="HN107" s="112" t="str">
        <f>HYPERLINK("http://www.psychenet.de/en/mental-health/knowledge/somatoform-disorders.html","x")</f>
        <v>x</v>
      </c>
      <c r="HO107" s="112" t="str">
        <f>HYPERLINK("http://www.psychenet.de/en/mental-health/knowledge/anorexia.html","x")</f>
        <v>x</v>
      </c>
      <c r="HP107" s="112" t="str">
        <f>HYPERLINK("http://www.psychenet.de/en/mental-health/knowledge/bulimia.html","x")</f>
        <v>x</v>
      </c>
      <c r="HQ107" s="112" t="str">
        <f>HYPERLINK("http://www.psychenet.de/en/mental-health/knowledge/bipolar-disorder.html","x")</f>
        <v>x</v>
      </c>
      <c r="HR107" s="112" t="str">
        <f>HYPERLINK("http://www.psychenet.de/en/mental-health/knowledge/panic-and-agoraphobia.html","x")</f>
        <v>x</v>
      </c>
      <c r="HS107" s="112" t="str">
        <f>HYPERLINK("http://www.psychenet.de/en/mental-health/knowledge/social-phobia.html","x")</f>
        <v>x</v>
      </c>
      <c r="HT107" s="112" t="str">
        <f>HYPERLINK("http://www.psychenet.de/en/mental-health/knowledge/generalized-anxiety-disorder.html","x")</f>
        <v>x</v>
      </c>
      <c r="HU107" s="112"/>
      <c r="HV107" s="112" t="str">
        <f>HYPERLINK("http://www.psychenet.de/en/mental-health/knowledge/information-and-support.html","x")</f>
        <v>x</v>
      </c>
      <c r="HW107" s="112"/>
      <c r="HX107" s="112" t="str">
        <f>HYPERLINK("http://www.bkk-psychisch-gesund.de/fileadmin/user_upload/Dokumente/Versicherte/Broschueren/Wegweiser_Psychotherapie_englisch.pdf","x")</f>
        <v>x</v>
      </c>
      <c r="HY107" s="112" t="str">
        <f t="shared" si="39"/>
        <v>x</v>
      </c>
      <c r="HZ107" s="112" t="str">
        <f t="shared" si="40"/>
        <v>x</v>
      </c>
      <c r="IA107" s="112" t="str">
        <f>HYPERLINK("http://peacefulheart.se/wp-content/uploads/2012/02/TTT_English_2013.pdf","x")</f>
        <v>x</v>
      </c>
      <c r="IB107" s="112"/>
      <c r="IC107" s="112"/>
      <c r="ID107" s="112" t="str">
        <f>HYPERLINK("http://www.susannestein.de/VIA-online/trauma-picture-book.pdf","x")</f>
        <v>x</v>
      </c>
      <c r="IE107" s="112" t="str">
        <f>HYPERLINK("http://www.psychenet.de/en/mental-health/knowledge/alcohol-in-adolescence.html","x")</f>
        <v>x</v>
      </c>
      <c r="IF107" s="112"/>
      <c r="IG107" s="112"/>
      <c r="IH107" s="111"/>
      <c r="II107" s="112" t="str">
        <f>HYPERLINK("http://www.caritas.de/hilfeundberatung/onlineberatung/suchtberatung/haeufiggestelltefragensucht/haeufiggestelltefragen-sucht","x")</f>
        <v>x</v>
      </c>
      <c r="IJ107" s="112" t="str">
        <f>HYPERLINK("http://www.dhs.de/fileadmin/user_upload/pdf/Broschueren/Ein_Angebot_an_alle-Englisch.pdf","x")</f>
        <v>x</v>
      </c>
      <c r="IK107" s="112" t="str">
        <f>HYPERLINK("http://www.bamf.de/SharedDocs/Anlagen/EN/Publikationen/Flyer/Lassen-Sie-Sich-Beraten/lassen-sie-sich-beraten.pdf?__blob=publicationFile","x")</f>
        <v>x</v>
      </c>
      <c r="IL107" s="115" t="str">
        <f>HYPERLINK("http://www.bamf.de/SharedDocs/Anlagen/EN/Publikationen/Flyer/flyer-erstorientierung-asylsuchende.pdf?__blob=publicationFile","x")</f>
        <v>x</v>
      </c>
      <c r="IM107" s="112" t="str">
        <f>HYPERLINK("http://www.frnrw.de/index.php/inhaltliche-themen/arbeitshilfen/item/3710-erstinfos-fuer-asylsuchende","x")</f>
        <v>x</v>
      </c>
      <c r="IN107" s="112" t="str">
        <f>HYPERLINK("http://www.bamf.de/SharedDocs/Anlagen/EN/Publikationen/Broschueren/willkommen-in-deutschland.pdf;jsessionid=2D72CB108E4AC02BBB9659E7D9A589B2.1_cid368?__blob=publicationFile","x")</f>
        <v>x</v>
      </c>
      <c r="IO107" s="112"/>
      <c r="IP107" s="112"/>
      <c r="IQ107" s="112" t="str">
        <f>HYPERLINK("http://www.bamf.de/SharedDocs/Anlagen/EN/Publikationen/Flyer/Lernen-Sie-Deutsch/lernen-sie-deutsch.pdf?__blob=publicationFile","x")</f>
        <v>x</v>
      </c>
      <c r="IR107" s="112" t="str">
        <f>HYPERLINK("http://www.asyl.net/fileadmin/user_upload/redaktion/Dokumente/Arbeitshilfen/150910_Wie_l%C3%A4uft_ein_Asylverfahren_ab_%C3%9Cberblickstext_Englisch.pdf","x")</f>
        <v>x</v>
      </c>
      <c r="IS107" s="111"/>
      <c r="IT107" s="112" t="str">
        <f>HYPERLINK("http://www.bamf.de/SharedDocs/Anlagen/EN/Publikationen/Flyer/ablauf-asylverfahren.pdf;jsessionid=DBD4307960D761935FCC3E0325D459A1.1_cid294?__blob=publicationFile","x")</f>
        <v>x</v>
      </c>
      <c r="IU107" s="111"/>
      <c r="IV107" s="112" t="str">
        <f>HYPERLINK("http://www.asyl.net/fileadmin/user_upload/infoblatt_anhoerung/Infoblatt_2015_en_fin.pdf","x")</f>
        <v>x</v>
      </c>
      <c r="IW107" s="112"/>
      <c r="IX107" s="112" t="str">
        <f>HYPERLINK("http://www.berlin.de/labo/willkommen-in-berlin/service/downloads/artikel.273193.php","x")</f>
        <v>x</v>
      </c>
      <c r="IY107" s="112" t="str">
        <f>HYPERLINK("http://www.bamf.de/SharedDocs/Anlagen/EN/Publikationen/Broschueren/broschuere-eat-a4.pdf?__blob=publicationFile","x")</f>
        <v>x</v>
      </c>
      <c r="IZ107" s="111"/>
      <c r="JA107" s="112" t="str">
        <f>HYPERLINK("http://fluechtlingsrat-bw.de/informationen-fuer-fluechtlinge.html","x")</f>
        <v>x</v>
      </c>
      <c r="JB107" s="111"/>
      <c r="JC107" s="112" t="str">
        <f>HYPERLINK("http://www.bamf.de/SharedDocs/Anlagen/EN/Publikationen/Flyer/20150223_ura2_en.pdf?__blob=publicationFile","x")</f>
        <v>x</v>
      </c>
      <c r="JD107" s="111"/>
      <c r="JE107" s="112"/>
      <c r="JF107" s="112"/>
      <c r="JG107" s="112" t="str">
        <f>HYPERLINK("http://www.bamf.de/SharedDocs/Anlagen/EN/Publikationen/Flyer/Ehegattennachzug/ehegattennachzug.pdf?__blob=publicationFile","x")</f>
        <v>x</v>
      </c>
      <c r="JH107" s="112" t="str">
        <f>HYPERLINK("https://familyreunion-syria.diplo.de/webportal/index.html#start","x")</f>
        <v>x</v>
      </c>
      <c r="JI107" s="112" t="str">
        <f>HYPERLINK("http://ec.europa.eu/dgs/home-affairs/what-we-do/networks/european_migration_network/docs/emn-glossary-en-version.pdf","x")</f>
        <v>x</v>
      </c>
      <c r="JJ107" s="112"/>
      <c r="JK107" s="112" t="str">
        <f>HYPERLINK("https://www.arbeitsagentur.de/web/wcm/idc/groups/public/documents/webdatei/mdaw/mjgz/~edisp/l6019022dstbai784628.pdf?_ba.sid=L6019022DSTBAI784625","x")</f>
        <v>x</v>
      </c>
      <c r="JL107" s="112" t="str">
        <f>HYPERLINK("http://www.kub-berlin.org/formularprojekt/de/englisch-antraege-und-anlagen-uebersetzungshilfen/","x")</f>
        <v>x</v>
      </c>
      <c r="JM107" s="112" t="str">
        <f>HYPERLINK("https://www.arbeitsagentur.de/web/content/DE/Formulare/Detail/index.htm?dfContentId=L6019022DSTBAI485740","x")</f>
        <v>x</v>
      </c>
      <c r="JN107" s="112"/>
      <c r="JO107" s="112"/>
      <c r="JP107" s="112"/>
      <c r="JQ107" s="112"/>
      <c r="JR107" s="112" t="str">
        <f>HYPERLINK("http://www.ibla-germany.de/merkblaetter.php","x")</f>
        <v>x</v>
      </c>
      <c r="JS107" s="112"/>
      <c r="JT107" s="112" t="str">
        <f>HYPERLINK("http://www.b-umf.de/images/willkommen/willkommensbroschureenglisch-web.pdf","x")</f>
        <v>x</v>
      </c>
      <c r="JU107" s="111"/>
      <c r="JV107" s="111"/>
      <c r="JW107" s="112"/>
      <c r="JX107" s="112" t="str">
        <f>HYPERLINK("https://www.arbeitsagentur.de/web/wcm/idc/groups/public/documents/webdatei/mdaw/mjgz/~edisp/l6019022dstbai784636.pdf?_ba.sid=L6019022DSTBAI784633","x")</f>
        <v>x</v>
      </c>
      <c r="JY107" s="112"/>
      <c r="JZ107" s="112"/>
      <c r="KA107" s="112"/>
      <c r="KB107" s="112" t="str">
        <f>HYPERLINK("http://www.refugeeguide.de/dl/RefugeeGuide_en_925.pdf","x")</f>
        <v>x</v>
      </c>
      <c r="KC107" s="112" t="str">
        <f>HYPERLINK("http://www.gesetze-im-internet.de/englisch_gg/basic_law_for_the_federal_republic_of_germany.pdf","x")</f>
        <v>x</v>
      </c>
      <c r="KD107" s="112" t="str">
        <f>HYPERLINK("http://www.wedel.de/fileadmin/user_upload/media/pdf/Rathaus_und_Politik/20160118_PM_Broschuere.pdf","x")</f>
        <v>x</v>
      </c>
      <c r="KE107" s="112" t="str">
        <f>HYPERLINK("http://www.frauenrechte.de/online/images/downloads/allgemein/TDF_Flyer_Women_Men.pdf","x")</f>
        <v>x</v>
      </c>
      <c r="KF107" s="112" t="str">
        <f>HYPERLINK("http://sab.landtag.sachsen.de/dokumente/landtagskurier/Grundwerte-A5-international_web_08012016.pdf","x")</f>
        <v>x</v>
      </c>
      <c r="KG107" s="112"/>
      <c r="KH107" s="112"/>
      <c r="KI107" s="112"/>
      <c r="KJ107" s="112"/>
      <c r="KK107" s="112"/>
      <c r="KL107" s="112"/>
      <c r="KM107" s="112"/>
      <c r="KN107" s="112"/>
      <c r="KO107" s="112"/>
      <c r="KP107" s="112"/>
      <c r="KQ107" s="112"/>
      <c r="KR107" s="112"/>
      <c r="KS107" s="112"/>
      <c r="KT107" s="112"/>
      <c r="KU107" s="112"/>
      <c r="KV107" s="112"/>
      <c r="KW107" s="112"/>
      <c r="KX107" s="112"/>
      <c r="KY107" s="112"/>
      <c r="KZ107" s="112"/>
      <c r="LA107" s="112"/>
      <c r="LB107" s="112"/>
      <c r="LC107" s="111"/>
      <c r="LD107" s="112"/>
      <c r="LE107" s="112"/>
      <c r="LF107" s="112"/>
      <c r="LG107" s="112"/>
      <c r="LH107" s="112"/>
      <c r="LI107" s="112"/>
      <c r="LJ107" s="112"/>
      <c r="LK107" s="112"/>
      <c r="LL107" s="112"/>
      <c r="LM107" s="112"/>
      <c r="LN107" s="112"/>
      <c r="LO107" s="112"/>
      <c r="LP107" s="112"/>
      <c r="LQ107" s="112"/>
      <c r="LR107" s="112"/>
      <c r="LS107" s="112"/>
      <c r="LT107" s="112"/>
      <c r="LU107" s="112"/>
      <c r="LV107" s="112"/>
      <c r="LW107" s="112"/>
      <c r="LX107" s="112"/>
      <c r="LY107" s="112"/>
      <c r="LZ107" s="112"/>
      <c r="MA107" s="112"/>
      <c r="MB107" s="112"/>
      <c r="MC107" s="111"/>
      <c r="MD107" s="112" t="str">
        <f>HYPERLINK("http://www.rki.de/DE/Content/Infekt/IfSG/Belehrungsbogen/belehrungsbogen_lebensmittel_englisch.pdf?__blob=publicationFile","x")</f>
        <v>x</v>
      </c>
      <c r="ME107" s="112"/>
      <c r="MF107" s="112" t="str">
        <f>HYPERLINK("http://www.gdv.de/wp-content/uploads/2016/01/Information_Brandschutz_Fluechtlingsheim_-Sicherheit_mehrsprachig.pdf","x")</f>
        <v>x</v>
      </c>
      <c r="MG107" s="112" t="str">
        <f>HYPERLINK("http://www.gdv.de/wp-content/uploads/2016/01/Information_Verhalten-im-Brandfall_mehrsprachig.pdf","x")</f>
        <v>x</v>
      </c>
      <c r="MH107" s="112" t="str">
        <f>HYPERLINK("http://www.aha-region.de/fileadmin/Download/pdf/aha_Plakat_Muelltrennung_en.pdf","x")</f>
        <v>x</v>
      </c>
      <c r="MI107" s="112" t="str">
        <f>HYPERLINK("http://www.kindersicherheit.de/pdf/2012_poster_achtunggiftig_8sprachig.pdf","x")</f>
        <v>x</v>
      </c>
    </row>
    <row r="108" spans="1:347" x14ac:dyDescent="0.25">
      <c r="A108" s="102" t="s">
        <v>88</v>
      </c>
      <c r="B108" s="127" t="s">
        <v>490</v>
      </c>
      <c r="C108" s="102"/>
      <c r="D108" s="102"/>
      <c r="E108" s="102"/>
      <c r="F108" s="102"/>
      <c r="G108" s="102"/>
      <c r="H108" s="102"/>
      <c r="I108" s="102"/>
      <c r="J108" s="102"/>
      <c r="K108" s="103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2"/>
      <c r="AP108" s="112"/>
      <c r="AQ108" s="112"/>
      <c r="AR108" s="112"/>
      <c r="AS108" s="112"/>
      <c r="AT108" s="112"/>
      <c r="AU108" s="112"/>
      <c r="AV108" s="113"/>
      <c r="AW108" s="114" t="str">
        <f t="shared" si="22"/>
        <v>x</v>
      </c>
      <c r="AX108" s="114" t="str">
        <f t="shared" si="23"/>
        <v>x</v>
      </c>
      <c r="AY108" s="111"/>
      <c r="AZ108" s="111"/>
      <c r="BA108" s="112" t="str">
        <f t="shared" si="24"/>
        <v>x</v>
      </c>
      <c r="BB108" s="112" t="str">
        <f t="shared" si="25"/>
        <v>x</v>
      </c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2" t="str">
        <f t="shared" si="26"/>
        <v>x</v>
      </c>
      <c r="BT108" s="112"/>
      <c r="BU108" s="111"/>
      <c r="BV108" s="112" t="str">
        <f t="shared" si="27"/>
        <v>x</v>
      </c>
      <c r="BW108" s="112" t="str">
        <f>HYPERLINK("http://www.welcomegrooves.de/wp-content/uploads/2015/10/welcomegrooves_DE-KISWAHILI.pdf","x")</f>
        <v>x</v>
      </c>
      <c r="BX108" s="112"/>
      <c r="BY108" s="112"/>
      <c r="BZ108" s="112"/>
      <c r="CA108" s="112" t="str">
        <f t="shared" si="28"/>
        <v>x</v>
      </c>
      <c r="CB108" s="112" t="str">
        <f t="shared" si="29"/>
        <v>x</v>
      </c>
      <c r="CC108" s="112" t="str">
        <f t="shared" si="30"/>
        <v>x</v>
      </c>
      <c r="CD108" s="112"/>
      <c r="CE108" s="112"/>
      <c r="CF108" s="111"/>
      <c r="CG108" s="111"/>
      <c r="CH108" s="111"/>
      <c r="CI108" s="111"/>
      <c r="CJ108" s="112"/>
      <c r="CK108" s="112" t="str">
        <f t="shared" si="31"/>
        <v>x</v>
      </c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5"/>
      <c r="DD108" s="112"/>
      <c r="DE108" s="112"/>
      <c r="DF108" s="112" t="str">
        <f t="shared" si="32"/>
        <v>x</v>
      </c>
      <c r="DG108" s="115" t="str">
        <f t="shared" si="33"/>
        <v>x</v>
      </c>
      <c r="DH108" s="112" t="str">
        <f t="shared" si="34"/>
        <v>x</v>
      </c>
      <c r="DI108" s="112" t="str">
        <f t="shared" si="35"/>
        <v>x</v>
      </c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2"/>
      <c r="DV108" s="111"/>
      <c r="DW108" s="111"/>
      <c r="DX108" s="111"/>
      <c r="DY108" s="111"/>
      <c r="DZ108" s="111"/>
      <c r="EA108" s="111"/>
      <c r="EB108" s="112"/>
      <c r="EC108" s="112"/>
      <c r="ED108" s="111"/>
      <c r="EE108" s="111"/>
      <c r="EF108" s="111"/>
      <c r="EG108" s="111"/>
      <c r="EH108" s="111"/>
      <c r="EI108" s="111"/>
      <c r="EJ108" s="112"/>
      <c r="EK108" s="112"/>
      <c r="EL108" s="111"/>
      <c r="EM108" s="112"/>
      <c r="EN108" s="112"/>
      <c r="EO108" s="111"/>
      <c r="EP108" s="117"/>
      <c r="EQ108" s="118"/>
      <c r="ER108" s="112"/>
      <c r="ES108" s="111"/>
      <c r="ET108" s="111"/>
      <c r="EU108" s="111"/>
      <c r="EV108" s="111"/>
      <c r="EW108" s="112" t="str">
        <f t="shared" si="36"/>
        <v>x</v>
      </c>
      <c r="EX108" s="111"/>
      <c r="EY108" s="111"/>
      <c r="EZ108" s="111"/>
      <c r="FA108" s="111"/>
      <c r="FB108" s="111"/>
      <c r="FC108" s="111"/>
      <c r="FD108" s="112" t="str">
        <f t="shared" si="37"/>
        <v>x</v>
      </c>
      <c r="FE108" s="112"/>
      <c r="FF108" s="111"/>
      <c r="FG108" s="111"/>
      <c r="FH108" s="111"/>
      <c r="FI108" s="111"/>
      <c r="FJ108" s="112"/>
      <c r="FK108" s="112"/>
      <c r="FL108" s="111"/>
      <c r="FM108" s="111"/>
      <c r="FN108" s="112"/>
      <c r="FO108" s="112"/>
      <c r="FP108" s="112"/>
      <c r="FQ108" s="111"/>
      <c r="FR108" s="112"/>
      <c r="FS108" s="112"/>
      <c r="FT108" s="112"/>
      <c r="FU108" s="112"/>
      <c r="FV108" s="112"/>
      <c r="FW108" s="112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2"/>
      <c r="GI108" s="111"/>
      <c r="GJ108" s="111"/>
      <c r="GK108" s="111"/>
      <c r="GL108" s="111"/>
      <c r="GM108" s="112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2" t="str">
        <f t="shared" si="38"/>
        <v>x</v>
      </c>
      <c r="HD108" s="111"/>
      <c r="HE108" s="111"/>
      <c r="HF108" s="111"/>
      <c r="HG108" s="111"/>
      <c r="HH108" s="111"/>
      <c r="HI108" s="111"/>
      <c r="HJ108" s="111"/>
      <c r="HK108" s="112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2" t="str">
        <f t="shared" si="39"/>
        <v>x</v>
      </c>
      <c r="HZ108" s="112" t="str">
        <f t="shared" si="40"/>
        <v>x</v>
      </c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2"/>
      <c r="IL108" s="111"/>
      <c r="IM108" s="111"/>
      <c r="IN108" s="111"/>
      <c r="IO108" s="111"/>
      <c r="IP108" s="111"/>
      <c r="IQ108" s="112"/>
      <c r="IR108" s="112"/>
      <c r="IS108" s="111"/>
      <c r="IT108" s="111"/>
      <c r="IU108" s="111"/>
      <c r="IV108" s="112"/>
      <c r="IW108" s="112"/>
      <c r="IX108" s="112"/>
      <c r="IY108" s="112"/>
      <c r="IZ108" s="111"/>
      <c r="JA108" s="111"/>
      <c r="JB108" s="111"/>
      <c r="JC108" s="112"/>
      <c r="JD108" s="111"/>
      <c r="JE108" s="112"/>
      <c r="JF108" s="112"/>
      <c r="JG108" s="112"/>
      <c r="JH108" s="112"/>
      <c r="JI108" s="111"/>
      <c r="JJ108" s="112"/>
      <c r="JK108" s="112"/>
      <c r="JL108" s="112"/>
      <c r="JM108" s="112"/>
      <c r="JN108" s="112"/>
      <c r="JO108" s="112"/>
      <c r="JP108" s="112"/>
      <c r="JQ108" s="112"/>
      <c r="JR108" s="112"/>
      <c r="JS108" s="112"/>
      <c r="JT108" s="112"/>
      <c r="JU108" s="111"/>
      <c r="JV108" s="111"/>
      <c r="JW108" s="112"/>
      <c r="JX108" s="112"/>
      <c r="JY108" s="111"/>
      <c r="JZ108" s="111"/>
      <c r="KA108" s="111"/>
      <c r="KB108" s="111"/>
      <c r="KC108" s="111"/>
      <c r="KD108" s="111"/>
      <c r="KE108" s="112" t="str">
        <f>HYPERLINK("http://www.frauenrechte.de/online/images/downloads/allgemein/TDF_Flyer_Women_Men.pdf","x")</f>
        <v>x</v>
      </c>
      <c r="KF108" s="112"/>
      <c r="KG108" s="111"/>
      <c r="KH108" s="111"/>
      <c r="KI108" s="111"/>
      <c r="KJ108" s="111"/>
      <c r="KK108" s="111"/>
      <c r="KL108" s="111"/>
      <c r="KM108" s="111"/>
      <c r="KN108" s="111"/>
      <c r="KO108" s="111"/>
      <c r="KP108" s="111"/>
      <c r="KQ108" s="111"/>
      <c r="KR108" s="111"/>
      <c r="KS108" s="111"/>
      <c r="KT108" s="111"/>
      <c r="KU108" s="111"/>
      <c r="KV108" s="111"/>
      <c r="KW108" s="111"/>
      <c r="KX108" s="111"/>
      <c r="KY108" s="111"/>
      <c r="KZ108" s="111"/>
      <c r="LA108" s="111"/>
      <c r="LB108" s="111"/>
      <c r="LC108" s="111"/>
      <c r="LD108" s="111"/>
      <c r="LE108" s="111"/>
      <c r="LF108" s="111"/>
      <c r="LG108" s="111"/>
      <c r="LH108" s="111"/>
      <c r="LI108" s="111"/>
      <c r="LJ108" s="111"/>
      <c r="LK108" s="111"/>
      <c r="LL108" s="111"/>
      <c r="LM108" s="111"/>
      <c r="LN108" s="111"/>
      <c r="LO108" s="111"/>
      <c r="LP108" s="111"/>
      <c r="LQ108" s="111"/>
      <c r="LR108" s="111"/>
      <c r="LS108" s="111"/>
      <c r="LT108" s="111"/>
      <c r="LU108" s="111"/>
      <c r="LV108" s="111"/>
      <c r="LW108" s="111"/>
      <c r="LX108" s="111"/>
      <c r="LY108" s="111"/>
      <c r="LZ108" s="111"/>
      <c r="MA108" s="111"/>
      <c r="MB108" s="111"/>
      <c r="MC108" s="111"/>
      <c r="MD108" s="111"/>
      <c r="ME108" s="111"/>
      <c r="MF108" s="111"/>
      <c r="MG108" s="111"/>
      <c r="MH108" s="111"/>
      <c r="MI108" s="111"/>
    </row>
    <row r="109" spans="1:347" x14ac:dyDescent="0.25">
      <c r="A109" s="102" t="s">
        <v>88</v>
      </c>
      <c r="B109" s="127" t="s">
        <v>39</v>
      </c>
      <c r="C109" s="102"/>
      <c r="D109" s="102"/>
      <c r="E109" s="102"/>
      <c r="F109" s="102"/>
      <c r="G109" s="102"/>
      <c r="H109" s="102"/>
      <c r="I109" s="102"/>
      <c r="J109" s="102"/>
      <c r="K109" s="103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3"/>
      <c r="AW109" s="114" t="str">
        <f t="shared" si="22"/>
        <v>x</v>
      </c>
      <c r="AX109" s="114" t="str">
        <f t="shared" si="23"/>
        <v>x</v>
      </c>
      <c r="AY109" s="111"/>
      <c r="AZ109" s="111"/>
      <c r="BA109" s="112" t="str">
        <f t="shared" si="24"/>
        <v>x</v>
      </c>
      <c r="BB109" s="112" t="str">
        <f t="shared" si="25"/>
        <v>x</v>
      </c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2" t="str">
        <f t="shared" si="26"/>
        <v>x</v>
      </c>
      <c r="BT109" s="112"/>
      <c r="BU109" s="111"/>
      <c r="BV109" s="112" t="str">
        <f t="shared" si="27"/>
        <v>x</v>
      </c>
      <c r="BW109" s="112" t="str">
        <f>HYPERLINK("http://www.welcomegrooves.de/wp-content/uploads/2015/10/welcomegrooves_DE-SOMALI.pdf","x")</f>
        <v>x</v>
      </c>
      <c r="BX109" s="112"/>
      <c r="BY109" s="112"/>
      <c r="BZ109" s="112"/>
      <c r="CA109" s="112" t="str">
        <f t="shared" si="28"/>
        <v>x</v>
      </c>
      <c r="CB109" s="112" t="str">
        <f t="shared" si="29"/>
        <v>x</v>
      </c>
      <c r="CC109" s="112" t="str">
        <f t="shared" si="30"/>
        <v>x</v>
      </c>
      <c r="CD109" s="112"/>
      <c r="CE109" s="112"/>
      <c r="CF109" s="111"/>
      <c r="CG109" s="111"/>
      <c r="CH109" s="111"/>
      <c r="CI109" s="111"/>
      <c r="CJ109" s="111"/>
      <c r="CK109" s="112" t="str">
        <f t="shared" si="31"/>
        <v>x</v>
      </c>
      <c r="CL109" s="112"/>
      <c r="CM109" s="112"/>
      <c r="CN109" s="112"/>
      <c r="CO109" s="112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2"/>
      <c r="DA109" s="112" t="str">
        <f>HYPERLINK("http://sichere-orte-schaffen.de/wp-content/uploads/Minibrosch_Fluechtlinge_multilang.pdf","x")</f>
        <v>x</v>
      </c>
      <c r="DB109" s="112"/>
      <c r="DC109" s="115"/>
      <c r="DD109" s="112"/>
      <c r="DE109" s="112"/>
      <c r="DF109" s="112" t="str">
        <f t="shared" si="32"/>
        <v>x</v>
      </c>
      <c r="DG109" s="115" t="str">
        <f t="shared" si="33"/>
        <v>x</v>
      </c>
      <c r="DH109" s="112" t="str">
        <f t="shared" si="34"/>
        <v>x</v>
      </c>
      <c r="DI109" s="112" t="str">
        <f t="shared" si="35"/>
        <v>x</v>
      </c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8"/>
      <c r="EQ109" s="118"/>
      <c r="ER109" s="111"/>
      <c r="ES109" s="111"/>
      <c r="ET109" s="111"/>
      <c r="EU109" s="111"/>
      <c r="EV109" s="111"/>
      <c r="EW109" s="112" t="str">
        <f t="shared" si="36"/>
        <v>x</v>
      </c>
      <c r="EX109" s="111"/>
      <c r="EY109" s="111"/>
      <c r="EZ109" s="111"/>
      <c r="FA109" s="111"/>
      <c r="FB109" s="111"/>
      <c r="FC109" s="111"/>
      <c r="FD109" s="112" t="str">
        <f t="shared" si="37"/>
        <v>x</v>
      </c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2" t="str">
        <f t="shared" si="38"/>
        <v>x</v>
      </c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2" t="str">
        <f t="shared" si="39"/>
        <v>x</v>
      </c>
      <c r="HZ109" s="112" t="str">
        <f t="shared" si="40"/>
        <v>x</v>
      </c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2" t="str">
        <f>HYPERLINK("http://www.bamf.de/SharedDocs/Anlagen/DE/Publikationen/Flyer/flyer-erstorientierung-asylsuchende_somali.pdf?__blob=publicationFile","x")</f>
        <v>x</v>
      </c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2" t="str">
        <f>HYPERLINK("http://fluechtlingsrat-bw.de/informationen-fuer-fluechtlinge.html","x")</f>
        <v>x</v>
      </c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2" t="str">
        <f>HYPERLINK("http://www.b-umf.de/images/willkommen/wkb-soomali.pdf","x")</f>
        <v>x</v>
      </c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2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</row>
    <row r="110" spans="1:347" x14ac:dyDescent="0.25">
      <c r="A110" s="102" t="s">
        <v>85</v>
      </c>
      <c r="B110" s="127" t="s">
        <v>7</v>
      </c>
      <c r="C110" s="102"/>
      <c r="D110" s="102"/>
      <c r="E110" s="102"/>
      <c r="F110" s="102"/>
      <c r="G110" s="102"/>
      <c r="H110" s="102"/>
      <c r="I110" s="102"/>
      <c r="J110" s="102"/>
      <c r="K110" s="103"/>
      <c r="L110" s="111"/>
      <c r="M110" s="111"/>
      <c r="N110" s="112" t="str">
        <f>HYPERLINK("http://www.ag-fluechtlingshilfe-wetterau.de/uploads/infos/170.pdf","x")</f>
        <v>x</v>
      </c>
      <c r="O110" s="112"/>
      <c r="P110" s="112" t="str">
        <f>HYPERLINK("https://willkommensteamelmshorn.files.wordpress.com/2015/11/sortieranleitung_pinneberg_2015_russisch.pdf","x")</f>
        <v>x</v>
      </c>
      <c r="Q110" s="112"/>
      <c r="R110" s="112"/>
      <c r="S110" s="112"/>
      <c r="T110" s="112"/>
      <c r="U110" s="112"/>
      <c r="V110" s="112"/>
      <c r="W110" s="111"/>
      <c r="X110" s="112"/>
      <c r="Y110" s="111"/>
      <c r="Z110" s="111"/>
      <c r="AA110" s="111"/>
      <c r="AB110" s="111"/>
      <c r="AC110" s="111"/>
      <c r="AD110" s="112" t="str">
        <f>HYPERLINK("http://www.rundfunkbeitrag.de/e175/e1634/Informationsflyer_Buerginnen_und_Buerger_russisch.pdf","x")</f>
        <v>x</v>
      </c>
      <c r="AE110" s="111"/>
      <c r="AF110" s="112" t="str">
        <f>HYPERLINK("http://www.kub-berlin.org/formularprojekt/de/russisch-antraege-und-anlagen/","x")</f>
        <v>x</v>
      </c>
      <c r="AG110" s="111"/>
      <c r="AH110" s="112" t="str">
        <f>HYPERLINK("http://sghanstedt.elbnetz.com/ueber-uns/","x")</f>
        <v>x</v>
      </c>
      <c r="AI110" s="111"/>
      <c r="AJ110" s="111"/>
      <c r="AK110" s="111"/>
      <c r="AL110" s="111"/>
      <c r="AM110" s="111"/>
      <c r="AN110" s="111"/>
      <c r="AO110" s="112"/>
      <c r="AP110" s="112"/>
      <c r="AQ110" s="112"/>
      <c r="AR110" s="112"/>
      <c r="AS110" s="112"/>
      <c r="AT110" s="112"/>
      <c r="AU110" s="112"/>
      <c r="AV110" s="113"/>
      <c r="AW110" s="114" t="str">
        <f t="shared" si="22"/>
        <v>x</v>
      </c>
      <c r="AX110" s="114" t="str">
        <f t="shared" si="23"/>
        <v>x</v>
      </c>
      <c r="AY110" s="111"/>
      <c r="AZ110" s="111"/>
      <c r="BA110" s="112" t="str">
        <f t="shared" si="24"/>
        <v>x</v>
      </c>
      <c r="BB110" s="112" t="str">
        <f t="shared" si="25"/>
        <v>x</v>
      </c>
      <c r="BC110" s="111"/>
      <c r="BD110" s="111"/>
      <c r="BE110" s="111"/>
      <c r="BF110" s="111"/>
      <c r="BG110" s="111"/>
      <c r="BH110" s="111"/>
      <c r="BI110" s="111"/>
      <c r="BJ110" s="111"/>
      <c r="BK110" s="112" t="str">
        <f>HYPERLINK("http://www.agf-trier.de/sites/default/files/bersetzungshilfe%20russisch%20allgemein.pdf","x")</f>
        <v>x</v>
      </c>
      <c r="BL110" s="111"/>
      <c r="BM110" s="112" t="str">
        <f>HYPERLINK("http://www.frnrw.de/images/Aus_den_Initiativen/Ehrenamtler/2015/Dictionary_x10_print-2.pdf","x")</f>
        <v>x</v>
      </c>
      <c r="BN110" s="111"/>
      <c r="BO110" s="111"/>
      <c r="BP110" s="111"/>
      <c r="BQ110" s="111"/>
      <c r="BR110" s="111"/>
      <c r="BS110" s="112" t="str">
        <f t="shared" si="26"/>
        <v>x</v>
      </c>
      <c r="BT110" s="112"/>
      <c r="BU110" s="111"/>
      <c r="BV110" s="112" t="str">
        <f t="shared" si="27"/>
        <v>x</v>
      </c>
      <c r="BW110" s="112" t="str">
        <f>HYPERLINK("http://www.welcomegrooves.de/wp-content/uploads/2015/10/welcomegrooves_DE-RUSSISCH.pdf","x")</f>
        <v>x</v>
      </c>
      <c r="BX110" s="112"/>
      <c r="BY110" s="112"/>
      <c r="BZ110" s="112"/>
      <c r="CA110" s="112" t="str">
        <f t="shared" si="28"/>
        <v>x</v>
      </c>
      <c r="CB110" s="112" t="str">
        <f t="shared" si="29"/>
        <v>x</v>
      </c>
      <c r="CC110" s="112" t="str">
        <f t="shared" si="30"/>
        <v>x</v>
      </c>
      <c r="CD110" s="112"/>
      <c r="CE110" s="112"/>
      <c r="CF110" s="112" t="str">
        <f>HYPERLINK("http://www.agf-trier.de/sites/default/files/bersetzungshilfe%20russisch%20f%C3%BCr%20Frauen.pdf","x")</f>
        <v>x</v>
      </c>
      <c r="CG110" s="112" t="str">
        <f>HYPERLINK("http://www.braunschweig.de/leben/frauen/hilfe/Ohne-Gewalt-leben.pdf","x")</f>
        <v>x</v>
      </c>
      <c r="CH110" s="112" t="str">
        <f>HYPERLINK("http://mifkjf.rlp.de/fileadmin/mifkjf/Frauen/Gewalt_gegen_Frauen/Downloads/Broschueren_Flyer/Flyer_Gewalt_russisch.pdf","x")</f>
        <v>x</v>
      </c>
      <c r="CI110" s="112" t="str">
        <f>HYPERLINK("https://www.hilfetelefon.de/fileadmin/hilfetelefon_de/Materialien/Flyer/Infoflyer_Hilfetelefon_Gewalt_gegen_Frauen141105_b2.pdf","x")</f>
        <v>x</v>
      </c>
      <c r="CJ110" s="112" t="str">
        <f>HYPERLINK("https://www.hilfetelefon.de/fileadmin/hilfetelefon_de/Materialien/weitere_werbemittel/Klappflyer_Vorder-_und_Rueckseite_opt2.pdf","x")</f>
        <v>x</v>
      </c>
      <c r="CK110" s="112" t="str">
        <f t="shared" si="31"/>
        <v>x</v>
      </c>
      <c r="CL110" s="112" t="str">
        <f>HYPERLINK("http://www.frauenberatungsstelle.de/pdf/Migrantinnen-beraten-Migrantinnen.pdf","x")</f>
        <v>x</v>
      </c>
      <c r="CM110" s="112"/>
      <c r="CN110" s="112"/>
      <c r="CO110" s="112"/>
      <c r="CP110" s="112" t="str">
        <f>HYPERLINK("http://www.schwanger-und-viele-fragen.de/ru/","x")</f>
        <v>x</v>
      </c>
      <c r="CQ110" s="112"/>
      <c r="CR110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10" s="112"/>
      <c r="CT110" s="112"/>
      <c r="CU110" s="112" t="str">
        <f>HYPERLINK("http://www.profamilia.de/fileadmin/publikationen/Erwachsene/mehrsprachig/verhuetung_russisch_2011.pdf","x")</f>
        <v>x</v>
      </c>
      <c r="CV110" s="112" t="str">
        <f>HYPERLINK("http://www.profamilia.de/fileadmin/publikationen/Erwachsene/mehrsprachig/Pille_danach_russisch_2012.pdf","x")</f>
        <v>x</v>
      </c>
      <c r="CW110" s="112" t="str">
        <f>HYPERLINK("http://www.profamilia.de/fileadmin/publikationen/Reihe_Verhuetungsmethoden/Einleger_Russisch.pdf","x")</f>
        <v>x</v>
      </c>
      <c r="CX110" s="112" t="str">
        <f>HYPERLINK("http://www.profamilia.de/fileadmin/publikationen/Erwachsene/mehrsprachig/schwangerschaftsabbruch_russisch.pdf","x")</f>
        <v>x</v>
      </c>
      <c r="CY110" s="112" t="str">
        <f>HYPERLINK("http://www.caritas-schwarzwald-alb-donau.de/68854.html","x")</f>
        <v>x</v>
      </c>
      <c r="CZ110" s="112" t="str">
        <f>HYPERLINK("http://www.dgfpi.de/tl_files/download/medien/unwissen-macht-ru.pdf","x")</f>
        <v>x</v>
      </c>
      <c r="DA110" s="112"/>
      <c r="DB110" s="112"/>
      <c r="DC110" s="115" t="str">
        <f>HYPERLINK("http://www.kindersicherheit.de/pdf/2012_Bilderbuch-Gift-Russisch.pdf","x")</f>
        <v>x</v>
      </c>
      <c r="DD110" s="112"/>
      <c r="DE110" s="112"/>
      <c r="DF110" s="112" t="str">
        <f t="shared" si="32"/>
        <v>x</v>
      </c>
      <c r="DG110" s="115" t="str">
        <f t="shared" si="33"/>
        <v>x</v>
      </c>
      <c r="DH110" s="112" t="str">
        <f t="shared" si="34"/>
        <v>x</v>
      </c>
      <c r="DI110" s="112" t="str">
        <f t="shared" si="35"/>
        <v>x</v>
      </c>
      <c r="DJ110" s="112" t="str">
        <f>HYPERLINK("http://www.bibliomedia.ch/de/angebote/dokumente/Glossar_russisch.pdf","x")</f>
        <v>x</v>
      </c>
      <c r="DK110" s="112"/>
      <c r="DL110" s="112"/>
      <c r="DM110" s="112"/>
      <c r="DN110" s="112"/>
      <c r="DO110" s="112"/>
      <c r="DP110" s="111"/>
      <c r="DQ110" s="112" t="str">
        <f>HYPERLINK("http://tipdoc.de/bus/grafik/kinder-tip/SCHULTIP_give_didacta.pdf","x")</f>
        <v>x</v>
      </c>
      <c r="DR110" s="112" t="str">
        <f>HYPERLINK("https://broschueren.nordrheinwestfalendirekt.de/broschuerenservice/msw/rus-das-schulsystem-in-nordrhein-westfalen-einfach-und-schnell-erklaert/1905","x")</f>
        <v>x</v>
      </c>
      <c r="DS110" s="112" t="str">
        <f>HYPERLINK("http://bildung.koeln.de/materialbibliothek/download.php?idx=89409237e8c48c84d1f410e2c231c942","x")</f>
        <v>x</v>
      </c>
      <c r="DT110" s="112" t="str">
        <f>HYPERLINK("http://bildung.koeln.de/materialbibliothek/download.php?idx=3e35937e1b8f8986880efaf07701a323","x")</f>
        <v>x</v>
      </c>
      <c r="DU110" s="112"/>
      <c r="DV110" s="112" t="str">
        <f>HYPERLINK("https://www.bmbf.de/pub/Kausa_Elternbroschuere_russisch.pdf","x")</f>
        <v>x</v>
      </c>
      <c r="DW110" s="112"/>
      <c r="DX110" s="112"/>
      <c r="DY110" s="112" t="str">
        <f>HYPERLINK("http://www.bamf.de/SharedDocs/Anlagen/DE/Publikationen/Flyer/AnerkennungBerufsabschluss/berufliche_anerkennung_akademische-heilberufe_ru.pdf?__blob=publicationFile","x")</f>
        <v>x</v>
      </c>
      <c r="DZ110" s="112" t="str">
        <f>HYPERLINK("http://www.bamf.de/SharedDocs/Anlagen/RU/Publikationen/Flyer/AnerkennungBerufsabschluss/anerkennung-berufsabschluss.pdf?__blob=publicationFile","x")</f>
        <v>x</v>
      </c>
      <c r="EA110" s="112" t="str">
        <f>HYPERLINK("http://www.bamf.de/SharedDocs/Anlagen/RU/Publikationen/Flyer/AnerkennungBerufsabschluss/anerkennung-berufsabschluss_ausland.pdf?__blob=publicationFile","x")</f>
        <v>x</v>
      </c>
      <c r="EB110" s="112" t="str">
        <f>HYPERLINK("http://www.bamf.de/SharedDocs/Anlagen/DE/Publikationen/Broschueren/willkommen-in-deutschland-info-blaue-karte-eu_ru.pdf?__blob=publicationFile","x")</f>
        <v>x</v>
      </c>
      <c r="EC110" s="112" t="str">
        <f>HYPERLINK("http://www.bamf.de/SharedDocs/Anlagen/RU/Publikationen/Flyer/Berufsbezsprachf-ESF-BAMF/berufsbezsprachf-esf-bamf.pdf?__blob=publicationFile","x")</f>
        <v>x</v>
      </c>
      <c r="ED110" s="111"/>
      <c r="EE110" s="111"/>
      <c r="EF110" s="111"/>
      <c r="EG110" s="111"/>
      <c r="EH110" s="111"/>
      <c r="EI110" s="111"/>
      <c r="EJ110" s="112"/>
      <c r="EK110" s="112"/>
      <c r="EL110" s="112"/>
      <c r="EM110" s="112" t="str">
        <f>HYPERLINK("http://www.kvs-sachsen.de/fileadmin/img/Mitglieder/Asylbewerber/Allg-Informationen/Anlage_1_Russisch_LEK.pdf","x")</f>
        <v>x</v>
      </c>
      <c r="EN110" s="112" t="str">
        <f>HYPERLINK("http://www.medizin-hilft-fluechtlingen.de/images/Dokumente/gSch/gSch_ru.pdf","x")</f>
        <v>x</v>
      </c>
      <c r="EO110" s="111"/>
      <c r="EP110" s="117" t="str">
        <f>HYPERLINK("http://www.medi-bild.de/pdf/anamnese/Welche_Sprache.pdf","x")</f>
        <v>x</v>
      </c>
      <c r="EQ110" s="117" t="str">
        <f>HYPERLINK("http://www.armut-gesundheit.de/fileadmin/redakteur/dokumente/Anamnesebogen%20-%20russischnew.pdf","x")</f>
        <v>x</v>
      </c>
      <c r="ER110" s="112" t="str">
        <f>HYPERLINK("http://www.kvs-sachsen.de/fileadmin/img/Mitglieder/Asylbewerber/Allg-Informationen/Anlagen_2-1_2-2_Russisch_LEK.pdf","x")</f>
        <v>x</v>
      </c>
      <c r="ES110" s="111"/>
      <c r="ET110" s="111"/>
      <c r="EU110" s="111"/>
      <c r="EV110" s="111"/>
      <c r="EW110" s="112" t="str">
        <f t="shared" si="36"/>
        <v>x</v>
      </c>
      <c r="EX110" s="112" t="str">
        <f>HYPERLINK("http://www.rki.de/DE/Content/Infekt/IfSG/Belehrungsbogen/belehrungsbogen_eltern_russisch.pdf?__blob=publicationFile","x")</f>
        <v>x</v>
      </c>
      <c r="EY110" s="112" t="str">
        <f>HYPERLINK("http://www.bzga.de/infomaterialien/?sid=236","x")</f>
        <v>x</v>
      </c>
      <c r="EZ110" s="112" t="str">
        <f>HYPERLINK("https://www.mh-hannover.de/fileadmin/mhh/bilder/aktuelles_presse/presseinformationen_news/-Pilzvergif_RUSSISCH_2.pdf","x")</f>
        <v>x</v>
      </c>
      <c r="FA110" s="112"/>
      <c r="FB110" s="111"/>
      <c r="FC110" s="111"/>
      <c r="FD110" s="112" t="str">
        <f t="shared" si="37"/>
        <v>x</v>
      </c>
      <c r="FE110" s="112" t="str">
        <f>HYPERLINK("http://sghanstedt.elbnetz.com/ueber-uns/","x")</f>
        <v>x</v>
      </c>
      <c r="FF110" s="111"/>
      <c r="FG110" s="112" t="str">
        <f>HYPERLINK("http://www.tipdoc.de/grafik/asyl/Gesundheitsheft_Asyl.pdf","x")</f>
        <v>x</v>
      </c>
      <c r="FH110" s="111"/>
      <c r="FI110" s="111"/>
      <c r="FJ110" s="112"/>
      <c r="FK110" s="112" t="str">
        <f>HYPERLINK("http://www.rki.de/DE/Content/Infekt/Impfen/Materialien/Downloads-Impfkalender/Impfkalender_Russisch.pdf?__blob=publicationFile","x")</f>
        <v>x</v>
      </c>
      <c r="FL110" s="112" t="str">
        <f>HYPERLINK("http://www.ethno-medizinisches-zentrum.de/images/PDF-Files/impfwegweiser_russisch_2013_online.pdf","x")</f>
        <v>x</v>
      </c>
      <c r="FM110" s="112"/>
      <c r="FN110" s="112" t="str">
        <f>HYPERLINK("http://www.rki.de/DE/Content/Infekt/Impfen/Materialien/Glossar-Downloads/glossar-de-russisch.pdf?__blob=publicationFile","x")</f>
        <v>x</v>
      </c>
      <c r="FO110" s="112" t="str">
        <f>HYPERLINK("http://tvoyashkola10.ru/img/VPD-Signs,-symptoms-and-complications-RUS.pdf","x")</f>
        <v>x</v>
      </c>
      <c r="FP110" s="112" t="str">
        <f>HYPERLINK("http://www.rki.de/DE/Content/Infekt/Impfen/Materialien/Downloads-MMR/MMR-Impfinfo-russisch.pdf?__blob=publicationFile","x")</f>
        <v>x</v>
      </c>
      <c r="FQ110" s="112"/>
      <c r="FR110" s="112" t="str">
        <f>HYPERLINK("http://www.rki.de/DE/Content/Infekt/Impfen/Materialien/Downloads_HepA/Aufklaerung_HAV-Impfung_Russisch.pdf?__blob=publicationFile","x")</f>
        <v>x</v>
      </c>
      <c r="FS110" s="112" t="str">
        <f>HYPERLINK("http://www.rki.de/DE/Content/Infekt/Impfen/Materialien/Downloads_Pneumokokken/Aufklaerung_Pneumo-Impfung_Russisch.pdf?__blob=publicationFile","x")</f>
        <v>x</v>
      </c>
      <c r="FT110" s="112" t="str">
        <f>HYPERLINK("http://www.rki.de/DE/Content/Infekt/Impfen/Materialien/Downloads-DTaPIPVHibHepB/DTaPIPVHibHepB-russisch.pdf?__blob=publicationFile","x")</f>
        <v>x</v>
      </c>
      <c r="FU110" s="112" t="str">
        <f>HYPERLINK("http://www.rki.de/DE/Content/Infekt/Impfen/Materialien/Downloads-Varizellen/Varizellen-Impfinfo-russisch.pdf;jsessionid=65B697F4EE7EDA8A1ED9E2C4CD6C74EC.2_cid363?__blob=publicationFile","x")</f>
        <v>x</v>
      </c>
      <c r="FV110" s="112" t="str">
        <f>HYPERLINK("http://www.rki.de/DE/Content/Infekt/Impfen/Materialien/Downloads-Tdap-IPV/Tdap-IPV-russisch.pdf?__blob=publicationFile","x")</f>
        <v>x</v>
      </c>
      <c r="FW110" s="112" t="str">
        <f>HYPERLINK("http://www.rki.de/DE/Content/Infekt/Impfen/Materialien/Downloads-Influenza_nasal/Influenza_nasal-russisch.pdf?__blob=publicationFile","x")</f>
        <v>x</v>
      </c>
      <c r="FX110" s="112" t="str">
        <f>HYPERLINK("http://www.medical-tribune.de/fileadmin/PDF/PI_Arthrose_russ.pdf","x")</f>
        <v>x</v>
      </c>
      <c r="FY110" s="112" t="str">
        <f>HYPERLINK("http://www.medical-tribune.de/fileadmin/PDF/Astma_russisch.pdf","x")</f>
        <v>x</v>
      </c>
      <c r="FZ110" s="112" t="str">
        <f>HYPERLINK("http://www.medical-tribune.de/fileadmin/PDF/Bluthochdruck_russisch.pdf","x")</f>
        <v>x</v>
      </c>
      <c r="GA110" s="112" t="str">
        <f>HYPERLINK("http://www.medical-tribune.de/fileadmin/PDF/Cholesterin_russisch.pdf","x")</f>
        <v>x</v>
      </c>
      <c r="GB110" s="112" t="str">
        <f>HYPERLINK("http://www.medical-tribune.de/fileadmin/PDF/COPD-Bronchitis-russ.pdf","x")</f>
        <v>x</v>
      </c>
      <c r="GC110" s="112" t="str">
        <f>HYPERLINK("http://www.medical-tribune.de/fileadmin/PDF/PI_Demenz_russ.pdf","x")</f>
        <v>x</v>
      </c>
      <c r="GD110" s="112" t="str">
        <f>HYPERLINK("http://www.ethno-medizinisches-zentrum.de/images/PDF-Files/lf_diabete_russisch.pdf","x")</f>
        <v>x</v>
      </c>
      <c r="GE110" s="112" t="str">
        <f>HYPERLINK("http://www.medical-tribune.de/fileadmin/PDF/PI_Divertikel_russ.pdf","x")</f>
        <v>x</v>
      </c>
      <c r="GF110" s="112" t="str">
        <f>HYPERLINK("http://www.medical-tribune.de/fileadmin/PDF/PAVK_russ.pdf","x")</f>
        <v>x</v>
      </c>
      <c r="GG110" s="112" t="str">
        <f>HYPERLINK("http://www.medical-tribune.de/fileadmin/PDF/PI_Gallensteine_russ.pdf","x")</f>
        <v>x</v>
      </c>
      <c r="GH110" s="112" t="str">
        <f>HYPERLINK("http://www.medical-tribune.de/fileadmin/PDF/Gicht_russisch.pdf","x")</f>
        <v>x</v>
      </c>
      <c r="GI110" s="112" t="str">
        <f>HYPERLINK("http://www.tipdoc.de/bus/pdf/hepatitis/Hep_B_Webseite.pdf","x")</f>
        <v>x</v>
      </c>
      <c r="GJ110" s="112" t="str">
        <f>HYPERLINK("http://www.tipdoc.de/bus/pdf/hepatitis/Hep_C_Webseite.pdf","x")</f>
        <v>x</v>
      </c>
      <c r="GK110" s="112" t="str">
        <f>HYPERLINK("http://www.tipdoc.de/bus/pdf/hiv/HIV%20SRF_Webseite.pdf","x")</f>
        <v>x</v>
      </c>
      <c r="GL110" s="111"/>
      <c r="GM110" s="112" t="str">
        <f>HYPERLINK("http://www.rki.de/DE/Content/Infekt/Impfen/Materialien/Downloads-Influenza/Influenza-russisch.pdf?__blob=publicationFile","x")</f>
        <v>x</v>
      </c>
      <c r="GN110" s="112" t="str">
        <f>HYPERLINK("http://www.medical-tribune.de/fileadmin/PDF/PI_Erkaeltung_russ.pdf","x")</f>
        <v>x</v>
      </c>
      <c r="GO110" s="112"/>
      <c r="GP110" s="112" t="str">
        <f>HYPERLINK("http://www.tipdoc.de/grafik/pdf/kopflaeuse/Kopflaeuse_RUSS.pdf","x")</f>
        <v>x</v>
      </c>
      <c r="GQ110" s="112" t="str">
        <f>HYPERLINK("http://www.bing.com/search?q=Medical+tribune+KHK+russ&amp;qs=n&amp;form=QBRE&amp;pq=medical+tribune+khk+russ&amp;sc=0-16&amp;sp=-1&amp;sk=&amp;cvid=9C7440E0A0144B029D31F2004BF1F219","x")</f>
        <v>x</v>
      </c>
      <c r="GR110" s="112" t="str">
        <f>HYPERLINK("http://www.tipdoc.com/bus/pdf/kraetze/tipdoc_Scabies_RUSS.pdf","x")</f>
        <v>x</v>
      </c>
      <c r="GS110" s="112" t="str">
        <f>HYPERLINK("http://www.tipdoc.com/bus/pdf/MagenDarmHaende/MagenDarmHaende_RUSS.pdf","x")</f>
        <v>x</v>
      </c>
      <c r="GT110" s="112" t="str">
        <f>HYPERLINK("http://www.medical-tribune.de/fileadmin/PDF/Migraene_russ.pdf","x")</f>
        <v>x</v>
      </c>
      <c r="GU110" s="112" t="str">
        <f>HYPERLINK("http://www.medical-tribune.de/fileadmin/PDF/Rueckenschmerzen_russisch.pdf","x")</f>
        <v>x</v>
      </c>
      <c r="GV110" s="112" t="str">
        <f>HYPERLINK("http://www.medical-tribune.de/fileadmin/PDF/Schlafapnoe_russisch.pdf","x")</f>
        <v>x</v>
      </c>
      <c r="GW110" s="112" t="str">
        <f>HYPERLINK("http://www.medical-tribune.de/fileadmin/PDF/Schlafstoerungen_russisch.pdf","x")</f>
        <v>x</v>
      </c>
      <c r="GX110" s="112" t="str">
        <f>HYPERLINK("http://www.medical-tribune.de/fileadmin/PDF/Schwindel_russisch.pdf","x")</f>
        <v>x</v>
      </c>
      <c r="GY110" s="112" t="str">
        <f>HYPERLINK("http://www.medical-tribune.de/fileadmin/PDF/Sodbrennen_russisch.pdf","x")</f>
        <v>x</v>
      </c>
      <c r="GZ110" s="112" t="str">
        <f>HYPERLINK("http://www.medical-tribune.de/fileadmin/PDF/Sportverletzungen_russisch.pdf","x")</f>
        <v>x</v>
      </c>
      <c r="HA110" s="112" t="str">
        <f>HYPERLINK("http://www.medical-tribune.de/fileadmin/PDF/Thrombose_russisch.pdf","x")</f>
        <v>x</v>
      </c>
      <c r="HB110" s="112" t="str">
        <f>HYPERLINK("http://www.medical-tribune.de/fileadmin/PDF/Verstopfung_russisch.pdf","x")</f>
        <v>x</v>
      </c>
      <c r="HC110" s="112" t="str">
        <f t="shared" si="38"/>
        <v>x</v>
      </c>
      <c r="HD110" s="111"/>
      <c r="HE110" s="111"/>
      <c r="HF110" s="111"/>
      <c r="HG110" s="111"/>
      <c r="HH110" s="111"/>
      <c r="HI110" s="112" t="str">
        <f>HYPERLINK("http://www.bvkm.de/fileadmin/web_data/Behinderung_und_Migation_russisch_2014.pdf","x")</f>
        <v>x</v>
      </c>
      <c r="HJ110" s="111"/>
      <c r="HK110" s="112"/>
      <c r="HL110" s="112" t="str">
        <f>HYPERLINK("http://www.ethno-medizinisches-zentrum.de/images/PDF-Files/lf_depression_rus.pdf","x")</f>
        <v>x</v>
      </c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 t="str">
        <f>HYPERLINK("http://www.medical-tribune.de/fileadmin/PDF/RestlessLegs_russ.pdf","x")</f>
        <v>x</v>
      </c>
      <c r="HX110" s="112" t="str">
        <f>HYPERLINK("http://www.bkk-psychisch-gesund.de/fileadmin/user_upload/bkk-psychisch-gesund.de/PDFs/Migrantenwegweiser_Psychotherpie_russisch.pdf","x")</f>
        <v>x</v>
      </c>
      <c r="HY110" s="112" t="str">
        <f t="shared" si="39"/>
        <v>x</v>
      </c>
      <c r="HZ110" s="112" t="str">
        <f t="shared" si="40"/>
        <v>x</v>
      </c>
      <c r="IA110" s="112"/>
      <c r="IB110" s="112"/>
      <c r="IC110" s="112"/>
      <c r="ID110" s="112"/>
      <c r="IE110" s="112"/>
      <c r="IF110" s="112"/>
      <c r="IG110" s="112"/>
      <c r="IH110" s="112" t="str">
        <f>HYPERLINK("http://www.ethno-medizinisches-zentrum.de/images/PDF-Files/lf_mediensucht_ru_geschutzt.pdf","x")</f>
        <v>x</v>
      </c>
      <c r="II110" s="112" t="str">
        <f>HYPERLINK("http://www.caritas.de/hilfeundberatung/onlineberatung/suchtberatung/haeufiggestelltefragensucht/haeufiggestelltefragen-sucht","x")</f>
        <v>x</v>
      </c>
      <c r="IJ110" s="112" t="str">
        <f>HYPERLINK("http://www.bzga.de/infomaterialien/suchtvorbeugung/","x")</f>
        <v>x</v>
      </c>
      <c r="IK110" s="112" t="str">
        <f>HYPERLINK("http://www.bamf.de/SharedDocs/Anlagen/RU/Publikationen/Flyer/Lassen-Sie-Sich-Beraten/lassen-sie-sich-beraten.pdf?__blob=publicationFile","x")</f>
        <v>x</v>
      </c>
      <c r="IL110" s="112" t="str">
        <f>HYPERLINK("http://www.bamf.de/SharedDocs/Anlagen/DE/Publikationen/Flyer/flyer-erstorientierung-asylsuchende_russisch.pdf?__blob=publicationFile","x")</f>
        <v>x</v>
      </c>
      <c r="IM110" s="111"/>
      <c r="IN110" s="112" t="str">
        <f>HYPERLINK("https://www.bamf.de/SharedDocs/Anlagen/RU/Publikationen/Broschueren/willkommen-in-deutschland-ru.pdf?__blob=publicationFile","x")</f>
        <v>x</v>
      </c>
      <c r="IO110" s="112"/>
      <c r="IP110" s="111"/>
      <c r="IQ110" s="112" t="str">
        <f>HYPERLINK("http://www.bamf.de/SharedDocs/Anlagen/RU/Publikationen/Flyer/Lernen-Sie-Deutsch/lernen-sie-deutsch.pdf?__blob=publicationFile","x")</f>
        <v>x</v>
      </c>
      <c r="IR110" s="112"/>
      <c r="IS110" s="111"/>
      <c r="IT110" s="111"/>
      <c r="IU110" s="111"/>
      <c r="IV110" s="112" t="str">
        <f>HYPERLINK("http://www.asyl.net/fileadmin/user_upload/infoblatt_anhoerung/Infoblatt_2015_russ_fin.pdf","x")</f>
        <v>x</v>
      </c>
      <c r="IW110" s="112"/>
      <c r="IX110" s="112" t="str">
        <f>HYPERLINK("http://www.berlin.de/labo/willkommen-in-berlin/service/downloads/artikel.273193.php","x")</f>
        <v>x</v>
      </c>
      <c r="IY110" s="112" t="str">
        <f>HYPERLINK("http://www.bamf.de/SharedDocs/Anlagen/RU/Publikationen/Broschueren/broschuere-eat-a4.pdf?__blob=publicationFile","x")</f>
        <v>x</v>
      </c>
      <c r="IZ110" s="111"/>
      <c r="JA110" s="112" t="str">
        <f>HYPERLINK("http://fluechtlingsrat-bw.de/informationen-fuer-fluechtlinge.html","x")</f>
        <v>x</v>
      </c>
      <c r="JB110" s="111"/>
      <c r="JC110" s="112"/>
      <c r="JD110" s="111"/>
      <c r="JE110" s="112"/>
      <c r="JF110" s="112"/>
      <c r="JG110" s="112" t="str">
        <f>HYPERLINK("http://www.bamf.de/SharedDocs/Anlagen/RU/Publikationen/Flyer/Ehegattennachzug/ehegattennachzug.pdf?__blob=publicationFile","x")</f>
        <v>x</v>
      </c>
      <c r="JH110" s="112"/>
      <c r="JI110" s="111"/>
      <c r="JJ110" s="112"/>
      <c r="JK110" s="112"/>
      <c r="JL110" s="112" t="str">
        <f>HYPERLINK("http://www.kub-berlin.org/formularprojekt/de/russisch-antraege-und-anlagen/","x")</f>
        <v>x</v>
      </c>
      <c r="JM110" s="112" t="str">
        <f>HYPERLINK("https://www.arbeitsagentur.de/web/content/DE/Formulare/Detail/index.htm?dfContentId=L6019022DSTBAI485740","x")</f>
        <v>x</v>
      </c>
      <c r="JN110" s="112"/>
      <c r="JO110" s="112"/>
      <c r="JP110" s="112"/>
      <c r="JQ110" s="112"/>
      <c r="JR110" s="112" t="str">
        <f>HYPERLINK("http://www.ibla-germany.de/merkblaetter.php","x")</f>
        <v>x</v>
      </c>
      <c r="JS110" s="112"/>
      <c r="JT110" s="112" t="str">
        <f>HYPERLINK("http://www.b-umf.de/images/willkommensbroschurerussisch-web.pdf","x")</f>
        <v>x</v>
      </c>
      <c r="JU110" s="111"/>
      <c r="JV110" s="111"/>
      <c r="JW110" s="112"/>
      <c r="JX110" s="112"/>
      <c r="JY110" s="112"/>
      <c r="JZ110" s="112"/>
      <c r="KA110" s="112"/>
      <c r="KB110" s="112" t="str">
        <f>HYPERLINK("http://www.refugeeguide.de/dl/RefugeeGuide_ru_1207.pdf","x")</f>
        <v>x</v>
      </c>
      <c r="KC110" s="111"/>
      <c r="KD110" s="112" t="str">
        <f>HYPERLINK("http://www.wedel.de/fileadmin/user_upload/media/pdf/Rathaus_und_Politik/20160118_PM_Broschuere.pdf","x")</f>
        <v>x</v>
      </c>
      <c r="KE110" s="112"/>
      <c r="KF110" s="112" t="str">
        <f>HYPERLINK("http://sab.landtag.sachsen.de/dokumente/landtagskurier/Grundwerte-A5-international_web_08012016.pdf","x")</f>
        <v>x</v>
      </c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2"/>
      <c r="LC110" s="111"/>
      <c r="LD110" s="111"/>
      <c r="LE110" s="111"/>
      <c r="LF110" s="111"/>
      <c r="LG110" s="111"/>
      <c r="LH110" s="111"/>
      <c r="LI110" s="111"/>
      <c r="LJ110" s="111"/>
      <c r="LK110" s="111"/>
      <c r="LL110" s="111"/>
      <c r="LM110" s="111"/>
      <c r="LN110" s="111"/>
      <c r="LO110" s="111"/>
      <c r="LP110" s="111"/>
      <c r="LQ110" s="111"/>
      <c r="LR110" s="111"/>
      <c r="LS110" s="111"/>
      <c r="LT110" s="111"/>
      <c r="LU110" s="111"/>
      <c r="LV110" s="111"/>
      <c r="LW110" s="111"/>
      <c r="LX110" s="111"/>
      <c r="LY110" s="111"/>
      <c r="LZ110" s="111"/>
      <c r="MA110" s="111"/>
      <c r="MB110" s="111"/>
      <c r="MC110" s="111"/>
      <c r="MD110" s="112" t="str">
        <f>HYPERLINK("http://www.rki.de/DE/Content/Infekt/IfSG/Belehrungsbogen/belehrungsbogen_lebensmittel_russisch.pdf?__blob=publicationFile","x")</f>
        <v>x</v>
      </c>
      <c r="ME110" s="111"/>
      <c r="MF110" s="111"/>
      <c r="MG110" s="111"/>
      <c r="MH110" s="111"/>
      <c r="MI110" s="112" t="str">
        <f>HYPERLINK("http://www.kindersicherheit.de/pdf/2012_poster_achtunggiftig_8sprachig.pdf","x")</f>
        <v>x</v>
      </c>
    </row>
    <row r="111" spans="1:347" x14ac:dyDescent="0.25">
      <c r="A111" s="102" t="s">
        <v>85</v>
      </c>
      <c r="B111" s="127" t="s">
        <v>154</v>
      </c>
      <c r="C111" s="102"/>
      <c r="D111" s="102"/>
      <c r="E111" s="102"/>
      <c r="F111" s="102"/>
      <c r="G111" s="102"/>
      <c r="H111" s="102"/>
      <c r="I111" s="102"/>
      <c r="J111" s="102"/>
      <c r="K111" s="103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3"/>
      <c r="AW111" s="114" t="str">
        <f t="shared" si="22"/>
        <v>x</v>
      </c>
      <c r="AX111" s="114" t="str">
        <f t="shared" si="23"/>
        <v>x</v>
      </c>
      <c r="AY111" s="111"/>
      <c r="AZ111" s="111"/>
      <c r="BA111" s="112" t="str">
        <f t="shared" si="24"/>
        <v>x</v>
      </c>
      <c r="BB111" s="112" t="str">
        <f t="shared" si="25"/>
        <v>x</v>
      </c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2" t="str">
        <f t="shared" si="26"/>
        <v>x</v>
      </c>
      <c r="BT111" s="112"/>
      <c r="BU111" s="111"/>
      <c r="BV111" s="112" t="str">
        <f t="shared" si="27"/>
        <v>x</v>
      </c>
      <c r="BW111" s="112"/>
      <c r="BX111" s="112"/>
      <c r="BY111" s="112"/>
      <c r="BZ111" s="112"/>
      <c r="CA111" s="112" t="str">
        <f t="shared" si="28"/>
        <v>x</v>
      </c>
      <c r="CB111" s="112" t="str">
        <f t="shared" si="29"/>
        <v>x</v>
      </c>
      <c r="CC111" s="112" t="str">
        <f t="shared" si="30"/>
        <v>x</v>
      </c>
      <c r="CD111" s="112"/>
      <c r="CE111" s="112"/>
      <c r="CF111" s="111"/>
      <c r="CG111" s="111"/>
      <c r="CH111" s="111"/>
      <c r="CI111" s="111"/>
      <c r="CJ111" s="111"/>
      <c r="CK111" s="112" t="str">
        <f t="shared" si="31"/>
        <v>x</v>
      </c>
      <c r="CL111" s="112"/>
      <c r="CM111" s="112"/>
      <c r="CN111" s="112"/>
      <c r="CO111" s="112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2"/>
      <c r="DA111" s="112"/>
      <c r="DB111" s="112"/>
      <c r="DC111" s="115"/>
      <c r="DD111" s="112"/>
      <c r="DE111" s="112"/>
      <c r="DF111" s="112" t="str">
        <f t="shared" si="32"/>
        <v>x</v>
      </c>
      <c r="DG111" s="115" t="str">
        <f t="shared" si="33"/>
        <v>x</v>
      </c>
      <c r="DH111" s="112" t="str">
        <f t="shared" si="34"/>
        <v>x</v>
      </c>
      <c r="DI111" s="112" t="str">
        <f t="shared" si="35"/>
        <v>x</v>
      </c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8"/>
      <c r="EQ111" s="118"/>
      <c r="ER111" s="111"/>
      <c r="ES111" s="111"/>
      <c r="ET111" s="111"/>
      <c r="EU111" s="111"/>
      <c r="EV111" s="111"/>
      <c r="EW111" s="112" t="str">
        <f t="shared" si="36"/>
        <v>x</v>
      </c>
      <c r="EX111" s="111"/>
      <c r="EY111" s="111"/>
      <c r="EZ111" s="111"/>
      <c r="FA111" s="111"/>
      <c r="FB111" s="111"/>
      <c r="FC111" s="111"/>
      <c r="FD111" s="112" t="str">
        <f t="shared" si="37"/>
        <v>x</v>
      </c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2" t="str">
        <f t="shared" si="38"/>
        <v>x</v>
      </c>
      <c r="HD111" s="112" t="str">
        <f>HYPERLINK("https://www.zahnaerzte-wl.de/images/_PDF-suche/KZV_ZÄK/ENDSTAND_Ankreuzbogen_Ich_verstehe.pdf","x")</f>
        <v>x</v>
      </c>
      <c r="HE111" s="112" t="str">
        <f>HYPERLINK("https://www.zahnaerzte-wl.de/images/_PDF-suche/KZV_ZÄK/Anschreiben_Patienten_usbekisch.pdf","x")</f>
        <v>x</v>
      </c>
      <c r="HF111" s="112" t="str">
        <f>HYPERLINK("https://www.zahnaerzte-wl.de/images/_PDF-suche/KZV_ZÄK/Fragebogen_usbekisch.pdf","x")</f>
        <v>x</v>
      </c>
      <c r="HG111" s="112" t="str">
        <f>HYPERLINK("https://www.zahnaerzte-wl.de/images/_PDF-suche/KZV_ZÄK/Patientenerhebungsbogen_usbekisch.pdf","x")</f>
        <v>x</v>
      </c>
      <c r="HH111" s="112"/>
      <c r="HI111" s="112"/>
      <c r="HJ111" s="112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2" t="str">
        <f t="shared" si="39"/>
        <v>x</v>
      </c>
      <c r="HZ111" s="112" t="str">
        <f t="shared" si="40"/>
        <v>x</v>
      </c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  <c r="IY111" s="111"/>
      <c r="IZ111" s="111"/>
      <c r="JA111" s="111"/>
      <c r="JB111" s="111"/>
      <c r="JC111" s="111"/>
      <c r="JD111" s="111"/>
      <c r="JE111" s="111"/>
      <c r="JF111" s="111"/>
      <c r="JG111" s="111"/>
      <c r="JH111" s="111"/>
      <c r="JI111" s="111"/>
      <c r="JJ111" s="111"/>
      <c r="JK111" s="111"/>
      <c r="JL111" s="111"/>
      <c r="JM111" s="111"/>
      <c r="JN111" s="111"/>
      <c r="JO111" s="111"/>
      <c r="JP111" s="111"/>
      <c r="JQ111" s="111"/>
      <c r="JR111" s="111"/>
      <c r="JS111" s="111"/>
      <c r="JT111" s="111"/>
      <c r="JU111" s="111"/>
      <c r="JV111" s="111"/>
      <c r="JW111" s="111"/>
      <c r="JX111" s="111"/>
      <c r="JY111" s="111"/>
      <c r="JZ111" s="111"/>
      <c r="KA111" s="111"/>
      <c r="KB111" s="111"/>
      <c r="KC111" s="111"/>
      <c r="KD111" s="111"/>
      <c r="KE111" s="111"/>
      <c r="KF111" s="111"/>
      <c r="KG111" s="111"/>
      <c r="KH111" s="111"/>
      <c r="KI111" s="111"/>
      <c r="KJ111" s="111"/>
      <c r="KK111" s="111"/>
      <c r="KL111" s="111"/>
      <c r="KM111" s="111"/>
      <c r="KN111" s="111"/>
      <c r="KO111" s="111"/>
      <c r="KP111" s="111"/>
      <c r="KQ111" s="111"/>
      <c r="KR111" s="111"/>
      <c r="KS111" s="111"/>
      <c r="KT111" s="111"/>
      <c r="KU111" s="111"/>
      <c r="KV111" s="111"/>
      <c r="KW111" s="111"/>
      <c r="KX111" s="111"/>
      <c r="KY111" s="111"/>
      <c r="KZ111" s="111"/>
      <c r="LA111" s="111"/>
      <c r="LB111" s="111"/>
      <c r="LC111" s="111"/>
      <c r="LD111" s="111"/>
      <c r="LE111" s="111"/>
      <c r="LF111" s="111"/>
      <c r="LG111" s="111"/>
      <c r="LH111" s="111"/>
      <c r="LI111" s="111"/>
      <c r="LJ111" s="111"/>
      <c r="LK111" s="111"/>
      <c r="LL111" s="111"/>
      <c r="LM111" s="111"/>
      <c r="LN111" s="111"/>
      <c r="LO111" s="111"/>
      <c r="LP111" s="111"/>
      <c r="LQ111" s="111"/>
      <c r="LR111" s="111"/>
      <c r="LS111" s="111"/>
      <c r="LT111" s="111"/>
      <c r="LU111" s="111"/>
      <c r="LV111" s="111"/>
      <c r="LW111" s="111"/>
      <c r="LX111" s="111"/>
      <c r="LY111" s="111"/>
      <c r="LZ111" s="111"/>
      <c r="MA111" s="111"/>
      <c r="MB111" s="111"/>
      <c r="MC111" s="111"/>
      <c r="MD111" s="111"/>
      <c r="ME111" s="111"/>
      <c r="MF111" s="111"/>
      <c r="MG111" s="111"/>
      <c r="MH111" s="111"/>
      <c r="MI111" s="111"/>
    </row>
    <row r="112" spans="1:347" x14ac:dyDescent="0.25">
      <c r="A112" s="102" t="s">
        <v>404</v>
      </c>
      <c r="B112" s="127" t="s">
        <v>5</v>
      </c>
      <c r="C112" s="102"/>
      <c r="D112" s="102"/>
      <c r="E112" s="102"/>
      <c r="F112" s="102"/>
      <c r="G112" s="102"/>
      <c r="H112" s="102"/>
      <c r="I112" s="102"/>
      <c r="J112" s="102"/>
      <c r="K112" s="103"/>
      <c r="L112" s="111"/>
      <c r="M112" s="111"/>
      <c r="N112" s="111"/>
      <c r="O112" s="111"/>
      <c r="P112" s="112" t="str">
        <f>HYPERLINK("http://www.awb-ahrweiler.de/admin/data/ddownload/Abfall%20Sonderhinweise-Franzoesisch%202015.pdf","x")</f>
        <v>x</v>
      </c>
      <c r="Q112" s="111"/>
      <c r="R112" s="111"/>
      <c r="S112" s="111"/>
      <c r="T112" s="111"/>
      <c r="U112" s="112" t="str">
        <f>HYPERLINK("http://www.ag-fluechtlingshilfe-wetterau.de/uploads/infos/191.pdf","x")</f>
        <v>x</v>
      </c>
      <c r="V112" s="112"/>
      <c r="W112" s="112"/>
      <c r="X112" s="111"/>
      <c r="Y112" s="112"/>
      <c r="Z112" s="112"/>
      <c r="AA112" s="112"/>
      <c r="AB112" s="112"/>
      <c r="AC112" s="112"/>
      <c r="AD112" s="112" t="str">
        <f>HYPERLINK("http://www.rundfunkbeitrag.de/e175/e1632/Informationsflyer_Buergerinnen_und_Buerger_franzoesisch.pdf","x")</f>
        <v>x</v>
      </c>
      <c r="AE112" s="112"/>
      <c r="AF112" s="112" t="str">
        <f>HYPERLINK("http://www.kub-berlin.org/formularprojekt/franzoesisch-antraege-und-anlagen-uebersetzungshilfen/","x")</f>
        <v>x</v>
      </c>
      <c r="AG112" s="112" t="str">
        <f>HYPERLINK("http://asyl-in-moenchengladbach.de/wp-content/uploads/2015/11/100711-Flyer_FR.pdf","x")</f>
        <v>x</v>
      </c>
      <c r="AH112" s="112" t="str">
        <f>HYPERLINK("http://sghanstedt.elbnetz.com/ueber-uns/","x")</f>
        <v>x</v>
      </c>
      <c r="AI112" s="111"/>
      <c r="AJ112" s="111"/>
      <c r="AK112" s="112" t="str">
        <f>HYPERLINK("https://www.vrsinfo.de/fileadmin/Dateien/downloadcenter/Folder_MobilPassTicket_Refugees01012016.pdf","x")</f>
        <v>x</v>
      </c>
      <c r="AL112" s="112" t="str">
        <f>HYPERLINK("https://www.vrsinfo.de/fileadmin/Dateien/downloadcenter/Willkommen_im_VRS2016_Druck.pdf","x")</f>
        <v>x</v>
      </c>
      <c r="AM112" s="112"/>
      <c r="AN112" s="112" t="str">
        <f>HYPERLINK("https://www.deutschebahn.com/file/de/2191748/eYdgZpqGpp5sMJ2KMKtg2r8aE4Q/10123812/data/infos_fuer_fluechtlinge.pdf","x")</f>
        <v>x</v>
      </c>
      <c r="AO112" s="112"/>
      <c r="AP112" s="112"/>
      <c r="AQ112" s="112"/>
      <c r="AR112" s="112"/>
      <c r="AS112" s="112"/>
      <c r="AT112" s="112"/>
      <c r="AU112" s="112"/>
      <c r="AV112" s="114" t="str">
        <f>HYPERLINK("http://www.studentenwerke.de/de/content/illustriertes-wohnheimw%C3%B6rterbuch-1","x")</f>
        <v>x</v>
      </c>
      <c r="AW112" s="114" t="str">
        <f t="shared" si="22"/>
        <v>x</v>
      </c>
      <c r="AX112" s="114" t="str">
        <f t="shared" si="23"/>
        <v>x</v>
      </c>
      <c r="AY112" s="111"/>
      <c r="AZ112" s="111"/>
      <c r="BA112" s="112" t="str">
        <f t="shared" si="24"/>
        <v>x</v>
      </c>
      <c r="BB112" s="112" t="str">
        <f t="shared" si="25"/>
        <v>x</v>
      </c>
      <c r="BC112" s="111"/>
      <c r="BD112" s="111"/>
      <c r="BE112" s="111"/>
      <c r="BF112" s="112" t="str">
        <f>HYPERLINK("http://fi-lohmar-siegburg.de/data/documents/communicationboard-arabic-french.pdf","x")</f>
        <v>x</v>
      </c>
      <c r="BG112" s="111"/>
      <c r="BH112" s="112" t="str">
        <f>HYPERLINK("http://www.refugeephrasebook.de/pdf/germany150920.pdf","x")</f>
        <v>x</v>
      </c>
      <c r="BI112" s="112" t="str">
        <f>HYPERLINK("https://www.advanced-online.eu/downloads/RefugeePhrasebookCards_German-French.pdf","x")</f>
        <v>x</v>
      </c>
      <c r="BJ112" s="112" t="str">
        <f>HYPERLINK("http://www.klett-sprachen.de/download/8638/W100255_Refugees_Welcome_Wortschatz.pdf","x")</f>
        <v>x</v>
      </c>
      <c r="BK112" s="111"/>
      <c r="BL112" s="112" t="str">
        <f>HYPERLINK("http://www.bundessprachenamt.de/deutsch/wir_ueber_uns/nachrichten/2015/20151103/Verständigungshilfe_Französisch_26_11_2015.pdf","x")</f>
        <v>x</v>
      </c>
      <c r="BM112" s="111"/>
      <c r="BN112" s="111"/>
      <c r="BO112" s="111"/>
      <c r="BP112" s="111"/>
      <c r="BQ112" s="111"/>
      <c r="BR112" s="111"/>
      <c r="BS112" s="112" t="str">
        <f t="shared" si="26"/>
        <v>x</v>
      </c>
      <c r="BT112" s="112"/>
      <c r="BU112" s="111"/>
      <c r="BV112" s="112" t="str">
        <f t="shared" si="27"/>
        <v>x</v>
      </c>
      <c r="BW112" s="112" t="str">
        <f>HYPERLINK("http://www.welcomegrooves.de/wp-content/uploads/2015/11/welcomegrooves-de-franzoesisch.pdf","x")</f>
        <v>x</v>
      </c>
      <c r="BX112" s="112"/>
      <c r="BY112" s="112"/>
      <c r="BZ112" s="112" t="str">
        <f>HYPERLINK("http://fluechtlingshilfe-nettetal.de/ausbildung/video-sprachkurse-deutsch-fuer-fluechtlinge/video-sprachkurs-franzoesisch-deutsch/","x")</f>
        <v>x</v>
      </c>
      <c r="CA112" s="112" t="str">
        <f t="shared" si="28"/>
        <v>x</v>
      </c>
      <c r="CB112" s="112" t="str">
        <f t="shared" si="29"/>
        <v>x</v>
      </c>
      <c r="CC112" s="112" t="str">
        <f t="shared" si="30"/>
        <v>x</v>
      </c>
      <c r="CD112" s="112"/>
      <c r="CE112" s="112"/>
      <c r="CF112" s="111"/>
      <c r="CG112" s="111"/>
      <c r="CH112" s="112" t="str">
        <f>HYPERLINK("http://mifkjf.rlp.de/fileadmin/mifkjf/Frauen/Gewalt_gegen_Frauen/Downloads/Broschueren_Flyer/Flyer_Gewalt_franzoesisch.pdf","x")</f>
        <v>x</v>
      </c>
      <c r="CI112" s="112" t="str">
        <f>HYPERLINK("https://www.hilfetelefon.de/fileadmin/hilfetelefon_de/Materialien/Flyer/Infoflyer_Hilfetelefon_Gewalt_gegen_Frauen141105_b2.pdf","x")</f>
        <v>x</v>
      </c>
      <c r="CJ112" s="112" t="str">
        <f>HYPERLINK("https://www.hilfetelefon.de/fileadmin/hilfetelefon_de/Materialien/weitere_werbemittel/Klappflyer_Vorder-_und_Rueckseite_opt2.pdf","x")</f>
        <v>x</v>
      </c>
      <c r="CK112" s="112" t="str">
        <f t="shared" si="31"/>
        <v>x</v>
      </c>
      <c r="CL112" s="112"/>
      <c r="CM112" s="112"/>
      <c r="CN112" s="112"/>
      <c r="CO112" s="112"/>
      <c r="CP112" s="112" t="str">
        <f>HYPERLINK("http://www.schwanger-und-viele-fragen.de/fr/","x")</f>
        <v>x</v>
      </c>
      <c r="CQ112" s="112"/>
      <c r="CR112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12" s="112" t="str">
        <f>HYPERLINK("http://en.beststart.org/for_parents/are-you-looking-resources-languages-other-english-and-french","x")</f>
        <v>x</v>
      </c>
      <c r="CT112" s="112"/>
      <c r="CU112" s="112" t="str">
        <f>HYPERLINK("http://www.profamilia.de/fileadmin/publikationen/Erwachsene/mehrsprachig/Bro_Verhuetung_frz_141002.pdf","x")</f>
        <v>x</v>
      </c>
      <c r="CV112" s="112"/>
      <c r="CW112" s="112"/>
      <c r="CX112" s="112"/>
      <c r="CY112" s="112" t="str">
        <f>HYPERLINK("http://www.caritas-schwarzwald-alb-donau.de/68854.html","x")</f>
        <v>x</v>
      </c>
      <c r="CZ112" s="112"/>
      <c r="DA112" s="112"/>
      <c r="DB112" s="112"/>
      <c r="DC112" s="115" t="str">
        <f>HYPERLINK("http://www.kindersicherheit.de/pdf/2013_BAG_Tomi_and_Mila_Deutsch_Francais.pdf","x")</f>
        <v>x</v>
      </c>
      <c r="DD112" s="112"/>
      <c r="DE112" s="112"/>
      <c r="DF112" s="112" t="str">
        <f t="shared" si="32"/>
        <v>x</v>
      </c>
      <c r="DG112" s="115" t="str">
        <f t="shared" si="33"/>
        <v>x</v>
      </c>
      <c r="DH112" s="112" t="str">
        <f t="shared" si="34"/>
        <v>x</v>
      </c>
      <c r="DI112" s="112" t="str">
        <f t="shared" si="35"/>
        <v>x</v>
      </c>
      <c r="DJ112" s="112"/>
      <c r="DK112" s="112"/>
      <c r="DL112" s="112"/>
      <c r="DM112" s="112"/>
      <c r="DN112" s="112"/>
      <c r="DO112" s="112"/>
      <c r="DP112" s="111"/>
      <c r="DQ112" s="111"/>
      <c r="DR112" s="112" t="str">
        <f>HYPERLINK("https://broschueren.nordrheinwestfalendirekt.de/broschuerenservice/msw/fr-das-schulsystem-in-nordrhein-westfalen-einfach-und-schnell-erklaert/1903","x")</f>
        <v>x</v>
      </c>
      <c r="DS112" s="112" t="str">
        <f>HYPERLINK("http://bildung.koeln.de/materialbibliothek/download.php?idx=6f75d59e17e7868506c0a48e6f7a44f2","x")</f>
        <v>x</v>
      </c>
      <c r="DT112" s="112" t="str">
        <f>HYPERLINK("http://bildung.koeln.de/materialbibliothek/download.php?idx=bde72be3f1bc4c51a4b0bcfe4a4187c4","x")</f>
        <v>x</v>
      </c>
      <c r="DU112" s="112"/>
      <c r="DV112" s="112" t="str">
        <f>HYPERLINK("https://www.bmbf.de/pub/KAUSA_Elternratgeber_deutsch_franzoesisch.pdf","x")</f>
        <v>x</v>
      </c>
      <c r="DW112" s="111"/>
      <c r="DX112" s="112" t="str">
        <f>HYPERLINK("http://www.wissenschaft.nrw.de/studium/informieren/informationen-fuer-fluechtlinge-die-in-nrw-studieren-moechten/","x")</f>
        <v>x</v>
      </c>
      <c r="DY112" s="111"/>
      <c r="DZ112" s="112" t="str">
        <f>HYPERLINK("http://www.bamf.de/SharedDocs/Anlagen/DE/Publikationen/Flyer/AnerkennungBerufsabschluss/anerkennung-berufsabschluss_fr.pdf?__blob=publicationFile","x")</f>
        <v>x</v>
      </c>
      <c r="EA112" s="112" t="str">
        <f>HYPERLINK("http://www.bamf.de/SharedDocs/Anlagen/DE/Publikationen/Flyer/AnerkennungBerufsabschluss/anerkennung-berufsabschluss_ausland_fr.pdf?__blob=publicationFile","x")</f>
        <v>x</v>
      </c>
      <c r="EB112" s="112" t="str">
        <f>HYPERLINK("http://www.bamf.de/SharedDocs/Anlagen/DE/Publikationen/Broschueren/willkommen-in-deutschland-info-blaue-karte-eu_fr.pdf?__blob=publicationFile","x")</f>
        <v>x</v>
      </c>
      <c r="EC112" s="112" t="str">
        <f>HYPERLINK("http://www.bamf.de/SharedDocs/Anlagen/DE/Publikationen/Flyer/Berufsbezsprachf-ESF-BAMF/berufsbezsprachf-esf-bamf_fr.pdf?__blob=publicationFile","x")</f>
        <v>x</v>
      </c>
      <c r="ED112" s="111"/>
      <c r="EE112" s="111"/>
      <c r="EF112" s="111"/>
      <c r="EG112" s="111"/>
      <c r="EH112" s="111"/>
      <c r="EI112" s="111"/>
      <c r="EJ112" s="112"/>
      <c r="EK112" s="112" t="str">
        <f>HYPERLINK("http://fluechtlingsrat-bw.de/files/Dateien/Dokumente/Materialbestellung/2014-12-flyer%20arbeitserlaubnis%20FRZ%20WEB.pdf","x")</f>
        <v>x</v>
      </c>
      <c r="EL112" s="111"/>
      <c r="EM112" s="112" t="str">
        <f>HYPERLINK("http://www.kvs-sachsen.de/fileadmin/img/Mitglieder/Asylbewerber/Allg-Informationen/Anlage_1_Franzoesisch_LEK.pdf","x")</f>
        <v>x</v>
      </c>
      <c r="EN112" s="112" t="str">
        <f>HYPERLINK("http://www.medizin-hilft-fluechtlingen.de/images/Dokumente/gSch/gSch_fra.pdf","x")</f>
        <v>x</v>
      </c>
      <c r="EO112" s="112"/>
      <c r="EP112" s="117" t="str">
        <f>HYPERLINK("http://www.medi-bild.de/pdf/anamnese/Welche_Sprache.pdf","x")</f>
        <v>x</v>
      </c>
      <c r="EQ112" s="117" t="str">
        <f>HYPERLINK("http://www.armut-gesundheit.de/fileadmin/redakteur/dokumente/Anamnesebogen%20-%20franz%C3%B6sischnew.pdf","x")</f>
        <v>x</v>
      </c>
      <c r="ER112" s="112" t="str">
        <f>HYPERLINK("http://www.kvs-sachsen.de/fileadmin/img/Mitglieder/Asylbewerber/Allg-Informationen/Anlagen_2-1_2-2_Franzoesisch_LEK.pdf","x")</f>
        <v>x</v>
      </c>
      <c r="ES112" s="111"/>
      <c r="ET112" s="111"/>
      <c r="EU112" s="112" t="str">
        <f>HYPERLINK("http://medizin-hilft-fluechtlingen.de/images/Dokumente/ein/ein_per.pdf","x")</f>
        <v>x</v>
      </c>
      <c r="EV112" s="112" t="str">
        <f>HYPERLINK("http://www.adler-apotheke-hh.de/fileadmin/user_upload/PDF-Dateien/Dosierzettel_mehrsprachig_AUF_0_.pdf","x")</f>
        <v>x</v>
      </c>
      <c r="EW112" s="112" t="str">
        <f t="shared" si="36"/>
        <v>x</v>
      </c>
      <c r="EX112" s="112" t="str">
        <f>HYPERLINK("http://www.rki.de/DE/Content/Infekt/IfSG/Belehrungsbogen/belehrungsbogen_eltern_franzoesisch.pdf?__blob=publicationFile","x")</f>
        <v>x</v>
      </c>
      <c r="EY112" s="111"/>
      <c r="EZ112" s="112" t="str">
        <f>HYPERLINK("https://www.mh-hannover.de/fileadmin/mhh/bilder/aktuelles_presse/pressestelle/bilder/Pilzvergif_franzoesisch.pdf","x")</f>
        <v>x</v>
      </c>
      <c r="FA112" s="112"/>
      <c r="FB112" s="112" t="str">
        <f>HYPERLINK("http://static.apotheken-umschau.de/media/gp/article_506373/bildwoerterbuch.pdf","x")</f>
        <v>x</v>
      </c>
      <c r="FC112" s="111"/>
      <c r="FD112" s="112" t="str">
        <f t="shared" si="37"/>
        <v>x</v>
      </c>
      <c r="FE112" s="112" t="str">
        <f>HYPERLINK("http://sghanstedt.elbnetz.com/ueber-uns/","x")</f>
        <v>x</v>
      </c>
      <c r="FF112" s="111"/>
      <c r="FG112" s="112" t="str">
        <f>HYPERLINK("http://www.tipdoc.de/grafik/asyl/Gesundheitsheft_Asyl.pdf","x")</f>
        <v>x</v>
      </c>
      <c r="FH112" s="111"/>
      <c r="FI112" s="111"/>
      <c r="FJ112" s="112"/>
      <c r="FK112" s="112" t="str">
        <f>HYPERLINK("http://www.rki.de/DE/Content/Infekt/Impfen/Materialien/Downloads-Impfkalender/Impfkalender_Franzoesisch.pdf?__blob=publicationFile","x")</f>
        <v>x</v>
      </c>
      <c r="FL112" s="112" t="str">
        <f>HYPERLINK("http://www.ethno-medizinisches-zentrum.de/images/PDF-Files/impfwegweiser_franzosisch_2013_online.pdf","x")</f>
        <v>x</v>
      </c>
      <c r="FM112" s="112"/>
      <c r="FN112" s="112" t="str">
        <f>HYPERLINK("http://www.rki.de/DE/Content/Infekt/Impfen/Materialien/Glossar-Downloads/glossar-de-franzoesisch.pdf?__blob=publicationFile","x")</f>
        <v>x</v>
      </c>
      <c r="FO112" s="112" t="str">
        <f>HYPERLINK("http://www.euro.who.int/__data/assets/pdf_file/0012/162300/VPD-Signs,-symptoms-and-complications-FRE.pdf","x")</f>
        <v>x</v>
      </c>
      <c r="FP112" s="112" t="str">
        <f>HYPERLINK("http://www.rki.de/DE/Content/Infekt/Impfen/Materialien/Downloads-MMR/MMR-Impfinfo-franzoesisch.pdf?__blob=publicationFile","x")</f>
        <v>x</v>
      </c>
      <c r="FQ112" s="112" t="str">
        <f>HYPERLINK("http://www.rki.de/DE/Content/InfAZ/P/Polio/Ausbruch_Syrien/Informationsblatt_Polio_Franzoesisch.pdf?__blob=publicationFile","x")</f>
        <v>x</v>
      </c>
      <c r="FR112" s="112" t="str">
        <f>HYPERLINK("http://www.rki.de/DE/Content/Infekt/Impfen/Materialien/Downloads_HepA/Aufklaerung_HAV-Impfung_Franzoesisch.pdf?__blob=publicationFile","x")</f>
        <v>x</v>
      </c>
      <c r="FS112" s="112" t="str">
        <f>HYPERLINK("http://www.rki.de/DE/Content/Infekt/Impfen/Materialien/Downloads_Pneumokokken/Aufklaerung_Pneumo-Impfung_Franzoesisch.pdf?__blob=publicationFile","x")</f>
        <v>x</v>
      </c>
      <c r="FT112" s="112" t="str">
        <f>HYPERLINK("http://www.rki.de/DE/Content/Infekt/Impfen/Materialien/Downloads-DTaPIPVHibHepB/DTaPIPVHibHepB-franzoesisch.pdf?__blob=publicationFile","x")</f>
        <v>x</v>
      </c>
      <c r="FU112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12" s="112" t="str">
        <f>HYPERLINK("http://www.rki.de/DE/Content/Infekt/Impfen/Materialien/Downloads-Tdap-IPV/Tdap-IPV-franzoesisch.pdf?__blob=publicationFile","x")</f>
        <v>x</v>
      </c>
      <c r="FW112" s="112" t="str">
        <f>HYPERLINK("http://www.rki.de/DE/Content/Infekt/Impfen/Materialien/Downloads-Influenza_nasal/Influenza_nasal-franzoesisch.pdf?__blob=publicationFile","x")</f>
        <v>x</v>
      </c>
      <c r="FX112" s="111"/>
      <c r="FY112" s="112"/>
      <c r="FZ112" s="112"/>
      <c r="GA112" s="111"/>
      <c r="GB112" s="111"/>
      <c r="GC112" s="111"/>
      <c r="GD112" s="112" t="str">
        <f>HYPERLINK("http://www.ethno-medizinisches-zentrum.de/images/PDF-Files/lf_diabete_franzosisch.pdf","x")</f>
        <v>x</v>
      </c>
      <c r="GE112" s="111"/>
      <c r="GF112" s="111"/>
      <c r="GG112" s="111"/>
      <c r="GH112" s="112"/>
      <c r="GI112" s="111"/>
      <c r="GJ112" s="111"/>
      <c r="GK112" s="112" t="str">
        <f>HYPERLINK("http://www.tipdoc.de/bus/pdf/hiv/HIV%20SRF_Webseite.pdf","x")</f>
        <v>x</v>
      </c>
      <c r="GL112" s="111"/>
      <c r="GM112" s="112" t="str">
        <f>HYPERLINK("http://www.rki.de/DE/Content/Infekt/Impfen/Materialien/Downloads-Influenza/Influenza-franzoesisch.pdf?__blob=publicationFile","x")</f>
        <v>x</v>
      </c>
      <c r="GN112" s="111"/>
      <c r="GO112" s="111"/>
      <c r="GP112" s="112" t="str">
        <f>HYPERLINK("http://www.tipdoc.de/grafik/pdf/kopflaeuse/Kopflaeuse_FRANZ.pdf","x")</f>
        <v>x</v>
      </c>
      <c r="GQ112" s="112"/>
      <c r="GR112" s="112" t="str">
        <f>HYPERLINK("http://www.tipdoc.com/bus/pdf/kraetze/tipdoc_Scabies_FRANZ.pdf","x")</f>
        <v>x</v>
      </c>
      <c r="GS112" s="112" t="str">
        <f>HYPERLINK("http://www.tipdoc.com/bus/pdf/MagenDarmHaende/MagenDarmHaende_FRANZ.pdf","x")</f>
        <v>x</v>
      </c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2" t="str">
        <f t="shared" si="38"/>
        <v>x</v>
      </c>
      <c r="HD112" s="112" t="str">
        <f>HYPERLINK("https://www.zahnaerzte-wl.de/images/_PDF-suche/KZV_ZÄK/ENDSTAND_Ankreuzbogen_Ich_verstehe.pdf","x")</f>
        <v>x</v>
      </c>
      <c r="HE112" s="112" t="str">
        <f>HYPERLINK("https://www.zahnaerzte-wl.de/images/_PDF-suche/KZV_ZÄK/Anschreiben_Patienten_franzoesisch.pdf","x")</f>
        <v>x</v>
      </c>
      <c r="HF112" s="112" t="str">
        <f>HYPERLINK("https://www.zahnaerzte-wl.de/images/_PDF-suche/KZV_ZÄK/Fragebogen_franzoesisch.pdf","x")</f>
        <v>x</v>
      </c>
      <c r="HG112" s="112" t="str">
        <f>HYPERLINK("https://www.zahnaerzte-wl.de/images/_PDF-suche/KZV_ZÄK/Patientenerhebungsbogen_franzoesisch.pdf","x")</f>
        <v>x</v>
      </c>
      <c r="HH112" s="112"/>
      <c r="HI112" s="112" t="str">
        <f>HYPERLINK("http://www.bvkm.de/fileadmin/web_data/Behinderung_und_Migration_franzoesisch_2014.pdf","x")</f>
        <v>x</v>
      </c>
      <c r="HJ112" s="112"/>
      <c r="HK112" s="112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2" t="str">
        <f t="shared" si="39"/>
        <v>x</v>
      </c>
      <c r="HZ112" s="112" t="str">
        <f t="shared" si="40"/>
        <v>x</v>
      </c>
      <c r="IA112" s="112" t="str">
        <f>HYPERLINK("http://peacefulheart.se/wp-content/uploads/2015/01/Tapping_French_Module-20150102-2.pdf","x")</f>
        <v>x</v>
      </c>
      <c r="IB112" s="111"/>
      <c r="IC112" s="111"/>
      <c r="ID112" s="111"/>
      <c r="IE112" s="111"/>
      <c r="IF112" s="111"/>
      <c r="IG112" s="111"/>
      <c r="IH112" s="111"/>
      <c r="II112" s="112" t="str">
        <f>HYPERLINK("http://www.caritas.de/hilfeundberatung/onlineberatung/suchtberatung/haeufiggestelltefragensucht/haeufiggestelltefragen-sucht","x")</f>
        <v>x</v>
      </c>
      <c r="IJ112" s="111"/>
      <c r="IK112" s="112" t="str">
        <f>HYPERLINK("http://www.bamf.de/SharedDocs/Anlagen/DE/Publikationen/Flyer/Lassen-Sie-Sich-Beraten/lassen-sie-sich-beraten_fr.pdf?__blob=publicationFile","x")</f>
        <v>x</v>
      </c>
      <c r="IL112" s="112" t="str">
        <f>HYPERLINK("http://www.bamf.de/SharedDocs/Anlagen/DE/Publikationen/Flyer/flyer-erstorientierung-asylsuchende_franzoesisch.pdf?__blob=publicationFile","x")</f>
        <v>x</v>
      </c>
      <c r="IM112" s="112" t="str">
        <f>HYPERLINK("http://www.frnrw.de/index.php/inhaltliche-themen/arbeitshilfen/item/3710-erstinfos-fuer-asylsuchende","x")</f>
        <v>x</v>
      </c>
      <c r="IN112" s="112" t="str">
        <f>HYPERLINK("https://www.bamf.de/SharedDocs/Anlagen/DE/Publikationen/Broschueren/willkommen-in-deutschland_fr.pdf?__blob=publicationFile","x")</f>
        <v>x</v>
      </c>
      <c r="IO112" s="112"/>
      <c r="IP112" s="112"/>
      <c r="IQ112" s="112" t="str">
        <f>HYPERLINK("http://www.bamf.de/SharedDocs/Anlagen/DE/Publikationen/Flyer/Lernen-Sie-Deutsch/lernen-sie-deutsch_fr.pdf?__blob=publicationFile","x")</f>
        <v>x</v>
      </c>
      <c r="IR112" s="112"/>
      <c r="IS112" s="111"/>
      <c r="IT112" s="111"/>
      <c r="IU112" s="111"/>
      <c r="IV112" s="112" t="str">
        <f>HYPERLINK("http://www.asyl.net/fileadmin/user_upload/infoblatt_anhoerung/Frz_final.pdf","x")</f>
        <v>x</v>
      </c>
      <c r="IW112" s="112"/>
      <c r="IX112" s="112" t="str">
        <f>HYPERLINK("http://www.berlin.de/labo/willkommen-in-berlin/service/downloads/artikel.273193.php","x")</f>
        <v>x</v>
      </c>
      <c r="IY112" s="112" t="str">
        <f>HYPERLINK("http://www.bamf.de/SharedDocs/Anlagen/DE/Publikationen/Broschueren/broschuere-eat-a4-fr-franzoesisch.pdf?__blob=publicationFile","x")</f>
        <v>x</v>
      </c>
      <c r="IZ112" s="111"/>
      <c r="JA112" s="112" t="str">
        <f>HYPERLINK("http://fluechtlingsrat-bw.de/informationen-fuer-fluechtlinge.html","x")</f>
        <v>x</v>
      </c>
      <c r="JB112" s="111"/>
      <c r="JC112" s="112" t="str">
        <f>HYPERLINK("http://www.bamf.de/SharedDocs/Anlagen/DE/Publikationen/Flyer/20150223_ura2_fra.pdf?__blob=publicationFile","x")</f>
        <v>x</v>
      </c>
      <c r="JD112" s="111"/>
      <c r="JE112" s="112"/>
      <c r="JF112" s="112"/>
      <c r="JG112" s="112"/>
      <c r="JH112" s="112"/>
      <c r="JI112" s="111"/>
      <c r="JJ112" s="112" t="str">
        <f>HYPERLINK("http://www.kub-berlin.org/formularprojekt/franzoesisch-antraege-und-anlagen-uebersetzungshilfen/","x")</f>
        <v>x</v>
      </c>
      <c r="JK112" s="112" t="str">
        <f>HYPERLINK("https://www.arbeitsagentur.de/web/wcm/idc/groups/public/documents/webdatei/mdaw/mjg1/~edisp/l6019022dstbai788667.pdf?_ba.sid=L6019022DSTBAI784626","x")</f>
        <v>x</v>
      </c>
      <c r="JL112" s="112" t="str">
        <f>HYPERLINK("http://www.kub-berlin.org/formularprojekt/franzoesisch-antraege-und-anlagen-uebersetzungshilfen/","x")</f>
        <v>x</v>
      </c>
      <c r="JM112" s="112" t="str">
        <f>HYPERLINK("https://www.arbeitsagentur.de/web/content/DE/Formulare/Detail/index.htm?dfContentId=L6019022DSTBAI485740","x")</f>
        <v>x</v>
      </c>
      <c r="JN112" s="112"/>
      <c r="JO112" s="112"/>
      <c r="JP112" s="112"/>
      <c r="JQ112" s="112"/>
      <c r="JR112" s="112" t="str">
        <f>HYPERLINK("http://www.ibla-germany.de/merkblaetter.php","x")</f>
        <v>x</v>
      </c>
      <c r="JS112" s="112"/>
      <c r="JT112" s="112" t="str">
        <f>HYPERLINK("http://www.b-umf.de/images/willkommen/willkommensbroschurefranzoesisch-web.pdf","x")</f>
        <v>x</v>
      </c>
      <c r="JU112" s="111"/>
      <c r="JV112" s="111"/>
      <c r="JW112" s="112"/>
      <c r="JX112" s="112"/>
      <c r="JY112" s="112"/>
      <c r="JZ112" s="112"/>
      <c r="KA112" s="112"/>
      <c r="KB112" s="112" t="str">
        <f>HYPERLINK("http://www.refugeeguide.de/dl/RefugeeGuide_fr_925.pdf","x")</f>
        <v>x</v>
      </c>
      <c r="KC112" s="111"/>
      <c r="KD112" s="112" t="str">
        <f>HYPERLINK("http://www.wedel.de/fileadmin/user_upload/media/pdf/Rathaus_und_Politik/20160118_PM_Broschuere.pdf","x")</f>
        <v>x</v>
      </c>
      <c r="KE112" s="112" t="str">
        <f>HYPERLINK("http://www.frauenrechte.de/online/images/downloads/allgemein/TDF_Flyer_Women_Men.pdf","x")</f>
        <v>x</v>
      </c>
      <c r="KF112" s="112" t="str">
        <f>HYPERLINK("http://sab.landtag.sachsen.de/dokumente/landtagskurier/Grundwerte-A5-international_web_08012016.pdf","x")</f>
        <v>x</v>
      </c>
      <c r="KG112" s="112"/>
      <c r="KH112" s="112"/>
      <c r="KI112" s="112"/>
      <c r="KJ112" s="112"/>
      <c r="KK112" s="112"/>
      <c r="KL112" s="112"/>
      <c r="KM112" s="112"/>
      <c r="KN112" s="112"/>
      <c r="KO112" s="112"/>
      <c r="KP112" s="112"/>
      <c r="KQ112" s="112"/>
      <c r="KR112" s="112"/>
      <c r="KS112" s="112"/>
      <c r="KT112" s="112"/>
      <c r="KU112" s="112"/>
      <c r="KV112" s="112"/>
      <c r="KW112" s="112"/>
      <c r="KX112" s="112"/>
      <c r="KY112" s="112"/>
      <c r="KZ112" s="112"/>
      <c r="LA112" s="112"/>
      <c r="LB112" s="112"/>
      <c r="LC112" s="111"/>
      <c r="LD112" s="112"/>
      <c r="LE112" s="112"/>
      <c r="LF112" s="112"/>
      <c r="LG112" s="112"/>
      <c r="LH112" s="112"/>
      <c r="LI112" s="112"/>
      <c r="LJ112" s="112"/>
      <c r="LK112" s="112"/>
      <c r="LL112" s="112"/>
      <c r="LM112" s="111"/>
      <c r="LN112" s="111"/>
      <c r="LO112" s="111"/>
      <c r="LP112" s="111"/>
      <c r="LQ112" s="112"/>
      <c r="LR112" s="111"/>
      <c r="LS112" s="112"/>
      <c r="LT112" s="112"/>
      <c r="LU112" s="111"/>
      <c r="LV112" s="111"/>
      <c r="LW112" s="111"/>
      <c r="LX112" s="111"/>
      <c r="LY112" s="111"/>
      <c r="LZ112" s="111"/>
      <c r="MA112" s="111"/>
      <c r="MB112" s="112"/>
      <c r="MC112" s="111"/>
      <c r="MD112" s="112" t="str">
        <f>HYPERLINK("http://www.rki.de/DE/Content/Infekt/IfSG/Belehrungsbogen/belehrungsbogen_lebensmittel_franzoesisch.pdf?__blob=publicationFile","x")</f>
        <v>x</v>
      </c>
      <c r="ME112" s="111"/>
      <c r="MF112" s="112" t="str">
        <f>HYPERLINK("http://www.gdv.de/wp-content/uploads/2016/01/Information_Brandschutz_Fluechtlingsheim_-Sicherheit_mehrsprachig.pdf","x")</f>
        <v>x</v>
      </c>
      <c r="MG112" s="112" t="str">
        <f>HYPERLINK("http://www.gdv.de/wp-content/uploads/2016/01/Information_Verhalten-im-Brandfall_mehrsprachig.pdf","x")</f>
        <v>x</v>
      </c>
      <c r="MH112" s="112" t="str">
        <f>HYPERLINK("http://www.aha-region.de/fileadmin/Download/pdf/aha_Plakat_Muelltrennung_fr.pdf","x")</f>
        <v>x</v>
      </c>
      <c r="MI112" s="112" t="str">
        <f>HYPERLINK("http://www.kindersicherheit.de/pdf/2012_poster_achtunggiftig_8sprachig.pdf","x")</f>
        <v>x</v>
      </c>
    </row>
    <row r="113" spans="1:347" x14ac:dyDescent="0.25">
      <c r="A113" s="102" t="s">
        <v>145</v>
      </c>
      <c r="B113" s="127" t="s">
        <v>146</v>
      </c>
      <c r="C113" s="102"/>
      <c r="D113" s="102"/>
      <c r="E113" s="102"/>
      <c r="F113" s="102"/>
      <c r="G113" s="102"/>
      <c r="H113" s="102"/>
      <c r="I113" s="102"/>
      <c r="J113" s="102"/>
      <c r="K113" s="103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3"/>
      <c r="AW113" s="114" t="str">
        <f t="shared" si="22"/>
        <v>x</v>
      </c>
      <c r="AX113" s="114" t="str">
        <f t="shared" si="23"/>
        <v>x</v>
      </c>
      <c r="AY113" s="111"/>
      <c r="AZ113" s="111"/>
      <c r="BA113" s="112" t="str">
        <f t="shared" si="24"/>
        <v>x</v>
      </c>
      <c r="BB113" s="112" t="str">
        <f t="shared" si="25"/>
        <v>x</v>
      </c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2" t="str">
        <f t="shared" si="26"/>
        <v>x</v>
      </c>
      <c r="BT113" s="112"/>
      <c r="BU113" s="111"/>
      <c r="BV113" s="112" t="str">
        <f t="shared" si="27"/>
        <v>x</v>
      </c>
      <c r="BW113" s="112"/>
      <c r="BX113" s="112"/>
      <c r="BY113" s="112"/>
      <c r="BZ113" s="112"/>
      <c r="CA113" s="112" t="str">
        <f t="shared" si="28"/>
        <v>x</v>
      </c>
      <c r="CB113" s="112" t="str">
        <f t="shared" si="29"/>
        <v>x</v>
      </c>
      <c r="CC113" s="112" t="str">
        <f t="shared" si="30"/>
        <v>x</v>
      </c>
      <c r="CD113" s="112"/>
      <c r="CE113" s="112"/>
      <c r="CF113" s="111"/>
      <c r="CG113" s="111"/>
      <c r="CH113" s="111"/>
      <c r="CI113" s="111"/>
      <c r="CJ113" s="111"/>
      <c r="CK113" s="112" t="str">
        <f t="shared" si="31"/>
        <v>x</v>
      </c>
      <c r="CL113" s="112"/>
      <c r="CM113" s="112"/>
      <c r="CN113" s="112"/>
      <c r="CO113" s="112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2"/>
      <c r="DA113" s="112"/>
      <c r="DB113" s="112"/>
      <c r="DC113" s="115"/>
      <c r="DD113" s="112"/>
      <c r="DE113" s="112"/>
      <c r="DF113" s="112" t="str">
        <f t="shared" si="32"/>
        <v>x</v>
      </c>
      <c r="DG113" s="115" t="str">
        <f t="shared" si="33"/>
        <v>x</v>
      </c>
      <c r="DH113" s="112" t="str">
        <f t="shared" si="34"/>
        <v>x</v>
      </c>
      <c r="DI113" s="112" t="str">
        <f t="shared" si="35"/>
        <v>x</v>
      </c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7" t="str">
        <f>HYPERLINK("http://www.medi-bild.de/pdf/anamnese/Welche_Sprache.pdf","x")</f>
        <v>x</v>
      </c>
      <c r="EQ113" s="117" t="str">
        <f>HYPERLINK("http://www.medknowledge.de/migration/tipdoc/anamnesebogen/tipdoc_Anamnese_korean.pdf","x")</f>
        <v>x</v>
      </c>
      <c r="ER113" s="111"/>
      <c r="ES113" s="111"/>
      <c r="ET113" s="111"/>
      <c r="EU113" s="111"/>
      <c r="EV113" s="111"/>
      <c r="EW113" s="112" t="str">
        <f t="shared" si="36"/>
        <v>x</v>
      </c>
      <c r="EX113" s="111"/>
      <c r="EY113" s="111"/>
      <c r="EZ113" s="111"/>
      <c r="FA113" s="111"/>
      <c r="FB113" s="111"/>
      <c r="FC113" s="111"/>
      <c r="FD113" s="112" t="str">
        <f t="shared" si="37"/>
        <v>x</v>
      </c>
      <c r="FE113" s="112" t="str">
        <f>HYPERLINK("http://sghanstedt.elbnetz.com/ueber-uns/","x")</f>
        <v>x</v>
      </c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2" t="str">
        <f t="shared" si="38"/>
        <v>x</v>
      </c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2" t="str">
        <f t="shared" si="39"/>
        <v>x</v>
      </c>
      <c r="HZ113" s="112" t="str">
        <f t="shared" si="40"/>
        <v>x</v>
      </c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2" t="str">
        <f>HYPERLINK("http://www.bamf.de/SharedDocs/Anlagen/DE/Publikationen/Broschueren/broschuere-eat-a4-ko-koreanisch.pdf?__blob=publicationFile","x")</f>
        <v>x</v>
      </c>
      <c r="IZ113" s="111"/>
      <c r="JA113" s="111"/>
      <c r="JB113" s="111"/>
      <c r="JC113" s="111"/>
      <c r="JD113" s="111"/>
      <c r="JE113" s="111"/>
      <c r="JF113" s="111"/>
      <c r="JG113" s="111"/>
      <c r="JH113" s="111"/>
      <c r="JI113" s="111"/>
      <c r="JJ113" s="111"/>
      <c r="JK113" s="111"/>
      <c r="JL113" s="111"/>
      <c r="JM113" s="111"/>
      <c r="JN113" s="111"/>
      <c r="JO113" s="111"/>
      <c r="JP113" s="111"/>
      <c r="JQ113" s="111"/>
      <c r="JR113" s="111"/>
      <c r="JS113" s="111"/>
      <c r="JT113" s="111"/>
      <c r="JU113" s="111"/>
      <c r="JV113" s="111"/>
      <c r="JW113" s="111"/>
      <c r="JX113" s="111"/>
      <c r="JY113" s="111"/>
      <c r="JZ113" s="111"/>
      <c r="KA113" s="111"/>
      <c r="KB113" s="111"/>
      <c r="KC113" s="111"/>
      <c r="KD113" s="111"/>
      <c r="KE113" s="111"/>
      <c r="KF113" s="111"/>
      <c r="KG113" s="111"/>
      <c r="KH113" s="111"/>
      <c r="KI113" s="111"/>
      <c r="KJ113" s="111"/>
      <c r="KK113" s="111"/>
      <c r="KL113" s="111"/>
      <c r="KM113" s="111"/>
      <c r="KN113" s="111"/>
      <c r="KO113" s="111"/>
      <c r="KP113" s="111"/>
      <c r="KQ113" s="111"/>
      <c r="KR113" s="111"/>
      <c r="KS113" s="111"/>
      <c r="KT113" s="111"/>
      <c r="KU113" s="111"/>
      <c r="KV113" s="111"/>
      <c r="KW113" s="111"/>
      <c r="KX113" s="111"/>
      <c r="KY113" s="111"/>
      <c r="KZ113" s="111"/>
      <c r="LA113" s="111"/>
      <c r="LB113" s="111"/>
      <c r="LC113" s="111"/>
      <c r="LD113" s="111"/>
      <c r="LE113" s="111"/>
      <c r="LF113" s="111"/>
      <c r="LG113" s="111"/>
      <c r="LH113" s="111"/>
      <c r="LI113" s="111"/>
      <c r="LJ113" s="111"/>
      <c r="LK113" s="111"/>
      <c r="LL113" s="111"/>
      <c r="LM113" s="111"/>
      <c r="LN113" s="111"/>
      <c r="LO113" s="111"/>
      <c r="LP113" s="111"/>
      <c r="LQ113" s="111"/>
      <c r="LR113" s="111"/>
      <c r="LS113" s="111"/>
      <c r="LT113" s="111"/>
      <c r="LU113" s="111"/>
      <c r="LV113" s="111"/>
      <c r="LW113" s="111"/>
      <c r="LX113" s="111"/>
      <c r="LY113" s="111"/>
      <c r="LZ113" s="111"/>
      <c r="MA113" s="111"/>
      <c r="MB113" s="111"/>
      <c r="MC113" s="111"/>
      <c r="MD113" s="111"/>
      <c r="ME113" s="111"/>
      <c r="MF113" s="111"/>
      <c r="MG113" s="111"/>
      <c r="MH113" s="111"/>
      <c r="MI113" s="111"/>
    </row>
    <row r="114" spans="1:347" x14ac:dyDescent="0.25">
      <c r="A114" s="102" t="s">
        <v>47</v>
      </c>
      <c r="B114" s="127" t="s">
        <v>0</v>
      </c>
      <c r="C114" s="102"/>
      <c r="D114" s="102"/>
      <c r="E114" s="102"/>
      <c r="F114" s="102"/>
      <c r="G114" s="102"/>
      <c r="H114" s="102"/>
      <c r="I114" s="102"/>
      <c r="J114" s="102"/>
      <c r="K114" s="103"/>
      <c r="L114" s="111"/>
      <c r="M114" s="111"/>
      <c r="N114" s="111"/>
      <c r="O114" s="111"/>
      <c r="P114" s="112" t="str">
        <f>HYPERLINK("https://willkommensteamelmshorn.files.wordpress.com/2015/11/sortieranleitung_pinneberg_2015_albanisch.pdf","x")</f>
        <v>x</v>
      </c>
      <c r="Q114" s="111"/>
      <c r="R114" s="111"/>
      <c r="S114" s="111"/>
      <c r="T114" s="111"/>
      <c r="U114" s="111"/>
      <c r="V114" s="111"/>
      <c r="W114" s="112"/>
      <c r="X114" s="111"/>
      <c r="Y114" s="112"/>
      <c r="Z114" s="112"/>
      <c r="AA114" s="112"/>
      <c r="AB114" s="112"/>
      <c r="AC114" s="112"/>
      <c r="AD114" s="112"/>
      <c r="AE114" s="112"/>
      <c r="AF114" s="112"/>
      <c r="AG114" s="112" t="str">
        <f>HYPERLINK("http://asyl-in-moenchengladbach.de/wp-content/uploads/2015/11/100711-Flyer_alban.pdf","x")</f>
        <v>x</v>
      </c>
      <c r="AH114" s="111"/>
      <c r="AI114" s="111"/>
      <c r="AJ114" s="111"/>
      <c r="AK114" s="111"/>
      <c r="AL114" s="111"/>
      <c r="AM114" s="111"/>
      <c r="AN114" s="111"/>
      <c r="AO114" s="112"/>
      <c r="AP114" s="112"/>
      <c r="AQ114" s="112"/>
      <c r="AR114" s="112"/>
      <c r="AS114" s="112"/>
      <c r="AT114" s="112"/>
      <c r="AU114" s="112"/>
      <c r="AV114" s="113"/>
      <c r="AW114" s="114" t="str">
        <f t="shared" si="22"/>
        <v>x</v>
      </c>
      <c r="AX114" s="114" t="str">
        <f t="shared" si="23"/>
        <v>x</v>
      </c>
      <c r="AY114" s="111"/>
      <c r="AZ114" s="111"/>
      <c r="BA114" s="112" t="str">
        <f t="shared" si="24"/>
        <v>x</v>
      </c>
      <c r="BB114" s="112" t="str">
        <f t="shared" si="25"/>
        <v>x</v>
      </c>
      <c r="BC114" s="111"/>
      <c r="BD114" s="111"/>
      <c r="BE114" s="111"/>
      <c r="BF114" s="111"/>
      <c r="BG114" s="111"/>
      <c r="BH114" s="111"/>
      <c r="BI114" s="112" t="str">
        <f>HYPERLINK("https://www.advanced-online.eu/downloads/RefugeePhrasebookCards_German-Albanian.pdf","x")</f>
        <v>x</v>
      </c>
      <c r="BJ114" s="111"/>
      <c r="BK114" s="111"/>
      <c r="BL114" s="112" t="str">
        <f>HYPERLINK("http://www.bundessprachenamt.de/deutsch/wir_ueber_uns/nachrichten/2015/20151103/Verständigungshilfe_Albanisch_26_11_2015.pdf","x")</f>
        <v>x</v>
      </c>
      <c r="BM114" s="112" t="str">
        <f>HYPERLINK("http://www.frnrw.de/images/Aus_den_Initiativen/Ehrenamtler/2015/Dictionary_x10_print-2.pdf","x")</f>
        <v>x</v>
      </c>
      <c r="BN114" s="111"/>
      <c r="BO114" s="111"/>
      <c r="BP114" s="111"/>
      <c r="BQ114" s="111"/>
      <c r="BR114" s="111"/>
      <c r="BS114" s="112" t="str">
        <f t="shared" si="26"/>
        <v>x</v>
      </c>
      <c r="BT114" s="112"/>
      <c r="BU114" s="111"/>
      <c r="BV114" s="112" t="str">
        <f t="shared" si="27"/>
        <v>x</v>
      </c>
      <c r="BW114" s="112" t="str">
        <f>HYPERLINK("http://www.welcomegrooves.de/wp-content/uploads/2015/10/welcomegrooves_DE-ALBANISCH.pdf","x")</f>
        <v>x</v>
      </c>
      <c r="BX114" s="112"/>
      <c r="BY114" s="112"/>
      <c r="BZ114" s="112" t="str">
        <f>HYPERLINK("http://fluechtlingshilfe-nettetal.de/ausbildung/video-sprachkurse-deutsch-fuer-fluechtlinge/video-sprachkurs-albanisch-deutsch/","x")</f>
        <v>x</v>
      </c>
      <c r="CA114" s="112" t="str">
        <f t="shared" si="28"/>
        <v>x</v>
      </c>
      <c r="CB114" s="112" t="str">
        <f t="shared" si="29"/>
        <v>x</v>
      </c>
      <c r="CC114" s="112" t="str">
        <f t="shared" si="30"/>
        <v>x</v>
      </c>
      <c r="CD114" s="112"/>
      <c r="CE114" s="112"/>
      <c r="CF114" s="111"/>
      <c r="CG114" s="111"/>
      <c r="CH114" s="111"/>
      <c r="CI114" s="111"/>
      <c r="CJ114" s="111"/>
      <c r="CK114" s="112" t="str">
        <f t="shared" si="31"/>
        <v>x</v>
      </c>
      <c r="CL114" s="112"/>
      <c r="CM114" s="112"/>
      <c r="CN114" s="112"/>
      <c r="CO114" s="112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2"/>
      <c r="DA114" s="112" t="str">
        <f>HYPERLINK("http://sichere-orte-schaffen.de/wp-content/uploads/Minibrosch_Fluechtlinge_multilang.pdf","x")</f>
        <v>x</v>
      </c>
      <c r="DB114" s="112"/>
      <c r="DC114" s="115"/>
      <c r="DD114" s="112"/>
      <c r="DE114" s="112"/>
      <c r="DF114" s="112" t="str">
        <f t="shared" si="32"/>
        <v>x</v>
      </c>
      <c r="DG114" s="115" t="str">
        <f t="shared" si="33"/>
        <v>x</v>
      </c>
      <c r="DH114" s="112" t="str">
        <f t="shared" si="34"/>
        <v>x</v>
      </c>
      <c r="DI114" s="112" t="str">
        <f t="shared" si="35"/>
        <v>x</v>
      </c>
      <c r="DJ114" s="112" t="str">
        <f>HYPERLINK("http://www.bibliomedia.ch/de/angebote/dokumente/Glossar_albanisch.pdf","x")</f>
        <v>x</v>
      </c>
      <c r="DK114" s="112"/>
      <c r="DL114" s="112"/>
      <c r="DM114" s="112"/>
      <c r="DN114" s="112"/>
      <c r="DO114" s="112"/>
      <c r="DP114" s="111"/>
      <c r="DQ114" s="111"/>
      <c r="DR114" s="111"/>
      <c r="DS114" s="112" t="str">
        <f>HYPERLINK("http://bildung.koeln.de/materialbibliothek/download.php?idx=00d90bf2e613ea68bb3a6eb10941e749","x")</f>
        <v>x</v>
      </c>
      <c r="DT114" s="112" t="str">
        <f>HYPERLINK("http://bildung.koeln.de/materialbibliothek/download.php?idx=7fe9bcc33373e31f48b8dc613c66ad26","x")</f>
        <v>x</v>
      </c>
      <c r="DU114" s="112"/>
      <c r="DV114" s="112"/>
      <c r="DW114" s="111"/>
      <c r="DX114" s="111"/>
      <c r="DY114" s="111"/>
      <c r="DZ114" s="111"/>
      <c r="EA114" s="111"/>
      <c r="EB114" s="112"/>
      <c r="EC114" s="111"/>
      <c r="ED114" s="111"/>
      <c r="EE114" s="111"/>
      <c r="EF114" s="111"/>
      <c r="EG114" s="111"/>
      <c r="EH114" s="111"/>
      <c r="EI114" s="111"/>
      <c r="EJ114" s="112"/>
      <c r="EK114" s="112"/>
      <c r="EL114" s="111"/>
      <c r="EM114" s="112" t="str">
        <f>HYPERLINK("http://www.kvs-sachsen.de/fileadmin/img/Mitglieder/Asylbewerber/Allg-Informationen/Anlage_1_Albanisch_LEK.pdf","x")</f>
        <v>x</v>
      </c>
      <c r="EN114" s="111"/>
      <c r="EO114" s="111"/>
      <c r="EP114" s="117" t="str">
        <f>HYPERLINK("http://www.medi-bild.de/pdf/anamnese/Welche_Sprache.pdf","x")</f>
        <v>x</v>
      </c>
      <c r="EQ114" s="118"/>
      <c r="ER114" s="112" t="str">
        <f>HYPERLINK("http://www.kvs-sachsen.de/fileadmin/img/Mitglieder/Asylbewerber/Allg-Informationen/Anlagen_2-1_2-2_Albanisch_LEK.pdf","x")</f>
        <v>x</v>
      </c>
      <c r="ES114" s="112"/>
      <c r="ET114" s="112"/>
      <c r="EU114" s="111"/>
      <c r="EV114" s="112" t="str">
        <f>HYPERLINK("http://www.adler-apotheke-hh.de/fileadmin/user_upload/PDF-Dateien/Dosierzettel_mehrsprachig_AUF_0_.pdf","x")</f>
        <v>x</v>
      </c>
      <c r="EW114" s="112" t="str">
        <f t="shared" si="36"/>
        <v>x</v>
      </c>
      <c r="EX114" s="111"/>
      <c r="EY114" s="111"/>
      <c r="EZ114" s="111"/>
      <c r="FA114" s="111"/>
      <c r="FB114" s="111"/>
      <c r="FC114" s="111"/>
      <c r="FD114" s="112" t="str">
        <f t="shared" si="37"/>
        <v>x</v>
      </c>
      <c r="FE114" s="112" t="str">
        <f>HYPERLINK("http://sghanstedt.elbnetz.com/ueber-uns/","x")</f>
        <v>x</v>
      </c>
      <c r="FF114" s="112" t="str">
        <f>HYPERLINK("http://www.fuhlenhagen.com/pdf_dateien/uebertzungshilfe_aerzte_mehrsprachig.pdf","x")</f>
        <v>x</v>
      </c>
      <c r="FG114" s="112" t="str">
        <f>HYPERLINK("http://www.tipdoc.de/grafik/asyl/Gesundheitsheft_Asyl.pdf","x")</f>
        <v>x</v>
      </c>
      <c r="FH114" s="111"/>
      <c r="FI114" s="111"/>
      <c r="FJ114" s="112"/>
      <c r="FK114" s="112" t="str">
        <f>HYPERLINK("http://www.rki.de/DE/Content/Infekt/Impfen/Materialien/Downloads-Impfkalender/Impfkalender_Albanisch.pdf?__blob=publicationFile","x")</f>
        <v>x</v>
      </c>
      <c r="FL114" s="112" t="str">
        <f>HYPERLINK("http://www.ethno-medizinisches-zentrum.de/images/PDF-Files/impfwegweiser_albanisch_2013_online.pdf","x")</f>
        <v>x</v>
      </c>
      <c r="FM114" s="112"/>
      <c r="FN114" s="112" t="str">
        <f>HYPERLINK("http://www.rki.de/DE/Content/Infekt/Impfen/Materialien/Glossar-Downloads/glossar-de-albanisch.pdf?__blob=publicationFile","x")</f>
        <v>x</v>
      </c>
      <c r="FO114" s="112"/>
      <c r="FP114" s="112" t="str">
        <f>HYPERLINK("http://www.rki.de/DE/Content/Infekt/Impfen/Materialien/Downloads-MMR/MMR-Impfinfo-albanisch.pdf?__blob=publicationFile","x")</f>
        <v>x</v>
      </c>
      <c r="FQ114" s="111"/>
      <c r="FR114" s="112" t="str">
        <f>HYPERLINK("http://www.rki.de/DE/Content/Infekt/Impfen/Materialien/Downloads_HepA/Aufklaerung_HAV-Impfung_albanisch.pdf?__blob=publicationFile","x")</f>
        <v>x</v>
      </c>
      <c r="FS114" s="112" t="str">
        <f>HYPERLINK("http://www.rki.de/DE/Content/Infekt/Impfen/Materialien/Downloads_Pneumokokken/Aufklaerung_Pneumo-Impfung_Albanisch.pdf?__blob=publicationFile","x")</f>
        <v>x</v>
      </c>
      <c r="FT114" s="112" t="str">
        <f>HYPERLINK("http://www.rki.de/DE/Content/Infekt/Impfen/Materialien/Downloads-DTaPIPVHibHepB/DTaPIPVHibHepB_albanisch.pdf?__blob=publicationFile","x")</f>
        <v>x</v>
      </c>
      <c r="FU114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14" s="112" t="str">
        <f>HYPERLINK("http://www.rki.de/DE/Content/Infekt/Impfen/Materialien/Downloads-Tdap-IPV/Tdap-IPV-albanisch.pdf?__blob=publicationFile","x")</f>
        <v>x</v>
      </c>
      <c r="FW114" s="112" t="str">
        <f>HYPERLINK("http://www.rki.de/DE/Content/Infekt/Impfen/Materialien/Downloads-Influenza_nasal/Influenza_nasal-albanisch.pdf?__blob=publicationFile","x")</f>
        <v>x</v>
      </c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2" t="str">
        <f>HYPERLINK("http://www.rki.de/DE/Content/Infekt/Impfen/Materialien/Downloads-Influenza/Influenza-albanisch.pdf?__blob=publicationFile","x")</f>
        <v>x</v>
      </c>
      <c r="GN114" s="111"/>
      <c r="GO114" s="111"/>
      <c r="GP114" s="112" t="str">
        <f>HYPERLINK("http://www.tipdoc.de/grafik/pdf/kopflaeuse/Kopflaeuse_ALBAN.pdf","x")</f>
        <v>x</v>
      </c>
      <c r="GQ114" s="112"/>
      <c r="GR114" s="112" t="str">
        <f>HYPERLINK("http://www.tipdoc.com/bus/pdf/kraetze/tipdoc_Scabies_ALBAN.pdf","x")</f>
        <v>x</v>
      </c>
      <c r="GS114" s="112" t="str">
        <f>HYPERLINK("http://www.tipdoc.com/bus/pdf/MagenDarmHaende/MagenDarmHaende_ALBAN.pdf","x")</f>
        <v>x</v>
      </c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2" t="str">
        <f t="shared" si="38"/>
        <v>x</v>
      </c>
      <c r="HD114" s="112" t="str">
        <f>HYPERLINK("https://www.zahnaerzte-wl.de/images/_PDF-suche/KZV_ZÄK/ENDSTAND_Ankreuzbogen_Ich_verstehe.pdf","x")</f>
        <v>x</v>
      </c>
      <c r="HE114" s="112" t="str">
        <f>HYPERLINK("https://www.zahnaerzte-wl.de/images/_PDF-suche/KZV_ZÄK/Anschreiben_albanisch.pdf","x")</f>
        <v>x</v>
      </c>
      <c r="HF114" s="112" t="str">
        <f>HYPERLINK("https://www.zahnaerzte-wl.de/images/_PDF-suche/KZV_ZÄK/Fragebogen_albanisch.pdf","x")</f>
        <v>x</v>
      </c>
      <c r="HG114" s="112" t="str">
        <f>HYPERLINK("https://www.zahnaerzte-wl.de/images/_PDF-suche/KZV_ZÄK/Fragebogen_albanisch.pdf","x")</f>
        <v>x</v>
      </c>
      <c r="HH114" s="112"/>
      <c r="HI114" s="112"/>
      <c r="HJ114" s="112"/>
      <c r="HK114" s="112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2" t="str">
        <f t="shared" si="39"/>
        <v>x</v>
      </c>
      <c r="HZ114" s="112" t="str">
        <f t="shared" si="40"/>
        <v>x</v>
      </c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2"/>
      <c r="IL114" s="111"/>
      <c r="IM114" s="111"/>
      <c r="IN114" s="111"/>
      <c r="IO114" s="111"/>
      <c r="IP114" s="111"/>
      <c r="IQ114" s="112"/>
      <c r="IR114" s="112"/>
      <c r="IS114" s="111"/>
      <c r="IT114" s="111"/>
      <c r="IU114" s="111"/>
      <c r="IV114" s="112" t="str">
        <f>HYPERLINK("http://www.asyl.net/fileadmin/user_upload/infoblatt_anhoerung/Infoblatt_2015_alb_fin.pdf","x")</f>
        <v>x</v>
      </c>
      <c r="IW114" s="112"/>
      <c r="IX114" s="112"/>
      <c r="IY114" s="112" t="str">
        <f>HYPERLINK("http://www.bamf.de/SharedDocs/Anlagen/DE/Publikationen/Broschueren/broschuere-eat-a4-sq-albanisch.pdf?__blob=publicationFile","x")</f>
        <v>x</v>
      </c>
      <c r="IZ114" s="111"/>
      <c r="JA114" s="111"/>
      <c r="JB114" s="111"/>
      <c r="JC114" s="112" t="str">
        <f>HYPERLINK("http://www.bamf.de/SharedDocs/Anlagen/DE/Publikationen/Flyer/20140110_ura2-kinderprojekt_alb.pdf?__blob=publicationFile","x")</f>
        <v>x</v>
      </c>
      <c r="JD114" s="111"/>
      <c r="JE114" s="112"/>
      <c r="JF114" s="112"/>
      <c r="JG114" s="111"/>
      <c r="JH114" s="111"/>
      <c r="JI114" s="111"/>
      <c r="JJ114" s="112"/>
      <c r="JK114" s="112"/>
      <c r="JL114" s="112"/>
      <c r="JM114" s="112"/>
      <c r="JN114" s="112"/>
      <c r="JO114" s="112"/>
      <c r="JP114" s="112"/>
      <c r="JQ114" s="112"/>
      <c r="JR114" s="112" t="str">
        <f>HYPERLINK("http://www.ibla-germany.de/merkblaetter.php","x")</f>
        <v>x</v>
      </c>
      <c r="JS114" s="112"/>
      <c r="JT114" s="111"/>
      <c r="JU114" s="111"/>
      <c r="JV114" s="111"/>
      <c r="JW114" s="112"/>
      <c r="JX114" s="112"/>
      <c r="JY114" s="112"/>
      <c r="JZ114" s="112"/>
      <c r="KA114" s="112"/>
      <c r="KB114" s="112" t="str">
        <f>HYPERLINK("http://www.refugeeguide.de/dl/RefugeeGuide_al_929.pdf","x")</f>
        <v>x</v>
      </c>
      <c r="KC114" s="111"/>
      <c r="KD114" s="111"/>
      <c r="KE114" s="112" t="str">
        <f>HYPERLINK("http://www.frauenrechte.de/online/images/downloads/allgemein/TDF_Flyer_Women_Men.pdf","x")</f>
        <v>x</v>
      </c>
      <c r="KF114" s="111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2"/>
      <c r="LC114" s="111"/>
      <c r="LD114" s="111"/>
      <c r="LE114" s="111"/>
      <c r="LF114" s="111"/>
      <c r="LG114" s="111"/>
      <c r="LH114" s="111"/>
      <c r="LI114" s="111"/>
      <c r="LJ114" s="111"/>
      <c r="LK114" s="111"/>
      <c r="LL114" s="111"/>
      <c r="LM114" s="111"/>
      <c r="LN114" s="111"/>
      <c r="LO114" s="111"/>
      <c r="LP114" s="111"/>
      <c r="LQ114" s="111"/>
      <c r="LR114" s="111"/>
      <c r="LS114" s="111"/>
      <c r="LT114" s="111"/>
      <c r="LU114" s="111"/>
      <c r="LV114" s="111"/>
      <c r="LW114" s="111"/>
      <c r="LX114" s="111"/>
      <c r="LY114" s="111"/>
      <c r="LZ114" s="111"/>
      <c r="MA114" s="111"/>
      <c r="MB114" s="111"/>
      <c r="MC114" s="111"/>
      <c r="MD114" s="111"/>
      <c r="ME114" s="111"/>
      <c r="MF114" s="111"/>
      <c r="MG114" s="111"/>
      <c r="MH114" s="111"/>
      <c r="MI114" s="111"/>
    </row>
    <row r="115" spans="1:347" x14ac:dyDescent="0.25">
      <c r="A115" s="102" t="s">
        <v>47</v>
      </c>
      <c r="B115" s="127" t="s">
        <v>44</v>
      </c>
      <c r="C115" s="102"/>
      <c r="D115" s="102"/>
      <c r="E115" s="102"/>
      <c r="F115" s="102"/>
      <c r="G115" s="102"/>
      <c r="H115" s="102"/>
      <c r="I115" s="102"/>
      <c r="J115" s="102"/>
      <c r="K115" s="103"/>
      <c r="L115" s="111"/>
      <c r="M115" s="111"/>
      <c r="N115" s="112" t="str">
        <f>HYPERLINK("http://www.ag-fluechtlingshilfe-wetterau.de/uploads/infos/170.pdf","x")</f>
        <v>x</v>
      </c>
      <c r="O115" s="112"/>
      <c r="P115" s="112"/>
      <c r="Q115" s="112"/>
      <c r="R115" s="112"/>
      <c r="S115" s="112"/>
      <c r="T115" s="112"/>
      <c r="U115" s="112"/>
      <c r="V115" s="112"/>
      <c r="W115" s="111"/>
      <c r="X115" s="112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2"/>
      <c r="AP115" s="112"/>
      <c r="AQ115" s="112"/>
      <c r="AR115" s="112"/>
      <c r="AS115" s="112"/>
      <c r="AT115" s="112"/>
      <c r="AU115" s="112"/>
      <c r="AV115" s="113"/>
      <c r="AW115" s="114" t="str">
        <f t="shared" si="22"/>
        <v>x</v>
      </c>
      <c r="AX115" s="114" t="str">
        <f t="shared" si="23"/>
        <v>x</v>
      </c>
      <c r="AY115" s="111"/>
      <c r="AZ115" s="111"/>
      <c r="BA115" s="112" t="str">
        <f t="shared" si="24"/>
        <v>x</v>
      </c>
      <c r="BB115" s="112" t="str">
        <f t="shared" si="25"/>
        <v>x</v>
      </c>
      <c r="BC115" s="111"/>
      <c r="BD115" s="111"/>
      <c r="BE115" s="111"/>
      <c r="BF115" s="111"/>
      <c r="BG115" s="111"/>
      <c r="BH115" s="112" t="str">
        <f>HYPERLINK("http://www.refugeephrasebook.de/pdf/germany150920.pdf","x")</f>
        <v>x</v>
      </c>
      <c r="BI115" s="112" t="str">
        <f>HYPERLINK("https://www.advanced-online.eu/downloads/RefugeePhrasebookCards_German-Bosnian-Croatian-Serbian.pdf","x")</f>
        <v>x</v>
      </c>
      <c r="BJ115" s="111"/>
      <c r="BK115" s="111"/>
      <c r="BL115" s="112" t="str">
        <f>HYPERLINK("http://www.bundessprachenamt.de/deutsch/wir_ueber_uns/nachrichten/2015/20151103/Verständigungshilfe_Bosnisch_04_12_2015.pdf","x")</f>
        <v>x</v>
      </c>
      <c r="BM115" s="111"/>
      <c r="BN115" s="111"/>
      <c r="BO115" s="111"/>
      <c r="BP115" s="111"/>
      <c r="BQ115" s="111"/>
      <c r="BR115" s="111"/>
      <c r="BS115" s="112" t="str">
        <f t="shared" si="26"/>
        <v>x</v>
      </c>
      <c r="BT115" s="112"/>
      <c r="BU115" s="111"/>
      <c r="BV115" s="112" t="str">
        <f t="shared" si="27"/>
        <v>x</v>
      </c>
      <c r="BW115" s="112" t="str">
        <f>HYPERLINK("http://www.welcomegrooves.de/wp-content/uploads/2015/10/welcomegrooves_DE-BOSNISCH-SERBISCH_latein.pdf","x")</f>
        <v>x</v>
      </c>
      <c r="BX115" s="112"/>
      <c r="BY115" s="112"/>
      <c r="BZ115" s="112"/>
      <c r="CA115" s="112" t="str">
        <f t="shared" si="28"/>
        <v>x</v>
      </c>
      <c r="CB115" s="112" t="str">
        <f t="shared" si="29"/>
        <v>x</v>
      </c>
      <c r="CC115" s="112" t="str">
        <f t="shared" si="30"/>
        <v>x</v>
      </c>
      <c r="CD115" s="112"/>
      <c r="CE115" s="112"/>
      <c r="CF115" s="111"/>
      <c r="CG115" s="112" t="str">
        <f>HYPERLINK("http://www.braunschweig.de/leben/frauen/hilfe/Ohne-Gewalt-leben.pdf","x")</f>
        <v>x</v>
      </c>
      <c r="CH115" s="112"/>
      <c r="CI115" s="112"/>
      <c r="CJ115" s="112"/>
      <c r="CK115" s="112" t="str">
        <f t="shared" si="31"/>
        <v>x</v>
      </c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5"/>
      <c r="DD115" s="112"/>
      <c r="DE115" s="112"/>
      <c r="DF115" s="112" t="str">
        <f t="shared" si="32"/>
        <v>x</v>
      </c>
      <c r="DG115" s="115" t="str">
        <f t="shared" si="33"/>
        <v>x</v>
      </c>
      <c r="DH115" s="112" t="str">
        <f t="shared" si="34"/>
        <v>x</v>
      </c>
      <c r="DI115" s="112" t="str">
        <f t="shared" si="35"/>
        <v>x</v>
      </c>
      <c r="DJ115" s="112" t="str">
        <f>HYPERLINK("http://www.bibliomedia.ch/de/angebote/dokumente/Glossar_bosnisch.pdf","x")</f>
        <v>x</v>
      </c>
      <c r="DK115" s="112"/>
      <c r="DL115" s="112"/>
      <c r="DM115" s="112"/>
      <c r="DN115" s="112"/>
      <c r="DO115" s="112"/>
      <c r="DP115" s="111"/>
      <c r="DQ115" s="111"/>
      <c r="DR115" s="111"/>
      <c r="DS115" s="112" t="str">
        <f>HYPERLINK("http://bildung.koeln.de/materialbibliothek/download.php?idx=b4f04228ed86f03198250a7acd852a37","x")</f>
        <v>x</v>
      </c>
      <c r="DT115" s="112" t="str">
        <f>HYPERLINK("http://bildung.koeln.de/materialbibliothek/download.php?idx=a6b4538da040042ad863645437a8d288","x")</f>
        <v>x</v>
      </c>
      <c r="DU115" s="112"/>
      <c r="DV115" s="112" t="str">
        <f>HYPERLINK("https://www.bmbf.de/pub/Kausa_Elternbroschuere_bosn_kroat_serb.pdf","x")</f>
        <v>x</v>
      </c>
      <c r="DW115" s="111"/>
      <c r="DX115" s="111"/>
      <c r="DY115" s="111"/>
      <c r="DZ115" s="111"/>
      <c r="EA115" s="111"/>
      <c r="EB115" s="112"/>
      <c r="EC115" s="111"/>
      <c r="ED115" s="111"/>
      <c r="EE115" s="111"/>
      <c r="EF115" s="111"/>
      <c r="EG115" s="111"/>
      <c r="EH115" s="111"/>
      <c r="EI115" s="111"/>
      <c r="EJ115" s="112"/>
      <c r="EK115" s="112"/>
      <c r="EL115" s="111"/>
      <c r="EM115" s="112" t="str">
        <f>HYPERLINK("http://www.kvs-sachsen.de/fileadmin/img/Mitglieder/Asylbewerber/Allg-Informationen/Anlage_1_Bosnisch_LEK.pdf","x")</f>
        <v>x</v>
      </c>
      <c r="EN115" s="111"/>
      <c r="EO115" s="111"/>
      <c r="EP115" s="118"/>
      <c r="EQ115" s="118"/>
      <c r="ER115" s="112" t="str">
        <f>HYPERLINK("http://www.kvs-sachsen.de/fileadmin/img/Mitglieder/Asylbewerber/Allg-Informationen/Anlagen_2-1_2-2_Bosnisch_LEK.pdf","x")</f>
        <v>x</v>
      </c>
      <c r="ES115" s="112"/>
      <c r="ET115" s="112"/>
      <c r="EU115" s="111"/>
      <c r="EV115" s="111"/>
      <c r="EW115" s="112" t="str">
        <f t="shared" si="36"/>
        <v>x</v>
      </c>
      <c r="EX115" s="111"/>
      <c r="EY115" s="111"/>
      <c r="EZ115" s="111"/>
      <c r="FA115" s="111"/>
      <c r="FB115" s="111"/>
      <c r="FC115" s="111"/>
      <c r="FD115" s="112" t="str">
        <f t="shared" si="37"/>
        <v>x</v>
      </c>
      <c r="FE115" s="112" t="str">
        <f>HYPERLINK("http://sghanstedt.elbnetz.com/ueber-uns/","x")</f>
        <v>x</v>
      </c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2" t="str">
        <f t="shared" si="38"/>
        <v>x</v>
      </c>
      <c r="HD115" s="111"/>
      <c r="HE115" s="111"/>
      <c r="HF115" s="111"/>
      <c r="HG115" s="111"/>
      <c r="HH115" s="111"/>
      <c r="HI115" s="111"/>
      <c r="HJ115" s="111"/>
      <c r="HK115" s="112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2" t="str">
        <f t="shared" si="39"/>
        <v>x</v>
      </c>
      <c r="HZ115" s="112" t="str">
        <f t="shared" si="40"/>
        <v>x</v>
      </c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2"/>
      <c r="IL115" s="111"/>
      <c r="IM115" s="111"/>
      <c r="IN115" s="111"/>
      <c r="IO115" s="111"/>
      <c r="IP115" s="111"/>
      <c r="IQ115" s="112"/>
      <c r="IR115" s="112"/>
      <c r="IS115" s="111"/>
      <c r="IT115" s="111"/>
      <c r="IU115" s="111"/>
      <c r="IV115" s="112" t="str">
        <f>HYPERLINK("http://www.asyl.net/fileadmin/user_upload/infoblatt_anhoerung/Infoblatt_2015_bosn_fin.pdf","x")</f>
        <v>x</v>
      </c>
      <c r="IW115" s="112"/>
      <c r="IX115" s="112"/>
      <c r="IY115" s="112"/>
      <c r="IZ115" s="111"/>
      <c r="JA115" s="111"/>
      <c r="JB115" s="111"/>
      <c r="JC115" s="112"/>
      <c r="JD115" s="111"/>
      <c r="JE115" s="112"/>
      <c r="JF115" s="112"/>
      <c r="JG115" s="111"/>
      <c r="JH115" s="111"/>
      <c r="JI115" s="111"/>
      <c r="JJ115" s="112"/>
      <c r="JK115" s="112"/>
      <c r="JL115" s="112"/>
      <c r="JM115" s="112"/>
      <c r="JN115" s="112"/>
      <c r="JO115" s="112"/>
      <c r="JP115" s="112"/>
      <c r="JQ115" s="112"/>
      <c r="JR115" s="112"/>
      <c r="JS115" s="112"/>
      <c r="JT115" s="111"/>
      <c r="JU115" s="111"/>
      <c r="JV115" s="111"/>
      <c r="JW115" s="112"/>
      <c r="JX115" s="112"/>
      <c r="JY115" s="111"/>
      <c r="JZ115" s="111"/>
      <c r="KA115" s="111"/>
      <c r="KB115" s="111"/>
      <c r="KC115" s="111"/>
      <c r="KD115" s="111"/>
      <c r="KE115" s="111"/>
      <c r="KF115" s="111"/>
      <c r="KG115" s="111"/>
      <c r="KH115" s="111"/>
      <c r="KI115" s="111"/>
      <c r="KJ115" s="111"/>
      <c r="KK115" s="111"/>
      <c r="KL115" s="111"/>
      <c r="KM115" s="111"/>
      <c r="KN115" s="111"/>
      <c r="KO115" s="111"/>
      <c r="KP115" s="111"/>
      <c r="KQ115" s="111"/>
      <c r="KR115" s="111"/>
      <c r="KS115" s="111"/>
      <c r="KT115" s="111"/>
      <c r="KU115" s="111"/>
      <c r="KV115" s="111"/>
      <c r="KW115" s="111"/>
      <c r="KX115" s="111"/>
      <c r="KY115" s="111"/>
      <c r="KZ115" s="111"/>
      <c r="LA115" s="111"/>
      <c r="LB115" s="111"/>
      <c r="LC115" s="111"/>
      <c r="LD115" s="111"/>
      <c r="LE115" s="111"/>
      <c r="LF115" s="111"/>
      <c r="LG115" s="111"/>
      <c r="LH115" s="111"/>
      <c r="LI115" s="111"/>
      <c r="LJ115" s="111"/>
      <c r="LK115" s="111"/>
      <c r="LL115" s="111"/>
      <c r="LM115" s="111"/>
      <c r="LN115" s="111"/>
      <c r="LO115" s="111"/>
      <c r="LP115" s="111"/>
      <c r="LQ115" s="111"/>
      <c r="LR115" s="111"/>
      <c r="LS115" s="111"/>
      <c r="LT115" s="111"/>
      <c r="LU115" s="111"/>
      <c r="LV115" s="111"/>
      <c r="LW115" s="111"/>
      <c r="LX115" s="111"/>
      <c r="LY115" s="111"/>
      <c r="LZ115" s="111"/>
      <c r="MA115" s="111"/>
      <c r="MB115" s="111"/>
      <c r="MC115" s="111"/>
      <c r="MD115" s="111"/>
      <c r="ME115" s="111"/>
      <c r="MF115" s="111"/>
      <c r="MG115" s="111"/>
      <c r="MH115" s="111"/>
      <c r="MI115" s="111"/>
    </row>
    <row r="116" spans="1:347" x14ac:dyDescent="0.25">
      <c r="A116" s="102" t="s">
        <v>47</v>
      </c>
      <c r="B116" s="127" t="s">
        <v>152</v>
      </c>
      <c r="C116" s="102"/>
      <c r="D116" s="102"/>
      <c r="E116" s="102"/>
      <c r="F116" s="102"/>
      <c r="G116" s="102"/>
      <c r="H116" s="102"/>
      <c r="I116" s="102"/>
      <c r="J116" s="102"/>
      <c r="K116" s="103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3"/>
      <c r="AW116" s="114" t="str">
        <f t="shared" si="22"/>
        <v>x</v>
      </c>
      <c r="AX116" s="114" t="str">
        <f t="shared" si="23"/>
        <v>x</v>
      </c>
      <c r="AY116" s="111"/>
      <c r="AZ116" s="111"/>
      <c r="BA116" s="112" t="str">
        <f t="shared" si="24"/>
        <v>x</v>
      </c>
      <c r="BB116" s="112" t="str">
        <f t="shared" si="25"/>
        <v>x</v>
      </c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2" t="str">
        <f t="shared" si="26"/>
        <v>x</v>
      </c>
      <c r="BT116" s="112"/>
      <c r="BU116" s="111"/>
      <c r="BV116" s="112" t="str">
        <f t="shared" si="27"/>
        <v>x</v>
      </c>
      <c r="BW116" s="112"/>
      <c r="BX116" s="112"/>
      <c r="BY116" s="112"/>
      <c r="BZ116" s="112"/>
      <c r="CA116" s="112" t="str">
        <f t="shared" si="28"/>
        <v>x</v>
      </c>
      <c r="CB116" s="112" t="str">
        <f t="shared" si="29"/>
        <v>x</v>
      </c>
      <c r="CC116" s="112" t="str">
        <f t="shared" si="30"/>
        <v>x</v>
      </c>
      <c r="CD116" s="112"/>
      <c r="CE116" s="112"/>
      <c r="CF116" s="111"/>
      <c r="CG116" s="111"/>
      <c r="CH116" s="111"/>
      <c r="CI116" s="111"/>
      <c r="CJ116" s="111"/>
      <c r="CK116" s="112" t="str">
        <f t="shared" si="31"/>
        <v>x</v>
      </c>
      <c r="CL116" s="112"/>
      <c r="CM116" s="112"/>
      <c r="CN116" s="112"/>
      <c r="CO116" s="112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2"/>
      <c r="DA116" s="112"/>
      <c r="DB116" s="112"/>
      <c r="DC116" s="115"/>
      <c r="DD116" s="112"/>
      <c r="DE116" s="112"/>
      <c r="DF116" s="112" t="str">
        <f t="shared" si="32"/>
        <v>x</v>
      </c>
      <c r="DG116" s="115" t="str">
        <f t="shared" si="33"/>
        <v>x</v>
      </c>
      <c r="DH116" s="112" t="str">
        <f t="shared" si="34"/>
        <v>x</v>
      </c>
      <c r="DI116" s="112" t="str">
        <f t="shared" si="35"/>
        <v>x</v>
      </c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8"/>
      <c r="EQ116" s="118"/>
      <c r="ER116" s="111"/>
      <c r="ES116" s="111"/>
      <c r="ET116" s="111"/>
      <c r="EU116" s="111"/>
      <c r="EV116" s="111"/>
      <c r="EW116" s="112" t="str">
        <f t="shared" si="36"/>
        <v>x</v>
      </c>
      <c r="EX116" s="111"/>
      <c r="EY116" s="111"/>
      <c r="EZ116" s="111"/>
      <c r="FA116" s="111"/>
      <c r="FB116" s="111"/>
      <c r="FC116" s="111"/>
      <c r="FD116" s="112" t="str">
        <f t="shared" si="37"/>
        <v>x</v>
      </c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2" t="str">
        <f t="shared" si="38"/>
        <v>x</v>
      </c>
      <c r="HD116" s="112" t="str">
        <f>HYPERLINK("https://www.zahnaerzte-wl.de/images/_PDF-suche/KZV_ZÄK/ENDSTAND_Ankreuzbogen_Ich_verstehe.pdf","x")</f>
        <v>x</v>
      </c>
      <c r="HE116" s="112" t="str">
        <f>HYPERLINK("https://www.zahnaerzte-wl.de/images/_PDF-suche/KZV_ZÄK/Anschreiben_Patienten_montenegrisch.pdf","x")</f>
        <v>x</v>
      </c>
      <c r="HF116" s="112" t="str">
        <f>HYPERLINK("https://www.zahnaerzte-wl.de/images/_PDF-suche/KZV_ZÄK/Fragebogen_montenegrisch.pdf","x")</f>
        <v>x</v>
      </c>
      <c r="HG116" s="112" t="str">
        <f>HYPERLINK("https://www.zahnaerzte-wl.de/images/_PDF-suche/KZV_ZÄK/Patientenerhebungsbogen_montenegrisch.pdf","x")</f>
        <v>x</v>
      </c>
      <c r="HH116" s="112"/>
      <c r="HI116" s="112"/>
      <c r="HJ116" s="112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2" t="str">
        <f t="shared" si="39"/>
        <v>x</v>
      </c>
      <c r="HZ116" s="112" t="str">
        <f t="shared" si="40"/>
        <v>x</v>
      </c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1"/>
      <c r="IZ116" s="111"/>
      <c r="JA116" s="111"/>
      <c r="JB116" s="111"/>
      <c r="JC116" s="111"/>
      <c r="JD116" s="111"/>
      <c r="JE116" s="111"/>
      <c r="JF116" s="111"/>
      <c r="JG116" s="111"/>
      <c r="JH116" s="111"/>
      <c r="JI116" s="111"/>
      <c r="JJ116" s="111"/>
      <c r="JK116" s="111"/>
      <c r="JL116" s="111"/>
      <c r="JM116" s="111"/>
      <c r="JN116" s="111"/>
      <c r="JO116" s="111"/>
      <c r="JP116" s="111"/>
      <c r="JQ116" s="111"/>
      <c r="JR116" s="111"/>
      <c r="JS116" s="111"/>
      <c r="JT116" s="111"/>
      <c r="JU116" s="111"/>
      <c r="JV116" s="111"/>
      <c r="JW116" s="111"/>
      <c r="JX116" s="111"/>
      <c r="JY116" s="111"/>
      <c r="JZ116" s="111"/>
      <c r="KA116" s="111"/>
      <c r="KB116" s="111"/>
      <c r="KC116" s="111"/>
      <c r="KD116" s="111"/>
      <c r="KE116" s="111"/>
      <c r="KF116" s="111"/>
      <c r="KG116" s="111"/>
      <c r="KH116" s="111"/>
      <c r="KI116" s="111"/>
      <c r="KJ116" s="111"/>
      <c r="KK116" s="111"/>
      <c r="KL116" s="111"/>
      <c r="KM116" s="111"/>
      <c r="KN116" s="111"/>
      <c r="KO116" s="111"/>
      <c r="KP116" s="111"/>
      <c r="KQ116" s="111"/>
      <c r="KR116" s="111"/>
      <c r="KS116" s="111"/>
      <c r="KT116" s="111"/>
      <c r="KU116" s="111"/>
      <c r="KV116" s="111"/>
      <c r="KW116" s="111"/>
      <c r="KX116" s="111"/>
      <c r="KY116" s="111"/>
      <c r="KZ116" s="111"/>
      <c r="LA116" s="111"/>
      <c r="LB116" s="111"/>
      <c r="LC116" s="111"/>
      <c r="LD116" s="111"/>
      <c r="LE116" s="111"/>
      <c r="LF116" s="111"/>
      <c r="LG116" s="111"/>
      <c r="LH116" s="111"/>
      <c r="LI116" s="111"/>
      <c r="LJ116" s="111"/>
      <c r="LK116" s="111"/>
      <c r="LL116" s="111"/>
      <c r="LM116" s="111"/>
      <c r="LN116" s="111"/>
      <c r="LO116" s="111"/>
      <c r="LP116" s="111"/>
      <c r="LQ116" s="111"/>
      <c r="LR116" s="111"/>
      <c r="LS116" s="111"/>
      <c r="LT116" s="111"/>
      <c r="LU116" s="111"/>
      <c r="LV116" s="111"/>
      <c r="LW116" s="111"/>
      <c r="LX116" s="111"/>
      <c r="LY116" s="111"/>
      <c r="LZ116" s="111"/>
      <c r="MA116" s="111"/>
      <c r="MB116" s="111"/>
      <c r="MC116" s="111"/>
      <c r="MD116" s="111"/>
      <c r="ME116" s="111"/>
      <c r="MF116" s="111"/>
      <c r="MG116" s="111"/>
      <c r="MH116" s="111"/>
      <c r="MI116" s="111"/>
    </row>
    <row r="117" spans="1:347" x14ac:dyDescent="0.25">
      <c r="A117" s="102" t="s">
        <v>47</v>
      </c>
      <c r="B117" s="127" t="s">
        <v>153</v>
      </c>
      <c r="C117" s="102"/>
      <c r="D117" s="102"/>
      <c r="E117" s="102"/>
      <c r="F117" s="102"/>
      <c r="G117" s="102"/>
      <c r="H117" s="102"/>
      <c r="I117" s="102"/>
      <c r="J117" s="102"/>
      <c r="K117" s="103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3"/>
      <c r="AW117" s="114" t="str">
        <f t="shared" si="22"/>
        <v>x</v>
      </c>
      <c r="AX117" s="114" t="str">
        <f t="shared" si="23"/>
        <v>x</v>
      </c>
      <c r="AY117" s="111"/>
      <c r="AZ117" s="111"/>
      <c r="BA117" s="112" t="str">
        <f t="shared" si="24"/>
        <v>x</v>
      </c>
      <c r="BB117" s="112" t="str">
        <f t="shared" si="25"/>
        <v>x</v>
      </c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2" t="str">
        <f t="shared" si="26"/>
        <v>x</v>
      </c>
      <c r="BT117" s="112"/>
      <c r="BU117" s="111"/>
      <c r="BV117" s="112" t="str">
        <f t="shared" si="27"/>
        <v>x</v>
      </c>
      <c r="BW117" s="112"/>
      <c r="BX117" s="112"/>
      <c r="BY117" s="112"/>
      <c r="BZ117" s="112"/>
      <c r="CA117" s="112" t="str">
        <f t="shared" si="28"/>
        <v>x</v>
      </c>
      <c r="CB117" s="112" t="str">
        <f t="shared" si="29"/>
        <v>x</v>
      </c>
      <c r="CC117" s="112" t="str">
        <f t="shared" si="30"/>
        <v>x</v>
      </c>
      <c r="CD117" s="112"/>
      <c r="CE117" s="112"/>
      <c r="CF117" s="111"/>
      <c r="CG117" s="111"/>
      <c r="CH117" s="111"/>
      <c r="CI117" s="111"/>
      <c r="CJ117" s="111"/>
      <c r="CK117" s="112" t="str">
        <f t="shared" si="31"/>
        <v>x</v>
      </c>
      <c r="CL117" s="112"/>
      <c r="CM117" s="112"/>
      <c r="CN117" s="112"/>
      <c r="CO117" s="112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2"/>
      <c r="DA117" s="112"/>
      <c r="DB117" s="112"/>
      <c r="DC117" s="115"/>
      <c r="DD117" s="112"/>
      <c r="DE117" s="112"/>
      <c r="DF117" s="112" t="str">
        <f t="shared" si="32"/>
        <v>x</v>
      </c>
      <c r="DG117" s="115" t="str">
        <f t="shared" si="33"/>
        <v>x</v>
      </c>
      <c r="DH117" s="112" t="str">
        <f t="shared" si="34"/>
        <v>x</v>
      </c>
      <c r="DI117" s="112" t="str">
        <f t="shared" si="35"/>
        <v>x</v>
      </c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2" t="str">
        <f>HYPERLINK("http://bildung.koeln.de/materialbibliothek/download.php?idx=ffca9a983564046e13193e94deeff609","x")</f>
        <v>x</v>
      </c>
      <c r="DT117" s="112" t="str">
        <f>HYPERLINK("http://bildung.koeln.de/materialbibliothek/download.php?idx=1a02e789389f6b5edac5f907fb9f00d3","x")</f>
        <v>x</v>
      </c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8"/>
      <c r="EQ117" s="118"/>
      <c r="ER117" s="111"/>
      <c r="ES117" s="111"/>
      <c r="ET117" s="111"/>
      <c r="EU117" s="111"/>
      <c r="EV117" s="111"/>
      <c r="EW117" s="112" t="str">
        <f t="shared" si="36"/>
        <v>x</v>
      </c>
      <c r="EX117" s="111"/>
      <c r="EY117" s="111"/>
      <c r="EZ117" s="111"/>
      <c r="FA117" s="111"/>
      <c r="FB117" s="111"/>
      <c r="FC117" s="111"/>
      <c r="FD117" s="112" t="str">
        <f t="shared" si="37"/>
        <v>x</v>
      </c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2" t="str">
        <f t="shared" si="38"/>
        <v>x</v>
      </c>
      <c r="HD117" s="112" t="str">
        <f>HYPERLINK("https://www.zahnaerzte-wl.de/images/_PDF-suche/KZV_ZÄK/ENDSTAND_Ankreuzbogen_Ich_verstehe.pdf","x")</f>
        <v>x</v>
      </c>
      <c r="HE117" s="112" t="str">
        <f>HYPERLINK("https://www.zahnaerzte-wl.de/images/_PDF-suche/KZV_ZÄK/Anschreiben_romani.pdf","x")</f>
        <v>x</v>
      </c>
      <c r="HF117" s="112" t="str">
        <f>HYPERLINK("https://www.zahnaerzte-wl.de/images/_PDF-suche/KZV_ZÄK/Fragebogen_romani.pdf","x")</f>
        <v>x</v>
      </c>
      <c r="HG117" s="112" t="str">
        <f>HYPERLINK("https://www.zahnaerzte-wl.de/images/_PDF-suche/KZV_ZÄK/Patientenerhebungsbogen_romani.pdf","x")</f>
        <v>x</v>
      </c>
      <c r="HH117" s="112"/>
      <c r="HI117" s="112"/>
      <c r="HJ117" s="112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2" t="str">
        <f t="shared" si="39"/>
        <v>x</v>
      </c>
      <c r="HZ117" s="112" t="str">
        <f t="shared" si="40"/>
        <v>x</v>
      </c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1"/>
      <c r="IZ117" s="111"/>
      <c r="JA117" s="111"/>
      <c r="JB117" s="111"/>
      <c r="JC117" s="111"/>
      <c r="JD117" s="111"/>
      <c r="JE117" s="111"/>
      <c r="JF117" s="111"/>
      <c r="JG117" s="111"/>
      <c r="JH117" s="111"/>
      <c r="JI117" s="111"/>
      <c r="JJ117" s="111"/>
      <c r="JK117" s="111"/>
      <c r="JL117" s="111"/>
      <c r="JM117" s="111"/>
      <c r="JN117" s="111"/>
      <c r="JO117" s="111"/>
      <c r="JP117" s="111"/>
      <c r="JQ117" s="111"/>
      <c r="JR117" s="111"/>
      <c r="JS117" s="111"/>
      <c r="JT117" s="111"/>
      <c r="JU117" s="111"/>
      <c r="JV117" s="111"/>
      <c r="JW117" s="111"/>
      <c r="JX117" s="111"/>
      <c r="JY117" s="111"/>
      <c r="JZ117" s="111"/>
      <c r="KA117" s="111"/>
      <c r="KB117" s="111"/>
      <c r="KC117" s="111"/>
      <c r="KD117" s="111"/>
      <c r="KE117" s="111"/>
      <c r="KF117" s="111"/>
      <c r="KG117" s="111"/>
      <c r="KH117" s="111"/>
      <c r="KI117" s="111"/>
      <c r="KJ117" s="111"/>
      <c r="KK117" s="111"/>
      <c r="KL117" s="111"/>
      <c r="KM117" s="111"/>
      <c r="KN117" s="111"/>
      <c r="KO117" s="111"/>
      <c r="KP117" s="111"/>
      <c r="KQ117" s="111"/>
      <c r="KR117" s="111"/>
      <c r="KS117" s="111"/>
      <c r="KT117" s="111"/>
      <c r="KU117" s="111"/>
      <c r="KV117" s="111"/>
      <c r="KW117" s="111"/>
      <c r="KX117" s="111"/>
      <c r="KY117" s="111"/>
      <c r="KZ117" s="111"/>
      <c r="LA117" s="111"/>
      <c r="LB117" s="111"/>
      <c r="LC117" s="111"/>
      <c r="LD117" s="111"/>
      <c r="LE117" s="111"/>
      <c r="LF117" s="111"/>
      <c r="LG117" s="111"/>
      <c r="LH117" s="111"/>
      <c r="LI117" s="111"/>
      <c r="LJ117" s="111"/>
      <c r="LK117" s="111"/>
      <c r="LL117" s="111"/>
      <c r="LM117" s="111"/>
      <c r="LN117" s="111"/>
      <c r="LO117" s="111"/>
      <c r="LP117" s="111"/>
      <c r="LQ117" s="111"/>
      <c r="LR117" s="111"/>
      <c r="LS117" s="111"/>
      <c r="LT117" s="111"/>
      <c r="LU117" s="111"/>
      <c r="LV117" s="111"/>
      <c r="LW117" s="111"/>
      <c r="LX117" s="111"/>
      <c r="LY117" s="111"/>
      <c r="LZ117" s="111"/>
      <c r="MA117" s="111"/>
      <c r="MB117" s="111"/>
      <c r="MC117" s="111"/>
      <c r="MD117" s="111"/>
      <c r="ME117" s="111"/>
      <c r="MF117" s="111"/>
      <c r="MG117" s="111"/>
      <c r="MH117" s="111"/>
      <c r="MI117" s="111"/>
    </row>
    <row r="118" spans="1:347" x14ac:dyDescent="0.25">
      <c r="A118" s="102" t="s">
        <v>47</v>
      </c>
      <c r="B118" s="127" t="s">
        <v>9</v>
      </c>
      <c r="C118" s="102"/>
      <c r="D118" s="102"/>
      <c r="E118" s="102"/>
      <c r="F118" s="102"/>
      <c r="G118" s="102"/>
      <c r="H118" s="102"/>
      <c r="I118" s="102"/>
      <c r="J118" s="102"/>
      <c r="K118" s="103"/>
      <c r="L118" s="111"/>
      <c r="M118" s="111"/>
      <c r="N118" s="112" t="str">
        <f>HYPERLINK("http://www.ag-fluechtlingshilfe-wetterau.de/uploads/infos/170.pdf","x")</f>
        <v>x</v>
      </c>
      <c r="O118" s="112"/>
      <c r="P118" s="112" t="str">
        <f>HYPERLINK("http://www.awb-ahrweiler.de/admin/data/ddownload/Abfall%20Sonderhinweise-Serbisch%202015.pdf","x")</f>
        <v>x</v>
      </c>
      <c r="Q118" s="112"/>
      <c r="R118" s="112"/>
      <c r="S118" s="112"/>
      <c r="T118" s="112"/>
      <c r="U118" s="112"/>
      <c r="V118" s="112"/>
      <c r="W118" s="111"/>
      <c r="X118" s="112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2" t="str">
        <f>HYPERLINK("http://sghanstedt.elbnetz.com/ueber-uns/","x")</f>
        <v>x</v>
      </c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3"/>
      <c r="AW118" s="114" t="str">
        <f t="shared" si="22"/>
        <v>x</v>
      </c>
      <c r="AX118" s="114" t="str">
        <f t="shared" si="23"/>
        <v>x</v>
      </c>
      <c r="AY118" s="111"/>
      <c r="AZ118" s="111"/>
      <c r="BA118" s="112" t="str">
        <f t="shared" si="24"/>
        <v>x</v>
      </c>
      <c r="BB118" s="112" t="str">
        <f t="shared" si="25"/>
        <v>x</v>
      </c>
      <c r="BC118" s="111"/>
      <c r="BD118" s="111"/>
      <c r="BE118" s="111"/>
      <c r="BF118" s="111"/>
      <c r="BG118" s="111"/>
      <c r="BH118" s="112" t="str">
        <f>HYPERLINK("http://www.refugeephrasebook.de/pdf/germany150920.pdf","x")</f>
        <v>x</v>
      </c>
      <c r="BI118" s="112" t="str">
        <f>HYPERLINK("https://www.advanced-online.eu/downloads/RefugeePhrasebookCards_German-Bosnian-Croatian-Serbian.pdf","x")</f>
        <v>x</v>
      </c>
      <c r="BJ118" s="111"/>
      <c r="BK118" s="111"/>
      <c r="BL118" s="112" t="str">
        <f>HYPERLINK("http://www.bundessprachenamt.de/deutsch/wir_ueber_uns/nachrichten/2015/20151103/Verständigungshilfe_Serbisch_07_12_2015.pdf","x")</f>
        <v>x</v>
      </c>
      <c r="BM118" s="112" t="str">
        <f>HYPERLINK("http://www.frnrw.de/images/Aus_den_Initiativen/Ehrenamtler/2015/Dictionary_x10_print-2.pdf","x")</f>
        <v>x</v>
      </c>
      <c r="BN118" s="111"/>
      <c r="BO118" s="111"/>
      <c r="BP118" s="111"/>
      <c r="BQ118" s="111"/>
      <c r="BR118" s="111"/>
      <c r="BS118" s="112" t="str">
        <f t="shared" si="26"/>
        <v>x</v>
      </c>
      <c r="BT118" s="112"/>
      <c r="BU118" s="111"/>
      <c r="BV118" s="112" t="str">
        <f t="shared" si="27"/>
        <v>x</v>
      </c>
      <c r="BW118" s="112" t="str">
        <f>HYPERLINK("http://www.welcomegrooves.de/wp-content/uploads/2015/10/welcomegrooves_DE-BOSNISCH-SERBISCH_latein.pdf","x")</f>
        <v>x</v>
      </c>
      <c r="BX118" s="112"/>
      <c r="BY118" s="112"/>
      <c r="BZ118" s="112"/>
      <c r="CA118" s="112" t="str">
        <f t="shared" si="28"/>
        <v>x</v>
      </c>
      <c r="CB118" s="112" t="str">
        <f t="shared" si="29"/>
        <v>x</v>
      </c>
      <c r="CC118" s="112" t="str">
        <f t="shared" si="30"/>
        <v>x</v>
      </c>
      <c r="CD118" s="112"/>
      <c r="CE118" s="112"/>
      <c r="CF118" s="111"/>
      <c r="CG118" s="112" t="str">
        <f>HYPERLINK("http://www.braunschweig.de/leben/frauen/hilfe/Ohne-Gewalt-leben.pdf","x")</f>
        <v>x</v>
      </c>
      <c r="CH118" s="112" t="str">
        <f>HYPERLINK("http://mifkjf.rlp.de/fileadmin/mifkjf/Frauen/Gewalt_gegen_Frauen/Downloads/Broschueren_Flyer/Flyer_Gewalt_serbisch.pdf","x")</f>
        <v>x</v>
      </c>
      <c r="CI118" s="112"/>
      <c r="CJ118" s="112" t="str">
        <f>HYPERLINK("https://www.hilfetelefon.de/fileadmin/hilfetelefon_de/Materialien/weitere_werbemittel/Klappflyer_Vorder-_und_Rueckseite_opt2.pdf","x")</f>
        <v>x</v>
      </c>
      <c r="CK118" s="112" t="str">
        <f t="shared" si="31"/>
        <v>x</v>
      </c>
      <c r="CL118" s="112"/>
      <c r="CM118" s="112"/>
      <c r="CN118" s="112"/>
      <c r="CO118" s="112"/>
      <c r="CP118" s="112" t="str">
        <f>HYPERLINK("http://www.schwanger-und-viele-fragen.de/sr/","x")</f>
        <v>x</v>
      </c>
      <c r="CQ118" s="112"/>
      <c r="CR118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118" s="112"/>
      <c r="CT118" s="112"/>
      <c r="CU118" s="112"/>
      <c r="CV118" s="112"/>
      <c r="CW118" s="112"/>
      <c r="CX118" s="112"/>
      <c r="CY118" s="112"/>
      <c r="CZ118" s="112"/>
      <c r="DA118" s="112" t="str">
        <f>HYPERLINK("http://sichere-orte-schaffen.de/wp-content/uploads/Minibrosch_Fluechtlinge_multilang.pdf","x")</f>
        <v>x</v>
      </c>
      <c r="DB118" s="112"/>
      <c r="DC118" s="115"/>
      <c r="DD118" s="112"/>
      <c r="DE118" s="112"/>
      <c r="DF118" s="112" t="str">
        <f t="shared" si="32"/>
        <v>x</v>
      </c>
      <c r="DG118" s="115" t="str">
        <f t="shared" si="33"/>
        <v>x</v>
      </c>
      <c r="DH118" s="112" t="str">
        <f t="shared" si="34"/>
        <v>x</v>
      </c>
      <c r="DI118" s="112" t="str">
        <f t="shared" si="35"/>
        <v>x</v>
      </c>
      <c r="DJ118" s="112" t="str">
        <f>HYPERLINK("http://www.bibliomedia.ch/de/angebote/dokumente/Glossar_serbisch.pdf","x")</f>
        <v>x</v>
      </c>
      <c r="DK118" s="112"/>
      <c r="DL118" s="112" t="str">
        <f>HYPERLINK("http://www.carlsen.de/sites/default/files/Walter-ebook_serbisch_klein.pdf","x")</f>
        <v>x</v>
      </c>
      <c r="DM118" s="112"/>
      <c r="DN118" s="112"/>
      <c r="DO118" s="112"/>
      <c r="DP118" s="111"/>
      <c r="DQ118" s="112" t="str">
        <f>HYPERLINK("http://tipdoc.de/bus/grafik/kinder-tip/SCHULTIP_give_BulgRoSRB.pdf","x")</f>
        <v>x</v>
      </c>
      <c r="DR118" s="111"/>
      <c r="DS118" s="112" t="str">
        <f>HYPERLINK("http://bildung.koeln.de/materialbibliothek/download.php?idx=f09a11728f4654f447ae3a08d82e9a14","x")</f>
        <v>x</v>
      </c>
      <c r="DT118" s="112" t="str">
        <f>HYPERLINK("http://bildung.koeln.de/materialbibliothek/download.php?idx=710a401fffc6b79562005c71273ff463","x")</f>
        <v>x</v>
      </c>
      <c r="DU118" s="111"/>
      <c r="DV118" s="112" t="str">
        <f>HYPERLINK("https://www.bmbf.de/pub/Kausa_Elternbroschuere_bosn_kroat_serb.pdf","x")</f>
        <v>x</v>
      </c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2" t="str">
        <f>HYPERLINK("http://fluechtlingsrat-bw.de/files/Dateien/Dokumente/Materialbestellung/2014-12-flyer%20arbeitserlaubnis%20SRB%20WEB.pdf","x")</f>
        <v>x</v>
      </c>
      <c r="EL118" s="111"/>
      <c r="EM118" s="112" t="str">
        <f>HYPERLINK("http://www.kvs-sachsen.de/fileadmin/img/Mitglieder/Asylbewerber/Allg-Informationen/Anlage_1_Serbisch_LEK.pdf","x")</f>
        <v>x</v>
      </c>
      <c r="EN118" s="112" t="str">
        <f>HYPERLINK("http://www.medizin-hilft-fluechtlingen.de/images/Dokumente/gSch/gSch_ser.pdf","x")</f>
        <v>x</v>
      </c>
      <c r="EO118" s="112"/>
      <c r="EP118" s="117" t="str">
        <f>HYPERLINK("http://www.medi-bild.de/pdf/anamnese/Welche_Sprache.pdf","x")</f>
        <v>x</v>
      </c>
      <c r="EQ118" s="117" t="str">
        <f>HYPERLINK("http://www.medknowledge.de/migration/tipdoc/anamnesebogen/tipdoc_Anamnese_serb.pdf","x")</f>
        <v>x</v>
      </c>
      <c r="ER118" s="112" t="str">
        <f>HYPERLINK("http://www.kvs-sachsen.de/fileadmin/img/Mitglieder/Asylbewerber/Allg-Informationen/Anlagen_2-1_2-2_Serbisch_LEK.pdf","x")</f>
        <v>x</v>
      </c>
      <c r="ES118" s="111"/>
      <c r="ET118" s="111"/>
      <c r="EU118" s="112" t="str">
        <f>HYPERLINK("http://www.medizin-hilft-fluechtlingen.de/images/Dokumente/ein/ein_ser.pdf","x")</f>
        <v>x</v>
      </c>
      <c r="EV118" s="112"/>
      <c r="EW118" s="112" t="str">
        <f t="shared" si="36"/>
        <v>x</v>
      </c>
      <c r="EX118" s="111"/>
      <c r="EY118" s="111"/>
      <c r="EZ118" s="111"/>
      <c r="FA118" s="111"/>
      <c r="FB118" s="111"/>
      <c r="FC118" s="111"/>
      <c r="FD118" s="112" t="str">
        <f t="shared" si="37"/>
        <v>x</v>
      </c>
      <c r="FE118" s="112" t="str">
        <f>HYPERLINK("http://sghanstedt.elbnetz.com/ueber-uns/","x")</f>
        <v>x</v>
      </c>
      <c r="FF118" s="111"/>
      <c r="FG118" s="112" t="str">
        <f>HYPERLINK("http://www.tipdoc.de/grafik/asyl/Gesundheitsheft_Asyl.pdf","x")</f>
        <v>x</v>
      </c>
      <c r="FH118" s="111"/>
      <c r="FI118" s="111"/>
      <c r="FJ118" s="112"/>
      <c r="FK118" s="112" t="str">
        <f>HYPERLINK("http://www.rki.de/DE/Content/Infekt/Impfen/Materialien/Downloads-Impfkalender/Impfkalender_Serbisch.pdf?__blob=publicationFile","x")</f>
        <v>x</v>
      </c>
      <c r="FL118" s="112" t="str">
        <f>HYPERLINK("http://www.ethno-medizinisches-zentrum.de/images/PDF-Files/impfwegweiser_serbokroatisch_2013_online.pdf","x")</f>
        <v>x</v>
      </c>
      <c r="FM118" s="112"/>
      <c r="FN118" s="112" t="str">
        <f>HYPERLINK("http://www.rki.de/DE/Content/Infekt/Impfen/Materialien/Glossar-Downloads/glossar-de-serbisch.pdf?__blob=publicationFile","x")</f>
        <v>x</v>
      </c>
      <c r="FO118" s="112"/>
      <c r="FP118" s="112" t="str">
        <f>HYPERLINK("http://www.rki.de/DE/Content/Infekt/Impfen/Materialien/Downloads-MMR/MMR-Impfinfo-serbisch.pdf?__blob=publicationFile","x")</f>
        <v>x</v>
      </c>
      <c r="FQ118" s="111"/>
      <c r="FR118" s="112" t="str">
        <f>HYPERLINK("http://www.rki.de/DE/Content/Infekt/Impfen/Materialien/Downloads_HepA/Aufklaerung_HAV-Impfung_Serbisch.pdf?__blob=publicationFile","x")</f>
        <v>x</v>
      </c>
      <c r="FS118" s="112" t="str">
        <f>HYPERLINK("http://www.rki.de/DE/Content/Infekt/Impfen/Materialien/Downloads_Pneumokokken/Aufklaerung_Pneumo-Impfung_Serbisch.pdf?__blob=publicationFile","x")</f>
        <v>x</v>
      </c>
      <c r="FT118" s="112" t="str">
        <f>HYPERLINK("http://www.rki.de/DE/Content/Infekt/Impfen/Materialien/Downloads-DTaPIPVHibHepB/DTaPIPVHibHepB-serbisch.pdf?__blob=publicationFile","x")</f>
        <v>x</v>
      </c>
      <c r="FU118" s="112" t="str">
        <f>HYPERLINK("http://www.rki.de/DE/Content/Infekt/Impfen/Materialien/Downloads-Varizellen/Varizellen-Impfinfo-serbisch.pdf;jsessionid=65B697F4EE7EDA8A1ED9E2C4CD6C74EC.2_cid363?__blob=publicationFile","x")</f>
        <v>x</v>
      </c>
      <c r="FV118" s="112" t="str">
        <f>HYPERLINK("http://www.rki.de/DE/Content/Infekt/Impfen/Materialien/Downloads-Tdap-IPV/Tdap-IPV-serbisch.pdf?__blob=publicationFile","x")</f>
        <v>x</v>
      </c>
      <c r="FW118" s="112" t="str">
        <f>HYPERLINK("http://www.rki.de/DE/Content/Infekt/Impfen/Materialien/Downloads-Influenza_nasal/Influenza_nasal-serbisch.pdf?__blob=publicationFile","x")</f>
        <v>x</v>
      </c>
      <c r="FX118" s="111"/>
      <c r="FY118" s="111"/>
      <c r="FZ118" s="111"/>
      <c r="GA118" s="111"/>
      <c r="GB118" s="111"/>
      <c r="GC118" s="111"/>
      <c r="GD118" s="112" t="str">
        <f>HYPERLINK("http://www.ethno-medizinisches-zentrum.de/images/PDF-Files/lf_diabete_serbokroatisch.pdf","x")</f>
        <v>x</v>
      </c>
      <c r="GE118" s="111"/>
      <c r="GF118" s="111"/>
      <c r="GG118" s="111"/>
      <c r="GH118" s="112"/>
      <c r="GI118" s="111"/>
      <c r="GJ118" s="111"/>
      <c r="GK118" s="112" t="str">
        <f>HYPERLINK("http://www.tipdoc.de/bus/pdf/hiv/HIV%20SRF_Webseite.pdf","x")</f>
        <v>x</v>
      </c>
      <c r="GL118" s="111"/>
      <c r="GM118" s="112" t="str">
        <f>HYPERLINK("http://www.rki.de/DE/Content/Infekt/Impfen/Materialien/Downloads-Influenza/Influenza-serbisch.pdf?__blob=publicationFile","x")</f>
        <v>x</v>
      </c>
      <c r="GN118" s="111"/>
      <c r="GO118" s="111"/>
      <c r="GP118" s="112" t="str">
        <f>HYPERLINK("http://www.tipdoc.de/grafik/pdf/kopflaeuse/Kopflaeuse_SERB.pdf","x")</f>
        <v>x</v>
      </c>
      <c r="GQ118" s="112"/>
      <c r="GR118" s="112" t="str">
        <f>HYPERLINK("http://www.tipdoc.com/bus/pdf/kraetze/tipdoc_Scabies_SERB.pdf","x")</f>
        <v>x</v>
      </c>
      <c r="GS118" s="112" t="str">
        <f>HYPERLINK("http://www.tipdoc.com/bus/pdf/MagenDarmHaende/MagenDarmHaende_SERB.pdf","x")</f>
        <v>x</v>
      </c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2" t="str">
        <f t="shared" si="38"/>
        <v>x</v>
      </c>
      <c r="HD118" s="111"/>
      <c r="HE118" s="111"/>
      <c r="HF118" s="111"/>
      <c r="HG118" s="111"/>
      <c r="HH118" s="111"/>
      <c r="HI118" s="111"/>
      <c r="HJ118" s="111"/>
      <c r="HK118" s="112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2" t="str">
        <f>HYPERLINK("http://www.bkk-psychisch-gesund.de/fileadmin/user_upload/Dokumente/Versicherte/Broschueren/Wegweiser_Psychotherapie_serbokroatisch.pdf","x")</f>
        <v>x</v>
      </c>
      <c r="HY118" s="112" t="str">
        <f t="shared" si="39"/>
        <v>x</v>
      </c>
      <c r="HZ118" s="112" t="str">
        <f t="shared" si="40"/>
        <v>x</v>
      </c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2" t="str">
        <f>HYPERLINK("http://www.berlin.de/labo/willkommen-in-berlin/service/downloads/artikel.273193.php","x")</f>
        <v>x</v>
      </c>
      <c r="IY118" s="112" t="str">
        <f>HYPERLINK("http://www.bamf.de/SharedDocs/Anlagen/DE/Publikationen/Broschueren/broschuere-eat-a4-sr-serbisch.pdf?__blob=publicationFile","x")</f>
        <v>x</v>
      </c>
      <c r="IZ118" s="111"/>
      <c r="JA118" s="111"/>
      <c r="JB118" s="111"/>
      <c r="JC118" s="112" t="str">
        <f>HYPERLINK("http://www.bamf.de/SharedDocs/Anlagen/DE/Publikationen/Flyer/20140110_ura2-kinderprojekt_serb.pdf?__blob=publicationFile","x")</f>
        <v>x</v>
      </c>
      <c r="JD118" s="111"/>
      <c r="JE118" s="111"/>
      <c r="JF118" s="111"/>
      <c r="JG118" s="111"/>
      <c r="JH118" s="111"/>
      <c r="JI118" s="111"/>
      <c r="JJ118" s="111"/>
      <c r="JK118" s="111"/>
      <c r="JL118" s="111"/>
      <c r="JM118" s="112" t="str">
        <f>HYPERLINK("https://www.arbeitsagentur.de/web/content/DE/Formulare/Detail/index.htm?dfContentId=L6019022DSTBAI485740","x")</f>
        <v>x</v>
      </c>
      <c r="JN118" s="111"/>
      <c r="JO118" s="111"/>
      <c r="JP118" s="111"/>
      <c r="JQ118" s="111"/>
      <c r="JR118" s="112" t="str">
        <f>HYPERLINK("http://www.ibla-germany.de/merkblaetter.php","x")</f>
        <v>x</v>
      </c>
      <c r="JS118" s="111"/>
      <c r="JT118" s="111"/>
      <c r="JU118" s="111"/>
      <c r="JV118" s="111"/>
      <c r="JW118" s="112"/>
      <c r="JX118" s="111"/>
      <c r="JY118" s="112"/>
      <c r="JZ118" s="112"/>
      <c r="KA118" s="112"/>
      <c r="KB118" s="112" t="str">
        <f>HYPERLINK("http://www.refugeeguide.de/dl/RefugeeGuide_sl_1005.pdf","x")</f>
        <v>x</v>
      </c>
      <c r="KC118" s="111"/>
      <c r="KD118" s="111"/>
      <c r="KE118" s="111"/>
      <c r="KF118" s="111"/>
      <c r="KG118" s="112"/>
      <c r="KH118" s="112"/>
      <c r="KI118" s="112"/>
      <c r="KJ118" s="112"/>
      <c r="KK118" s="112"/>
      <c r="KL118" s="112"/>
      <c r="KM118" s="112"/>
      <c r="KN118" s="112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  <c r="KY118" s="112"/>
      <c r="KZ118" s="112"/>
      <c r="LA118" s="112"/>
      <c r="LB118" s="112"/>
      <c r="LC118" s="111"/>
      <c r="LD118" s="111"/>
      <c r="LE118" s="111"/>
      <c r="LF118" s="111"/>
      <c r="LG118" s="111"/>
      <c r="LH118" s="111"/>
      <c r="LI118" s="111"/>
      <c r="LJ118" s="111"/>
      <c r="LK118" s="111"/>
      <c r="LL118" s="111"/>
      <c r="LM118" s="111"/>
      <c r="LN118" s="111"/>
      <c r="LO118" s="111"/>
      <c r="LP118" s="111"/>
      <c r="LQ118" s="111"/>
      <c r="LR118" s="111"/>
      <c r="LS118" s="111"/>
      <c r="LT118" s="111"/>
      <c r="LU118" s="111"/>
      <c r="LV118" s="111"/>
      <c r="LW118" s="111"/>
      <c r="LX118" s="111"/>
      <c r="LY118" s="111"/>
      <c r="LZ118" s="111"/>
      <c r="MA118" s="111"/>
      <c r="MB118" s="111"/>
      <c r="MC118" s="111"/>
      <c r="MD118" s="111"/>
      <c r="ME118" s="111"/>
      <c r="MF118" s="111"/>
      <c r="MG118" s="111"/>
      <c r="MH118" s="111"/>
      <c r="MI118" s="111"/>
    </row>
    <row r="119" spans="1:347" x14ac:dyDescent="0.25">
      <c r="A119" s="102" t="s">
        <v>47</v>
      </c>
      <c r="B119" s="127" t="s">
        <v>8</v>
      </c>
      <c r="C119" s="102"/>
      <c r="D119" s="102"/>
      <c r="E119" s="102"/>
      <c r="F119" s="102"/>
      <c r="G119" s="102"/>
      <c r="H119" s="102"/>
      <c r="I119" s="102"/>
      <c r="J119" s="102"/>
      <c r="K119" s="103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3"/>
      <c r="AW119" s="114" t="str">
        <f t="shared" si="22"/>
        <v>x</v>
      </c>
      <c r="AX119" s="114" t="str">
        <f t="shared" si="23"/>
        <v>x</v>
      </c>
      <c r="AY119" s="111"/>
      <c r="AZ119" s="111"/>
      <c r="BA119" s="112" t="str">
        <f t="shared" si="24"/>
        <v>x</v>
      </c>
      <c r="BB119" s="112" t="str">
        <f t="shared" si="25"/>
        <v>x</v>
      </c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2" t="str">
        <f t="shared" si="26"/>
        <v>x</v>
      </c>
      <c r="BT119" s="112"/>
      <c r="BU119" s="111"/>
      <c r="BV119" s="112" t="str">
        <f t="shared" si="27"/>
        <v>x</v>
      </c>
      <c r="BW119" s="112" t="str">
        <f>HYPERLINK("http://www.welcomegrooves.de/wp-content/uploads/2015/10/welcomegrooves_DE-SERBISCH-KYRILLISCH.pdf","x")</f>
        <v>x</v>
      </c>
      <c r="BX119" s="112"/>
      <c r="BY119" s="112"/>
      <c r="BZ119" s="112"/>
      <c r="CA119" s="112" t="str">
        <f t="shared" si="28"/>
        <v>x</v>
      </c>
      <c r="CB119" s="112" t="str">
        <f t="shared" si="29"/>
        <v>x</v>
      </c>
      <c r="CC119" s="112" t="str">
        <f t="shared" si="30"/>
        <v>x</v>
      </c>
      <c r="CD119" s="112"/>
      <c r="CE119" s="112"/>
      <c r="CF119" s="111"/>
      <c r="CG119" s="111"/>
      <c r="CH119" s="111"/>
      <c r="CI119" s="111"/>
      <c r="CJ119" s="111"/>
      <c r="CK119" s="112" t="str">
        <f t="shared" si="31"/>
        <v>x</v>
      </c>
      <c r="CL119" s="112"/>
      <c r="CM119" s="112"/>
      <c r="CN119" s="112"/>
      <c r="CO119" s="112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2"/>
      <c r="DA119" s="112"/>
      <c r="DB119" s="112"/>
      <c r="DC119" s="115"/>
      <c r="DD119" s="112"/>
      <c r="DE119" s="112"/>
      <c r="DF119" s="112" t="str">
        <f t="shared" si="32"/>
        <v>x</v>
      </c>
      <c r="DG119" s="115" t="str">
        <f t="shared" si="33"/>
        <v>x</v>
      </c>
      <c r="DH119" s="112" t="str">
        <f t="shared" si="34"/>
        <v>x</v>
      </c>
      <c r="DI119" s="112" t="str">
        <f t="shared" si="35"/>
        <v>x</v>
      </c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8"/>
      <c r="EQ119" s="118"/>
      <c r="ER119" s="111"/>
      <c r="ES119" s="111"/>
      <c r="ET119" s="111"/>
      <c r="EU119" s="111"/>
      <c r="EV119" s="111"/>
      <c r="EW119" s="112" t="str">
        <f t="shared" si="36"/>
        <v>x</v>
      </c>
      <c r="EX119" s="111"/>
      <c r="EY119" s="111"/>
      <c r="EZ119" s="111"/>
      <c r="FA119" s="111"/>
      <c r="FB119" s="111"/>
      <c r="FC119" s="111"/>
      <c r="FD119" s="112" t="str">
        <f t="shared" si="37"/>
        <v>x</v>
      </c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2" t="str">
        <f t="shared" si="38"/>
        <v>x</v>
      </c>
      <c r="HD119" s="112" t="str">
        <f>HYPERLINK("https://www.zahnaerzte-wl.de/images/_PDF-suche/KZV_ZÄK/ENDSTAND_Ankreuzbogen_Ich_verstehe.pdf","x")</f>
        <v>x</v>
      </c>
      <c r="HE119" s="112" t="str">
        <f>HYPERLINK("https://www.zahnaerzte-wl.de/images/_PDF-suche/KZV_ZÄK/Anschreiben_Patienten_serbisch.pdf","x")</f>
        <v>x</v>
      </c>
      <c r="HF119" s="112" t="str">
        <f>HYPERLINK("https://www.zahnaerzte-wl.de/images/_PDF-suche/KZV_ZÄK/Fragebogen_serbisch.pdf","x")</f>
        <v>x</v>
      </c>
      <c r="HG119" s="112" t="str">
        <f>HYPERLINK("https://www.zahnaerzte-wl.de/images/_PDF-suche/KZV_ZÄK/Patientenerhebungsbogen_serbisch.pdf","x")</f>
        <v>x</v>
      </c>
      <c r="HH119" s="112"/>
      <c r="HI119" s="112"/>
      <c r="HJ119" s="112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2" t="str">
        <f t="shared" si="39"/>
        <v>x</v>
      </c>
      <c r="HZ119" s="112" t="str">
        <f t="shared" si="40"/>
        <v>x</v>
      </c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1"/>
      <c r="IZ119" s="111"/>
      <c r="JA119" s="111"/>
      <c r="JB119" s="111"/>
      <c r="JC119" s="111"/>
      <c r="JD119" s="111"/>
      <c r="JE119" s="111"/>
      <c r="JF119" s="111"/>
      <c r="JG119" s="111"/>
      <c r="JH119" s="111"/>
      <c r="JI119" s="111"/>
      <c r="JJ119" s="111"/>
      <c r="JK119" s="111"/>
      <c r="JL119" s="111"/>
      <c r="JM119" s="111"/>
      <c r="JN119" s="111"/>
      <c r="JO119" s="111"/>
      <c r="JP119" s="111"/>
      <c r="JQ119" s="111"/>
      <c r="JR119" s="111"/>
      <c r="JS119" s="111"/>
      <c r="JT119" s="111"/>
      <c r="JU119" s="111"/>
      <c r="JV119" s="111"/>
      <c r="JW119" s="111"/>
      <c r="JX119" s="111"/>
      <c r="JY119" s="112"/>
      <c r="JZ119" s="112"/>
      <c r="KA119" s="112"/>
      <c r="KB119" s="112" t="str">
        <f>HYPERLINK("http://www.refugeeguide.de/dl/RefugeeGuide_sk_1005.pdf","x")</f>
        <v>x</v>
      </c>
      <c r="KC119" s="111"/>
      <c r="KD119" s="111"/>
      <c r="KE119" s="112" t="str">
        <f>HYPERLINK("http://www.frauenrechte.de/online/images/downloads/allgemein/TDF_Flyer_Women_Men.pdf","x")</f>
        <v>x</v>
      </c>
      <c r="KF119" s="111"/>
      <c r="KG119" s="112"/>
      <c r="KH119" s="112"/>
      <c r="KI119" s="112"/>
      <c r="KJ119" s="112"/>
      <c r="KK119" s="112"/>
      <c r="KL119" s="112"/>
      <c r="KM119" s="112"/>
      <c r="KN119" s="112"/>
      <c r="KO119" s="112"/>
      <c r="KP119" s="112"/>
      <c r="KQ119" s="112"/>
      <c r="KR119" s="112"/>
      <c r="KS119" s="112"/>
      <c r="KT119" s="112"/>
      <c r="KU119" s="112"/>
      <c r="KV119" s="112"/>
      <c r="KW119" s="112"/>
      <c r="KX119" s="112"/>
      <c r="KY119" s="112"/>
      <c r="KZ119" s="112"/>
      <c r="LA119" s="112"/>
      <c r="LB119" s="112"/>
      <c r="LC119" s="111"/>
      <c r="LD119" s="111"/>
      <c r="LE119" s="111"/>
      <c r="LF119" s="111"/>
      <c r="LG119" s="111"/>
      <c r="LH119" s="111"/>
      <c r="LI119" s="111"/>
      <c r="LJ119" s="111"/>
      <c r="LK119" s="111"/>
      <c r="LL119" s="111"/>
      <c r="LM119" s="111"/>
      <c r="LN119" s="111"/>
      <c r="LO119" s="111"/>
      <c r="LP119" s="111"/>
      <c r="LQ119" s="111"/>
      <c r="LR119" s="111"/>
      <c r="LS119" s="111"/>
      <c r="LT119" s="111"/>
      <c r="LU119" s="111"/>
      <c r="LV119" s="111"/>
      <c r="LW119" s="111"/>
      <c r="LX119" s="111"/>
      <c r="LY119" s="111"/>
      <c r="LZ119" s="111"/>
      <c r="MA119" s="111"/>
      <c r="MB119" s="111"/>
      <c r="MC119" s="111"/>
      <c r="MD119" s="111"/>
      <c r="ME119" s="111"/>
      <c r="MF119" s="111"/>
      <c r="MG119" s="111"/>
      <c r="MH119" s="111"/>
      <c r="MI119" s="111"/>
    </row>
    <row r="120" spans="1:347" x14ac:dyDescent="0.25">
      <c r="A120" s="102" t="s">
        <v>47</v>
      </c>
      <c r="B120" s="127" t="s">
        <v>11</v>
      </c>
      <c r="C120" s="102"/>
      <c r="D120" s="102"/>
      <c r="E120" s="102"/>
      <c r="F120" s="102"/>
      <c r="G120" s="102"/>
      <c r="H120" s="102"/>
      <c r="I120" s="102"/>
      <c r="J120" s="102"/>
      <c r="K120" s="103"/>
      <c r="L120" s="111"/>
      <c r="M120" s="111"/>
      <c r="N120" s="112" t="str">
        <f>HYPERLINK("http://www.ag-fluechtlingshilfe-wetterau.de/uploads/infos/170.pdf","x")</f>
        <v>x</v>
      </c>
      <c r="O120" s="112"/>
      <c r="P120" s="112" t="str">
        <f>HYPERLINK("http://www.awb-ahrweiler.de/admin/data/ddownload/Abfall%20Sonderhinweise-tuerkisch%202014.pdf","x")</f>
        <v>x</v>
      </c>
      <c r="Q120" s="112"/>
      <c r="R120" s="112"/>
      <c r="S120" s="112"/>
      <c r="T120" s="112"/>
      <c r="U120" s="112"/>
      <c r="V120" s="112"/>
      <c r="W120" s="111"/>
      <c r="X120" s="112"/>
      <c r="Y120" s="111"/>
      <c r="Z120" s="111"/>
      <c r="AA120" s="111"/>
      <c r="AB120" s="111"/>
      <c r="AC120" s="111"/>
      <c r="AD120" s="112" t="str">
        <f>HYPERLINK("http://www.rundfunkbeitrag.de/e175/e199/Informationsflyer_Buergerinnen_und_Buerger_tuerkisch.pdf","x")</f>
        <v>x</v>
      </c>
      <c r="AE120" s="111"/>
      <c r="AF120" s="112" t="str">
        <f>HYPERLINK("http://www.kub-berlin.org/formularprojekt/de/tuerkisch-antraege-und-anlagen/","x")</f>
        <v>x</v>
      </c>
      <c r="AG120" s="111"/>
      <c r="AH120" s="111"/>
      <c r="AI120" s="111"/>
      <c r="AJ120" s="111"/>
      <c r="AK120" s="111"/>
      <c r="AL120" s="111"/>
      <c r="AM120" s="111"/>
      <c r="AN120" s="111"/>
      <c r="AO120" s="112"/>
      <c r="AP120" s="112"/>
      <c r="AQ120" s="112"/>
      <c r="AR120" s="112"/>
      <c r="AS120" s="112"/>
      <c r="AT120" s="112"/>
      <c r="AU120" s="112"/>
      <c r="AV120" s="113"/>
      <c r="AW120" s="114" t="str">
        <f t="shared" si="22"/>
        <v>x</v>
      </c>
      <c r="AX120" s="114" t="str">
        <f t="shared" si="23"/>
        <v>x</v>
      </c>
      <c r="AY120" s="111"/>
      <c r="AZ120" s="111"/>
      <c r="BA120" s="112" t="str">
        <f t="shared" si="24"/>
        <v>x</v>
      </c>
      <c r="BB120" s="112" t="str">
        <f t="shared" si="25"/>
        <v>x</v>
      </c>
      <c r="BC120" s="111"/>
      <c r="BD120" s="111"/>
      <c r="BE120" s="111"/>
      <c r="BF120" s="111"/>
      <c r="BG120" s="111"/>
      <c r="BH120" s="112" t="str">
        <f>HYPERLINK("http://www.refugeephrasebook.de/pdf/germany150920.pdf","x")</f>
        <v>x</v>
      </c>
      <c r="BI120" s="112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2" t="str">
        <f t="shared" si="26"/>
        <v>x</v>
      </c>
      <c r="BT120" s="112"/>
      <c r="BU120" s="111"/>
      <c r="BV120" s="112" t="str">
        <f t="shared" si="27"/>
        <v>x</v>
      </c>
      <c r="BW120" s="112" t="str">
        <f>HYPERLINK("http://www.welcomegrooves.de/wp-content/uploads/2015/10/welcomegrooves_DE-TUERKISCH1.pdf","x")</f>
        <v>x</v>
      </c>
      <c r="BX120" s="112"/>
      <c r="BY120" s="112"/>
      <c r="BZ120" s="112"/>
      <c r="CA120" s="112" t="str">
        <f t="shared" si="28"/>
        <v>x</v>
      </c>
      <c r="CB120" s="112" t="str">
        <f t="shared" si="29"/>
        <v>x</v>
      </c>
      <c r="CC120" s="112" t="str">
        <f t="shared" si="30"/>
        <v>x</v>
      </c>
      <c r="CD120" s="112"/>
      <c r="CE120" s="112"/>
      <c r="CF120" s="111"/>
      <c r="CG120" s="112" t="str">
        <f>HYPERLINK("http://www.braunschweig.de/leben/frauen/hilfe/Ohne-Gewalt-leben.pdf","x")</f>
        <v>x</v>
      </c>
      <c r="CH120" s="112" t="str">
        <f>HYPERLINK("http://mifkjf.rlp.de/fileadmin/mifkjf/Frauen/Gewalt_gegen_Frauen/Downloads/Broschueren_Flyer/Flyer_Gewalt_tuerkisch.pdf","x")</f>
        <v>x</v>
      </c>
      <c r="CI120" s="112" t="str">
        <f>HYPERLINK("https://www.hilfetelefon.de/fileadmin/hilfetelefon_de/Materialien/Flyer/Infoflyer_Hilfetelefon_Gewalt_gegen_Frauen141105_b2.pdf","x")</f>
        <v>x</v>
      </c>
      <c r="CJ120" s="112" t="str">
        <f>HYPERLINK("https://www.hilfetelefon.de/fileadmin/hilfetelefon_de/Materialien/weitere_werbemittel/Klappflyer_Vorder-_und_Rueckseite_opt2.pdf","x")</f>
        <v>x</v>
      </c>
      <c r="CK120" s="112" t="str">
        <f t="shared" si="31"/>
        <v>x</v>
      </c>
      <c r="CL120" s="112" t="str">
        <f>HYPERLINK("http://www.frauenberatungsstelle.de/pdf/Migrantinnen-beraten-Migrantinnen.pdf","x")</f>
        <v>x</v>
      </c>
      <c r="CM120" s="112"/>
      <c r="CN120" s="112"/>
      <c r="CO120" s="112"/>
      <c r="CP120" s="112" t="str">
        <f>HYPERLINK("http://www.schwanger-und-viele-fragen.de/tr/","x")</f>
        <v>x</v>
      </c>
      <c r="CQ120" s="112"/>
      <c r="CR120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20" s="112"/>
      <c r="CT120" s="112"/>
      <c r="CU120" s="112" t="str">
        <f>HYPERLINK("http://www.profamilia.de/fileadmin/publikationen/Erwachsene/mehrsprachig/verhuetung_tuerkisch.pdf","x")</f>
        <v>x</v>
      </c>
      <c r="CV120" s="112" t="str">
        <f>HYPERLINK("http://www.profamilia.de/fileadmin/publikationen/Reihe_Verhuetungsmethoden/Pille_Spirale_danach_tuerkisch_2011.pdf","x")</f>
        <v>x</v>
      </c>
      <c r="CW120" s="112" t="str">
        <f>HYPERLINK("http://www.profamilia.de/fileadmin/publikationen/Reihe_Verhuetungsmethoden/Einleger_tuerkisch.pdf","x")</f>
        <v>x</v>
      </c>
      <c r="CX120" s="112" t="str">
        <f>HYPERLINK("http://www.profamilia.de/fileadmin/publikationen/Reihe_Koerper_und_Sexualtitaet/Bro_Schwangerschaftsabbruch_TR_ANSICHT.pdf","x")</f>
        <v>x</v>
      </c>
      <c r="CY120" s="112" t="str">
        <f>HYPERLINK("http://www.caritas-schwarzwald-alb-donau.de/68854.html","x")</f>
        <v>x</v>
      </c>
      <c r="CZ120" s="112" t="str">
        <f>HYPERLINK("http://www.dgfpi.de/tl_files/download/medien/unwissen-macht-tk.pdf","x")</f>
        <v>x</v>
      </c>
      <c r="DA120" s="112"/>
      <c r="DB120" s="112"/>
      <c r="DC120" s="115" t="str">
        <f>HYPERLINK("http://www.kindersicherheit.de/pdf/2012_Bilderbuch-Gift-Tuerkisch.pdf","x")</f>
        <v>x</v>
      </c>
      <c r="DD120" s="112"/>
      <c r="DE120" s="112"/>
      <c r="DF120" s="112" t="str">
        <f t="shared" si="32"/>
        <v>x</v>
      </c>
      <c r="DG120" s="115" t="str">
        <f t="shared" si="33"/>
        <v>x</v>
      </c>
      <c r="DH120" s="112" t="str">
        <f t="shared" si="34"/>
        <v>x</v>
      </c>
      <c r="DI120" s="112" t="str">
        <f t="shared" si="35"/>
        <v>x</v>
      </c>
      <c r="DJ120" s="112" t="str">
        <f>HYPERLINK("http://www.bibliomedia.ch/de/angebote/dokumente/Glossar_tuerkisch.pdf","x")</f>
        <v>x</v>
      </c>
      <c r="DK120" s="112"/>
      <c r="DL120" s="112"/>
      <c r="DM120" s="112"/>
      <c r="DN120" s="112"/>
      <c r="DO120" s="112"/>
      <c r="DP120" s="111"/>
      <c r="DQ120" s="112" t="str">
        <f>HYPERLINK("http://tipdoc.de/bus/grafik/kinder-tip/SCHULTIP_give_didacta.pdf","x")</f>
        <v>x</v>
      </c>
      <c r="DR120" s="112" t="str">
        <f>HYPERLINK("https://broschueren.nordrheinwestfalendirekt.de/broschuerenservice/msw/tue-das-schulsystem-in-nordrhein-westfalen-einfach-und-schnell-erklaert/1906","x")</f>
        <v>x</v>
      </c>
      <c r="DS120" s="112" t="str">
        <f>HYPERLINK("http://bildung.koeln.de/materialbibliothek/download.php?idx=46d99ecd1cd085058204a036d1394fed","x")</f>
        <v>x</v>
      </c>
      <c r="DT120" s="112" t="str">
        <f>HYPERLINK("http://bildung.koeln.de/materialbibliothek/download.php?idx=5fa16c0085d80ec9f9262f25c773ed7f","x")</f>
        <v>x</v>
      </c>
      <c r="DU120" s="112"/>
      <c r="DV120" s="112" t="str">
        <f>HYPERLINK("https://www.bmbf.de/pub/Kausa_Elternbroschuere_tuerkisch.pdf","x")</f>
        <v>x</v>
      </c>
      <c r="DW120" s="111"/>
      <c r="DX120" s="111"/>
      <c r="DY120" s="111"/>
      <c r="DZ120" s="112" t="str">
        <f>HYPERLINK("http://www.bamf.de/SharedDocs/Anlagen/TR/Publikationen/Flyer/AnerkennungBerufsabschluss/anerkennung-berufsabschluss.pdf?__blob=publicationFile","x")</f>
        <v>x</v>
      </c>
      <c r="EA120" s="112" t="str">
        <f>HYPERLINK("http://www.bamf.de/SharedDocs/Anlagen/TR/Publikationen/Flyer/AnerkennungBerufsabschluss/anerkennung-berufsabschluss_ausland.pdf?__blob=publicationFile","x")</f>
        <v>x</v>
      </c>
      <c r="EB120" s="112" t="str">
        <f>HYPERLINK("http://www.bamf.de/SharedDocs/Anlagen/DE/Publikationen/Broschueren/willkommen-in-deutschland-info-blaue-karte-eu_tr.pdf?__blob=publicationFile","x")</f>
        <v>x</v>
      </c>
      <c r="EC120" s="112" t="str">
        <f>HYPERLINK("http://www.bamf.de/SharedDocs/Anlagen/TR/Publikationen/Flyer/Berufsbezsprachf-ESF-BAMF/berufsbezsprachf-esf-bamf.pdf?__blob=publicationFile","x")</f>
        <v>x</v>
      </c>
      <c r="ED120" s="111"/>
      <c r="EE120" s="111"/>
      <c r="EF120" s="111"/>
      <c r="EG120" s="111"/>
      <c r="EH120" s="111"/>
      <c r="EI120" s="111"/>
      <c r="EJ120" s="112"/>
      <c r="EK120" s="112"/>
      <c r="EL120" s="115"/>
      <c r="EM120" s="112" t="str">
        <f>HYPERLINK("http://www.kvs-sachsen.de/fileadmin/img/Mitglieder/Asylbewerber/Allg-Informationen/Anlage_1_Tuerkisch_LEK.pdf","x")</f>
        <v>x</v>
      </c>
      <c r="EN120" s="112" t="str">
        <f>HYPERLINK("http://www.medizin-hilft-fluechtlingen.de/images/Dokumente/gSch/gSch_tur.pdf","x")</f>
        <v>x</v>
      </c>
      <c r="EO120" s="111"/>
      <c r="EP120" s="117" t="str">
        <f>HYPERLINK("http://www.medi-bild.de/pdf/anamnese/Welche_Sprache.pdf","x")</f>
        <v>x</v>
      </c>
      <c r="EQ120" s="117" t="str">
        <f>HYPERLINK("http://www.armut-gesundheit.de/fileadmin/redakteur/dokumente/Anamnesebogen%20-%20t%C3%BCrkischnew.pdf","x")</f>
        <v>x</v>
      </c>
      <c r="ER120" s="112" t="str">
        <f>HYPERLINK("http://www.kvs-sachsen.de/fileadmin/img/Mitglieder/Asylbewerber/Allg-Informationen/Anlagen_2-1_2-2_Tuerkisch_LEK.pdf","x")</f>
        <v>x</v>
      </c>
      <c r="ES120" s="111"/>
      <c r="ET120" s="111"/>
      <c r="EU120" s="111"/>
      <c r="EV120" s="112" t="str">
        <f>HYPERLINK("http://www.adler-apotheke-hh.de/fileadmin/user_upload/PDF-Dateien/Dosierzettel_mehrsprachig_AUF_0_.pdf","x")</f>
        <v>x</v>
      </c>
      <c r="EW120" s="112" t="str">
        <f t="shared" si="36"/>
        <v>x</v>
      </c>
      <c r="EX120" s="112" t="str">
        <f>HYPERLINK("http://www.rki.de/DE/Content/Infekt/IfSG/Belehrungsbogen/belehrungsbogen_eltern_tuerkisch.pdf?__blob=publicationFile","x")</f>
        <v>x</v>
      </c>
      <c r="EY120" s="112" t="str">
        <f>HYPERLINK("http://www.bzga.de/infomaterialien/?sid=236","x")</f>
        <v>x</v>
      </c>
      <c r="EZ120" s="112" t="str">
        <f>HYPERLINK("https://www.mh-hannover.de/fileadmin/mhh/bilder/aktuelles_presse/pressestelle/bilder/Pilzverg_tuerkisch.pdf","x")</f>
        <v>x</v>
      </c>
      <c r="FA120" s="112"/>
      <c r="FB120" s="116"/>
      <c r="FC120" s="111"/>
      <c r="FD120" s="112" t="str">
        <f t="shared" si="37"/>
        <v>x</v>
      </c>
      <c r="FE120" s="112" t="str">
        <f>HYPERLINK("http://sghanstedt.elbnetz.com/ueber-uns/","x")</f>
        <v>x</v>
      </c>
      <c r="FF120" s="112" t="str">
        <f>HYPERLINK("http://www.fuhlenhagen.com/pdf_dateien/uebertzungshilfe_aerzte_mehrsprachig.pdf","x")</f>
        <v>x</v>
      </c>
      <c r="FG120" s="111"/>
      <c r="FH120" s="111"/>
      <c r="FI120" s="111"/>
      <c r="FJ120" s="112"/>
      <c r="FK120" s="112" t="str">
        <f>HYPERLINK("http://www.rki.de/DE/Content/Infekt/Impfen/Materialien/Downloads-Impfkalender/Impfkalender_Tuerkisch.pdf?__blob=publicationFile","x")</f>
        <v>x</v>
      </c>
      <c r="FL120" s="112" t="str">
        <f>HYPERLINK("http://www.ethno-medizinisches-zentrum.de/images/PDF-Files/impfwegweiser_turkisch_2013_online.pdf","x")</f>
        <v>x</v>
      </c>
      <c r="FM120" s="112"/>
      <c r="FN120" s="112" t="str">
        <f>HYPERLINK("http://www.rki.de/DE/Content/Infekt/Impfen/Materialien/Glossar-Downloads/glossar-de-tuerkisch.pdf?__blob=publicationFile","x")</f>
        <v>x</v>
      </c>
      <c r="FO120" s="112"/>
      <c r="FP120" s="112" t="str">
        <f>HYPERLINK("http://www.rki.de/DE/Content/Infekt/Impfen/Materialien/Downloads-MMR/MMR-Impfinfo-tuerkisch.pdf?__blob=publicationFile","x")</f>
        <v>x</v>
      </c>
      <c r="FQ120" s="112"/>
      <c r="FR120" s="112" t="str">
        <f>HYPERLINK("http://www.rki.de/DE/Content/Infekt/Impfen/Materialien/Downloads_HepA/Aufklaerung_HAV-Impfung_Tuerkisch.pdf?__blob=publicationFile","x")</f>
        <v>x</v>
      </c>
      <c r="FS120" s="112" t="str">
        <f>HYPERLINK("http://www.rki.de/DE/Content/Infekt/Impfen/Materialien/Downloads_Pneumokokken/Aufklaerung_Pneumo-Impfung_Tuerkisch.pdf?__blob=publicationFile","x")</f>
        <v>x</v>
      </c>
      <c r="FT120" s="112" t="str">
        <f>HYPERLINK("http://www.rki.de/DE/Content/Infekt/Impfen/Materialien/Downloads-DTaPIPVHibHepB/DTaPIPVHibHepB-tuerkisch.pdf?__blob=publicationFile","x")</f>
        <v>x</v>
      </c>
      <c r="FU120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20" s="112" t="str">
        <f>HYPERLINK("http://www.rki.de/DE/Content/Infekt/Impfen/Materialien/Downloads-Tdap-IPV/Tdap-IPV-tuerkisch.pdf?__blob=publicationFile","x")</f>
        <v>x</v>
      </c>
      <c r="FW120" s="112" t="str">
        <f>HYPERLINK("http://www.rki.de/DE/Content/Infekt/Impfen/Materialien/Downloads-Influenza_nasal/Influenza_nasal-tuerkisch.pdf?__blob=publicationFile","x")</f>
        <v>x</v>
      </c>
      <c r="FX120" s="112" t="str">
        <f>HYPERLINK("http://www.medical-tribune.de/fileadmin/PDF/Arthrose_tuerkisch.pdf","x")</f>
        <v>x</v>
      </c>
      <c r="FY120" s="112"/>
      <c r="FZ120" s="112" t="str">
        <f>HYPERLINK("http://www.medical-tribune.de/fileadmin/PDF/Bluthochdruck_tuerkisch.pdf","x")</f>
        <v>x</v>
      </c>
      <c r="GA120" s="112"/>
      <c r="GB120" s="112"/>
      <c r="GC120" s="112" t="str">
        <f>HYPERLINK("http://www.medical-tribune.de/fileadmin/PDF/Demenz_tuerkisch.pdf","x")</f>
        <v>x</v>
      </c>
      <c r="GD120" s="115" t="str">
        <f>HYPERLINK("http://www.ethno-medizinisches-zentrum.de/images/PDF-Files/lf_diabetes_turkisch.pdf","x")</f>
        <v>x</v>
      </c>
      <c r="GE120" s="112" t="str">
        <f>HYPERLINK("http://www.medical-tribune.de/fileadmin/PDF/Divertikel_tuerkisch.pdf","x")</f>
        <v>x</v>
      </c>
      <c r="GF120" s="112"/>
      <c r="GG120" s="112" t="str">
        <f>HYPERLINK("http://www.medical-tribune.de/fileadmin/PDF/Gallenstein_tuerkisch.pdf","x")</f>
        <v>x</v>
      </c>
      <c r="GH120" s="112"/>
      <c r="GI120" s="112" t="str">
        <f>HYPERLINK("http://www.tipdoc.de/bus/pdf/hepatitis/Hep_B_Webseite.pdf","x")</f>
        <v>x</v>
      </c>
      <c r="GJ120" s="112" t="str">
        <f>HYPERLINK("http://www.tipdoc.de/bus/pdf/hepatitis/Hep_C_Webseite.pdf","x")</f>
        <v>x</v>
      </c>
      <c r="GK120" s="111"/>
      <c r="GL120" s="111"/>
      <c r="GM120" s="112" t="str">
        <f>HYPERLINK("http://www.rki.de/DE/Content/Infekt/Impfen/Materialien/Downloads-Influenza/Influenza-tuerkisch.pdf?__blob=publicationFile","x")</f>
        <v>x</v>
      </c>
      <c r="GN120" s="112" t="str">
        <f>HYPERLINK("http://www.medical-tribune.de/fileadmin/PDF/Erkaeltung_tuerkisch.pdf","x")</f>
        <v>x</v>
      </c>
      <c r="GO120" s="112"/>
      <c r="GP120" s="112" t="str">
        <f>HYPERLINK("http://www.medi-bild.de/pdf/kopflaeuse2/Kopflaeuse_TURK.pdf","x")</f>
        <v>x</v>
      </c>
      <c r="GQ120" s="112"/>
      <c r="GR120" s="111"/>
      <c r="GS120" s="111"/>
      <c r="GT120" s="115" t="str">
        <f>HYPERLINK("http://www.medical-tribune.de/fileadmin/PDF/Migraene_tuerkisch.pdf","x")</f>
        <v>x</v>
      </c>
      <c r="GU120" s="112" t="str">
        <f>HYPERLINK("http://www.medical-tribune.de/fileadmin/PDF/Rueckenschmerzen_tuerkisch.pdf","x")</f>
        <v>x</v>
      </c>
      <c r="GV120" s="112"/>
      <c r="GW120" s="112" t="str">
        <f>HYPERLINK("http://www.medical-tribune.de/fileadmin/PDF/Schlafstoerungen_tuerkisch.pdf","x")</f>
        <v>x</v>
      </c>
      <c r="GX120" s="112" t="str">
        <f>HYPERLINK("http://www.medical-tribune.de/fileadmin/PDF/Schwindel_tuerkisch.pdf","x")</f>
        <v>x</v>
      </c>
      <c r="GY120" s="112" t="str">
        <f>HYPERLINK("http://www.medical-tribune.de/fileadmin/PDF/Sodbrennen_tuerkisch.pdf","x")</f>
        <v>x</v>
      </c>
      <c r="GZ120" s="112" t="str">
        <f>HYPERLINK("http://www.medical-tribune.de/fileadmin/PDF/Sportverletzungen_tuerkisch.pdf","x")</f>
        <v>x</v>
      </c>
      <c r="HA120" s="112" t="str">
        <f>HYPERLINK("http://www.medical-tribune.de/fileadmin/PDF/Thrombose_tuerkisch.pdf","x")</f>
        <v>x</v>
      </c>
      <c r="HB120" s="112"/>
      <c r="HC120" s="112" t="str">
        <f t="shared" si="38"/>
        <v>x</v>
      </c>
      <c r="HD120" s="112" t="str">
        <f>HYPERLINK("https://www.zahnaerzte-wl.de/images/_PDF-suche/KZV_ZÄK/ENDSTAND_Ankreuzbogen_Ich_verstehe.pdf","x")</f>
        <v>x</v>
      </c>
      <c r="HE120" s="112" t="str">
        <f>HYPERLINK("https://www.zahnaerzte-wl.de/images/_PDF-suche/KZV_ZÄK/Anschreiben_Patienten_tuerkisch.pdf","x")</f>
        <v>x</v>
      </c>
      <c r="HF120" s="112" t="str">
        <f>HYPERLINK("https://www.zahnaerzte-wl.de/images/_PDF-suche/KZV_ZÄK/Fragebogen_tuerkisch.pdf","x")</f>
        <v>x</v>
      </c>
      <c r="HG120" s="112" t="str">
        <f>HYPERLINK("https://www.zahnaerzte-wl.de/images/_PDF-suche/KZV_ZÄK/Patientenerhebungsbogen_tuerkisch.pdf","x")</f>
        <v>x</v>
      </c>
      <c r="HH120" s="112"/>
      <c r="HI120" s="112" t="str">
        <f>HYPERLINK("http://www.bvkm.de/fileadmin/web_data/Behinderung_und_Migration_tuerkisch_2014.pdf","x")</f>
        <v>x</v>
      </c>
      <c r="HJ120" s="112" t="str">
        <f>HYPERLINK("http://www.ibbc-berlin.de/media/bvkm_Bro_de-tuerk_Berlin_web%20Endversion.pdf","x")</f>
        <v>x</v>
      </c>
      <c r="HK120" s="112" t="str">
        <f>HYPERLINK("http://www.psychenet.de/tr/ruhsal-saglik/bilgiler/depresyon.html","x")</f>
        <v>x</v>
      </c>
      <c r="HL120" s="115" t="str">
        <f>HYPERLINK("http://www.ethno-medizinisches-zentrum.de/images/PDF-Files/lf_depression_tr.pdf","x")</f>
        <v>x</v>
      </c>
      <c r="HM120" s="115" t="str">
        <f>HYPERLINK("http://www.psychenet.de/tr/ruhsal-saglik/bilgiler/psikoz.html","x")</f>
        <v>x</v>
      </c>
      <c r="HN120" s="115" t="str">
        <f>HYPERLINK("http://www.psychenet.de/tr/ruhsal-saglik/bilgiler/somatoform-bozukluklar.html","x")</f>
        <v>x</v>
      </c>
      <c r="HO120" s="115" t="str">
        <f>HYPERLINK("http://www.psychenet.de/tr/ruhsal-saglik/bilgiler/asiri-zayiflik.html","x")</f>
        <v>x</v>
      </c>
      <c r="HP120" s="115" t="str">
        <f>HYPERLINK("http://www.psychenet.de/tr/ruhsal-saglik/bilgiler/bulimia.html","x")</f>
        <v>x</v>
      </c>
      <c r="HQ120" s="115" t="str">
        <f>HYPERLINK("http://www.psychenet.de/tr/ruhsal-saglik/bilgiler/bipolar-bozukluk.html","x")</f>
        <v>x</v>
      </c>
      <c r="HR120" s="115" t="str">
        <f>HYPERLINK("http://www.psychenet.de/tr/ruhsal-saglik/bilgiler/agorafobili-panik-bozukluk.html","x")</f>
        <v>x</v>
      </c>
      <c r="HS120" s="115" t="str">
        <f>HYPERLINK("http://www.psychenet.de/tr/ruhsal-saglik/bilgiler/sosyal-fobi.html","x")</f>
        <v>x</v>
      </c>
      <c r="HT120" s="115"/>
      <c r="HU120" s="115" t="str">
        <f>HYPERLINK("http://www.psychenet.de/tr/ruhsal-saglik/bilgiler/burnout.html","x")</f>
        <v>x</v>
      </c>
      <c r="HV120" s="115" t="str">
        <f>HYPERLINK("http://www.psychenet.de/tr/ruhsal-saglik/bilgiler/bilgiler-ve-destek.html","x")</f>
        <v>x</v>
      </c>
      <c r="HW120" s="115" t="str">
        <f>HYPERLINK("http://www.medical-tribune.de/fileadmin/PDF/Restless_Legs_tuerkisch.pdf","x")</f>
        <v>x</v>
      </c>
      <c r="HX120" s="115" t="str">
        <f>HYPERLINK("http://www.bkk-psychisch-gesund.de/fileadmin/user_upload/Dokumente/Versicherte/Broschueren/Wegweiser_Psychotherapie_tuerkisch.pdf","x")</f>
        <v>x</v>
      </c>
      <c r="HY120" s="112" t="str">
        <f t="shared" si="39"/>
        <v>x</v>
      </c>
      <c r="HZ120" s="112" t="str">
        <f t="shared" si="40"/>
        <v>x</v>
      </c>
      <c r="IA120" s="115"/>
      <c r="IB120" s="115"/>
      <c r="IC120" s="115"/>
      <c r="ID120" s="115"/>
      <c r="IE120" s="115" t="str">
        <f>HYPERLINK("http://www.psychenet.de/tr/ruhsal-saglik/bilgiler/genclerde-alkol-tueketimi.html","x")</f>
        <v>x</v>
      </c>
      <c r="IF120" s="115"/>
      <c r="IG120" s="115"/>
      <c r="IH120" s="112" t="str">
        <f>HYPERLINK("http://www.ethno-medizinisches-zentrum.de/images/PDF-Files/lf_mediensucht_tr_geschutzt.pdf","x")</f>
        <v>x</v>
      </c>
      <c r="II120" s="115" t="str">
        <f>HYPERLINK("http://www.caritas.de/hilfeundberatung/onlineberatung/suchtberatung/haeufiggestelltefragensucht/haeufiggestelltefragen-sucht","x")</f>
        <v>x</v>
      </c>
      <c r="IJ120" s="115" t="str">
        <f>HYPERLINK("http://www.bzga.de/infomaterialien/suchtvorbeugung/","x")</f>
        <v>x</v>
      </c>
      <c r="IK120" s="112" t="str">
        <f>HYPERLINK("http://www.bamf.de/SharedDocs/Anlagen/TR/Publikationen/Flyer/Lassen-Sie-Sich-Beraten/lassen-sie-sich-beraten.pdf?__blob=publicationFile","x")</f>
        <v>x</v>
      </c>
      <c r="IL120" s="111"/>
      <c r="IM120" s="111"/>
      <c r="IN120" s="112" t="str">
        <f>HYPERLINK("https://www.bamf.de/SharedDocs/Anlagen/TR/Publikationen/Broschueren/willkommen-in-deutschland-tr.pdf?__blob=publicationFile","x")</f>
        <v>x</v>
      </c>
      <c r="IO120" s="112"/>
      <c r="IP120" s="111"/>
      <c r="IQ120" s="112" t="str">
        <f>HYPERLINK("http://www.bamf.de/SharedDocs/Anlagen/TR/Publikationen/Flyer/Lernen-Sie-Deutsch/lernen-sie-deutsch.pdf?__blob=publicationFile","x")</f>
        <v>x</v>
      </c>
      <c r="IR120" s="112"/>
      <c r="IS120" s="111"/>
      <c r="IT120" s="111"/>
      <c r="IU120" s="111"/>
      <c r="IV120" s="112" t="str">
        <f>HYPERLINK("http://www.asyl.net/fileadmin/user_upload/infoblatt_anhoerung/Tuerk_final.pdf","x")</f>
        <v>x</v>
      </c>
      <c r="IW120" s="112"/>
      <c r="IX120" s="112" t="str">
        <f>HYPERLINK("http://www.berlin.de/labo/willkommen-in-berlin/service/downloads/artikel.273193.php","x")</f>
        <v>x</v>
      </c>
      <c r="IY120" s="112" t="str">
        <f>HYPERLINK("http://www.bamf.de/SharedDocs/Anlagen/TR/Publikationen/Broschueren/broschuere-eat-a4-tr.pdf?__blob=publicationFile","x")</f>
        <v>x</v>
      </c>
      <c r="IZ120" s="111"/>
      <c r="JA120" s="111"/>
      <c r="JB120" s="111"/>
      <c r="JC120" s="112"/>
      <c r="JD120" s="111"/>
      <c r="JE120" s="112"/>
      <c r="JF120" s="112"/>
      <c r="JG120" s="112" t="str">
        <f>HYPERLINK("http://www.bamf.de/SharedDocs/Anlagen/TR/Publikationen/Flyer/Ehegattennachzug/ehegattennachzug.pdf?__blob=publicationFile","x")</f>
        <v>x</v>
      </c>
      <c r="JH120" s="112"/>
      <c r="JI120" s="111"/>
      <c r="JJ120" s="112"/>
      <c r="JK120" s="112"/>
      <c r="JL120" s="112"/>
      <c r="JM120" s="112" t="str">
        <f>HYPERLINK("https://www.arbeitsagentur.de/web/content/DE/Formulare/Detail/index.htm?dfContentId=L6019022DSTBAI485740","x")</f>
        <v>x</v>
      </c>
      <c r="JN120" s="112"/>
      <c r="JO120" s="112"/>
      <c r="JP120" s="112"/>
      <c r="JQ120" s="112"/>
      <c r="JR120" s="112" t="str">
        <f>HYPERLINK("http://www.ibla-germany.de/merkblaetter.php","x")</f>
        <v>x</v>
      </c>
      <c r="JS120" s="112"/>
      <c r="JT120" s="111"/>
      <c r="JU120" s="111"/>
      <c r="JV120" s="111"/>
      <c r="JW120" s="112"/>
      <c r="JX120" s="112"/>
      <c r="JY120" s="112"/>
      <c r="JZ120" s="112"/>
      <c r="KA120" s="112"/>
      <c r="KB120" s="112" t="str">
        <f>HYPERLINK("http://www.refugeeguide.de/dl/RefugeeGuide_tu_1208.pdf","x")</f>
        <v>x</v>
      </c>
      <c r="KC120" s="112" t="str">
        <f>HYPERLINK("http://www.bpb.de/shop/buecher/grundgesetz/34367/grundgesetz-fuer-die-bundesrepublik-deutschland","x")</f>
        <v>x</v>
      </c>
      <c r="KD120" s="112" t="str">
        <f>HYPERLINK("http://www.wedel.de/fileadmin/user_upload/media/pdf/Rathaus_und_Politik/20160118_PM_Broschuere.pdf","x")</f>
        <v>x</v>
      </c>
      <c r="KE120" s="112"/>
      <c r="KF120" s="111"/>
      <c r="KG120" s="112"/>
      <c r="KH120" s="112"/>
      <c r="KI120" s="112"/>
      <c r="KJ120" s="112"/>
      <c r="KK120" s="112"/>
      <c r="KL120" s="112"/>
      <c r="KM120" s="112"/>
      <c r="KN120" s="112"/>
      <c r="KO120" s="112"/>
      <c r="KP120" s="112"/>
      <c r="KQ120" s="112"/>
      <c r="KR120" s="112"/>
      <c r="KS120" s="112"/>
      <c r="KT120" s="112"/>
      <c r="KU120" s="112"/>
      <c r="KV120" s="112"/>
      <c r="KW120" s="112"/>
      <c r="KX120" s="112"/>
      <c r="KY120" s="112"/>
      <c r="KZ120" s="112"/>
      <c r="LA120" s="112"/>
      <c r="LB120" s="112"/>
      <c r="LC120" s="111"/>
      <c r="LD120" s="111"/>
      <c r="LE120" s="111"/>
      <c r="LF120" s="111"/>
      <c r="LG120" s="111"/>
      <c r="LH120" s="111"/>
      <c r="LI120" s="111"/>
      <c r="LJ120" s="111"/>
      <c r="LK120" s="111"/>
      <c r="LL120" s="111"/>
      <c r="LM120" s="111"/>
      <c r="LN120" s="111"/>
      <c r="LO120" s="111"/>
      <c r="LP120" s="111"/>
      <c r="LQ120" s="111"/>
      <c r="LR120" s="111"/>
      <c r="LS120" s="111"/>
      <c r="LT120" s="111"/>
      <c r="LU120" s="111"/>
      <c r="LV120" s="111"/>
      <c r="LW120" s="111"/>
      <c r="LX120" s="111"/>
      <c r="LY120" s="111"/>
      <c r="LZ120" s="111"/>
      <c r="MA120" s="111"/>
      <c r="MB120" s="111"/>
      <c r="MC120" s="111"/>
      <c r="MD120" s="112" t="str">
        <f>HYPERLINK("http://www.rki.de/DE/Content/Infekt/IfSG/Belehrungsbogen/belehrungsbogen_lebensmittel_tuerkisch.pdf?__blob=publicationFile","x")</f>
        <v>x</v>
      </c>
      <c r="ME120" s="111"/>
      <c r="MF120" s="111"/>
      <c r="MG120" s="111"/>
      <c r="MH120" s="111"/>
      <c r="MI120" s="112" t="str">
        <f>HYPERLINK("http://www.kindersicherheit.de/pdf/2012_poster_achtunggiftig_8sprachig.pdf","x")</f>
        <v>x</v>
      </c>
    </row>
    <row r="121" spans="1:347" x14ac:dyDescent="0.25">
      <c r="A121" s="102" t="s">
        <v>57</v>
      </c>
      <c r="B121" s="127" t="s">
        <v>0</v>
      </c>
      <c r="C121" s="102"/>
      <c r="D121" s="102"/>
      <c r="E121" s="102"/>
      <c r="F121" s="102"/>
      <c r="G121" s="102"/>
      <c r="H121" s="102"/>
      <c r="I121" s="102"/>
      <c r="J121" s="102"/>
      <c r="K121" s="103"/>
      <c r="L121" s="111"/>
      <c r="M121" s="111"/>
      <c r="N121" s="111"/>
      <c r="O121" s="111"/>
      <c r="P121" s="112" t="str">
        <f>HYPERLINK("https://willkommensteamelmshorn.files.wordpress.com/2015/11/sortieranleitung_pinneberg_2015_albanisch.pdf","x")</f>
        <v>x</v>
      </c>
      <c r="Q121" s="111"/>
      <c r="R121" s="111"/>
      <c r="S121" s="111"/>
      <c r="T121" s="111"/>
      <c r="U121" s="111"/>
      <c r="V121" s="111"/>
      <c r="W121" s="112"/>
      <c r="X121" s="111"/>
      <c r="Y121" s="112"/>
      <c r="Z121" s="112"/>
      <c r="AA121" s="112"/>
      <c r="AB121" s="112"/>
      <c r="AC121" s="112"/>
      <c r="AD121" s="112"/>
      <c r="AE121" s="112"/>
      <c r="AF121" s="112"/>
      <c r="AG121" s="112" t="str">
        <f>HYPERLINK("http://asyl-in-moenchengladbach.de/wp-content/uploads/2015/11/100711-Flyer_alban.pdf","x")</f>
        <v>x</v>
      </c>
      <c r="AH121" s="111"/>
      <c r="AI121" s="111"/>
      <c r="AJ121" s="111"/>
      <c r="AK121" s="111"/>
      <c r="AL121" s="111"/>
      <c r="AM121" s="111"/>
      <c r="AN121" s="111"/>
      <c r="AO121" s="112"/>
      <c r="AP121" s="112"/>
      <c r="AQ121" s="112"/>
      <c r="AR121" s="112"/>
      <c r="AS121" s="112"/>
      <c r="AT121" s="112"/>
      <c r="AU121" s="112"/>
      <c r="AV121" s="113"/>
      <c r="AW121" s="114" t="str">
        <f t="shared" si="22"/>
        <v>x</v>
      </c>
      <c r="AX121" s="114" t="str">
        <f t="shared" si="23"/>
        <v>x</v>
      </c>
      <c r="AY121" s="111"/>
      <c r="AZ121" s="111"/>
      <c r="BA121" s="112" t="str">
        <f t="shared" si="24"/>
        <v>x</v>
      </c>
      <c r="BB121" s="112" t="str">
        <f t="shared" si="25"/>
        <v>x</v>
      </c>
      <c r="BC121" s="111"/>
      <c r="BD121" s="111"/>
      <c r="BE121" s="111"/>
      <c r="BF121" s="111"/>
      <c r="BG121" s="111"/>
      <c r="BH121" s="111"/>
      <c r="BI121" s="112" t="str">
        <f>HYPERLINK("https://www.advanced-online.eu/downloads/RefugeePhrasebookCards_German-Albanian.pdf","x")</f>
        <v>x</v>
      </c>
      <c r="BJ121" s="111"/>
      <c r="BK121" s="111"/>
      <c r="BL121" s="112" t="str">
        <f>HYPERLINK("http://www.bundessprachenamt.de/deutsch/wir_ueber_uns/nachrichten/2015/20151103/Verständigungshilfe_Albanisch_26_11_2015.pdf","x")</f>
        <v>x</v>
      </c>
      <c r="BM121" s="112" t="str">
        <f>HYPERLINK("http://www.frnrw.de/images/Aus_den_Initiativen/Ehrenamtler/2015/Dictionary_x10_print-2.pdf","x")</f>
        <v>x</v>
      </c>
      <c r="BN121" s="111"/>
      <c r="BO121" s="111"/>
      <c r="BP121" s="111"/>
      <c r="BQ121" s="111"/>
      <c r="BR121" s="111"/>
      <c r="BS121" s="112" t="str">
        <f t="shared" si="26"/>
        <v>x</v>
      </c>
      <c r="BT121" s="112"/>
      <c r="BU121" s="111"/>
      <c r="BV121" s="112" t="str">
        <f t="shared" si="27"/>
        <v>x</v>
      </c>
      <c r="BW121" s="112" t="str">
        <f>HYPERLINK("http://www.welcomegrooves.de/wp-content/uploads/2015/10/welcomegrooves_DE-ALBANISCH.pdf","x")</f>
        <v>x</v>
      </c>
      <c r="BX121" s="112"/>
      <c r="BY121" s="112"/>
      <c r="BZ121" s="112" t="str">
        <f>HYPERLINK("http://fluechtlingshilfe-nettetal.de/ausbildung/video-sprachkurse-deutsch-fuer-fluechtlinge/video-sprachkurs-albanisch-deutsch/","x")</f>
        <v>x</v>
      </c>
      <c r="CA121" s="112" t="str">
        <f t="shared" si="28"/>
        <v>x</v>
      </c>
      <c r="CB121" s="112" t="str">
        <f t="shared" si="29"/>
        <v>x</v>
      </c>
      <c r="CC121" s="112" t="str">
        <f t="shared" si="30"/>
        <v>x</v>
      </c>
      <c r="CD121" s="112"/>
      <c r="CE121" s="112"/>
      <c r="CF121" s="111"/>
      <c r="CG121" s="111"/>
      <c r="CH121" s="111"/>
      <c r="CI121" s="111"/>
      <c r="CJ121" s="111"/>
      <c r="CK121" s="112" t="str">
        <f t="shared" si="31"/>
        <v>x</v>
      </c>
      <c r="CL121" s="112"/>
      <c r="CM121" s="112"/>
      <c r="CN121" s="112"/>
      <c r="CO121" s="112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2"/>
      <c r="DA121" s="112" t="str">
        <f>HYPERLINK("http://sichere-orte-schaffen.de/wp-content/uploads/Minibrosch_Fluechtlinge_multilang.pdf","x")</f>
        <v>x</v>
      </c>
      <c r="DB121" s="112"/>
      <c r="DC121" s="115"/>
      <c r="DD121" s="112"/>
      <c r="DE121" s="112"/>
      <c r="DF121" s="112" t="str">
        <f t="shared" si="32"/>
        <v>x</v>
      </c>
      <c r="DG121" s="115" t="str">
        <f t="shared" si="33"/>
        <v>x</v>
      </c>
      <c r="DH121" s="112" t="str">
        <f t="shared" si="34"/>
        <v>x</v>
      </c>
      <c r="DI121" s="112" t="str">
        <f t="shared" si="35"/>
        <v>x</v>
      </c>
      <c r="DJ121" s="112" t="str">
        <f>HYPERLINK("http://www.bibliomedia.ch/de/angebote/dokumente/Glossar_albanisch.pdf","x")</f>
        <v>x</v>
      </c>
      <c r="DK121" s="112"/>
      <c r="DL121" s="112"/>
      <c r="DM121" s="112"/>
      <c r="DN121" s="112"/>
      <c r="DO121" s="112"/>
      <c r="DP121" s="111"/>
      <c r="DQ121" s="111"/>
      <c r="DR121" s="111"/>
      <c r="DS121" s="112" t="str">
        <f>HYPERLINK("http://bildung.koeln.de/materialbibliothek/download.php?idx=00d90bf2e613ea68bb3a6eb10941e749","x")</f>
        <v>x</v>
      </c>
      <c r="DT121" s="112" t="str">
        <f>HYPERLINK("http://bildung.koeln.de/materialbibliothek/download.php?idx=7fe9bcc33373e31f48b8dc613c66ad26","x")</f>
        <v>x</v>
      </c>
      <c r="DU121" s="112"/>
      <c r="DV121" s="111"/>
      <c r="DW121" s="111"/>
      <c r="DX121" s="111"/>
      <c r="DY121" s="111"/>
      <c r="DZ121" s="111"/>
      <c r="EA121" s="111"/>
      <c r="EB121" s="112"/>
      <c r="EC121" s="111"/>
      <c r="ED121" s="111"/>
      <c r="EE121" s="111"/>
      <c r="EF121" s="111"/>
      <c r="EG121" s="111"/>
      <c r="EH121" s="111"/>
      <c r="EI121" s="111"/>
      <c r="EJ121" s="112"/>
      <c r="EK121" s="112"/>
      <c r="EL121" s="111"/>
      <c r="EM121" s="112" t="str">
        <f>HYPERLINK("http://www.kvs-sachsen.de/fileadmin/img/Mitglieder/Asylbewerber/Allg-Informationen/Anlage_1_Albanisch_LEK.pdf","x")</f>
        <v>x</v>
      </c>
      <c r="EN121" s="111"/>
      <c r="EO121" s="111"/>
      <c r="EP121" s="117" t="str">
        <f>HYPERLINK("http://www.medi-bild.de/pdf/anamnese/Welche_Sprache.pdf","x")</f>
        <v>x</v>
      </c>
      <c r="EQ121" s="118"/>
      <c r="ER121" s="112" t="str">
        <f>HYPERLINK("http://www.kvs-sachsen.de/fileadmin/img/Mitglieder/Asylbewerber/Allg-Informationen/Anlagen_2-1_2-2_Albanisch_LEK.pdf","x")</f>
        <v>x</v>
      </c>
      <c r="ES121" s="112"/>
      <c r="ET121" s="112"/>
      <c r="EU121" s="111"/>
      <c r="EV121" s="112" t="str">
        <f>HYPERLINK("http://www.adler-apotheke-hh.de/fileadmin/user_upload/PDF-Dateien/Dosierzettel_mehrsprachig_AUF_0_.pdf","x")</f>
        <v>x</v>
      </c>
      <c r="EW121" s="112" t="str">
        <f t="shared" si="36"/>
        <v>x</v>
      </c>
      <c r="EX121" s="111"/>
      <c r="EY121" s="111"/>
      <c r="EZ121" s="111"/>
      <c r="FA121" s="111"/>
      <c r="FB121" s="111"/>
      <c r="FC121" s="111"/>
      <c r="FD121" s="112" t="str">
        <f t="shared" si="37"/>
        <v>x</v>
      </c>
      <c r="FE121" s="112" t="str">
        <f>HYPERLINK("http://sghanstedt.elbnetz.com/ueber-uns/","x")</f>
        <v>x</v>
      </c>
      <c r="FF121" s="112" t="str">
        <f>HYPERLINK("http://www.fuhlenhagen.com/pdf_dateien/uebertzungshilfe_aerzte_mehrsprachig.pdf","x")</f>
        <v>x</v>
      </c>
      <c r="FG121" s="112" t="str">
        <f>HYPERLINK("http://www.tipdoc.de/grafik/asyl/Gesundheitsheft_Asyl.pdf","x")</f>
        <v>x</v>
      </c>
      <c r="FH121" s="111"/>
      <c r="FI121" s="111"/>
      <c r="FJ121" s="112"/>
      <c r="FK121" s="112" t="str">
        <f>HYPERLINK("http://www.rki.de/DE/Content/Infekt/Impfen/Materialien/Downloads-Impfkalender/Impfkalender_Albanisch.pdf?__blob=publicationFile","x")</f>
        <v>x</v>
      </c>
      <c r="FL121" s="112" t="str">
        <f>HYPERLINK("http://www.ethno-medizinisches-zentrum.de/images/PDF-Files/impfwegweiser_albanisch_2013_online.pdf","x")</f>
        <v>x</v>
      </c>
      <c r="FM121" s="112"/>
      <c r="FN121" s="112" t="str">
        <f>HYPERLINK("http://www.rki.de/DE/Content/Infekt/Impfen/Materialien/Glossar-Downloads/glossar-de-albanisch.pdf?__blob=publicationFile","x")</f>
        <v>x</v>
      </c>
      <c r="FO121" s="112"/>
      <c r="FP121" s="112" t="str">
        <f>HYPERLINK("http://www.rki.de/DE/Content/Infekt/Impfen/Materialien/Downloads-MMR/MMR-Impfinfo-albanisch.pdf?__blob=publicationFile","x")</f>
        <v>x</v>
      </c>
      <c r="FQ121" s="111"/>
      <c r="FR121" s="112" t="str">
        <f>HYPERLINK("http://www.rki.de/DE/Content/Infekt/Impfen/Materialien/Downloads_HepA/Aufklaerung_HAV-Impfung_albanisch.pdf?__blob=publicationFile","x")</f>
        <v>x</v>
      </c>
      <c r="FS121" s="112" t="str">
        <f>HYPERLINK("http://www.rki.de/DE/Content/Infekt/Impfen/Materialien/Downloads_Pneumokokken/Aufklaerung_Pneumo-Impfung_Albanisch.pdf?__blob=publicationFile","x")</f>
        <v>x</v>
      </c>
      <c r="FT121" s="112" t="str">
        <f>HYPERLINK("http://www.rki.de/DE/Content/Infekt/Impfen/Materialien/Downloads-DTaPIPVHibHepB/DTaPIPVHibHepB_albanisch.pdf?__blob=publicationFile","x")</f>
        <v>x</v>
      </c>
      <c r="FU121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21" s="112" t="str">
        <f>HYPERLINK("http://www.rki.de/DE/Content/Infekt/Impfen/Materialien/Downloads-Tdap-IPV/Tdap-IPV-albanisch.pdf?__blob=publicationFile","x")</f>
        <v>x</v>
      </c>
      <c r="FW121" s="112" t="str">
        <f>HYPERLINK("http://www.rki.de/DE/Content/Infekt/Impfen/Materialien/Downloads-Influenza_nasal/Influenza_nasal-albanisch.pdf?__blob=publicationFile","x")</f>
        <v>x</v>
      </c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2" t="str">
        <f>HYPERLINK("http://www.rki.de/DE/Content/Infekt/Impfen/Materialien/Downloads-Influenza/Influenza-albanisch.pdf?__blob=publicationFile","x")</f>
        <v>x</v>
      </c>
      <c r="GN121" s="111"/>
      <c r="GO121" s="111"/>
      <c r="GP121" s="112" t="str">
        <f>HYPERLINK("http://www.tipdoc.de/grafik/pdf/kopflaeuse/Kopflaeuse_ALBAN.pdf","x")</f>
        <v>x</v>
      </c>
      <c r="GQ121" s="112"/>
      <c r="GR121" s="112" t="str">
        <f>HYPERLINK("http://www.tipdoc.com/bus/pdf/kraetze/tipdoc_Scabies_ALBAN.pdf","x")</f>
        <v>x</v>
      </c>
      <c r="GS121" s="112" t="str">
        <f>HYPERLINK("http://www.tipdoc.com/bus/pdf/MagenDarmHaende/MagenDarmHaende_ALBAN.pdf","x")</f>
        <v>x</v>
      </c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2" t="str">
        <f t="shared" si="38"/>
        <v>x</v>
      </c>
      <c r="HD121" s="112" t="str">
        <f>HYPERLINK("https://www.zahnaerzte-wl.de/images/_PDF-suche/KZV_ZÄK/ENDSTAND_Ankreuzbogen_Ich_verstehe.pdf","x")</f>
        <v>x</v>
      </c>
      <c r="HE121" s="112" t="str">
        <f>HYPERLINK("https://www.zahnaerzte-wl.de/images/_PDF-suche/KZV_ZÄK/Anschreiben_albanisch.pdf","x")</f>
        <v>x</v>
      </c>
      <c r="HF121" s="112" t="str">
        <f>HYPERLINK("https://www.zahnaerzte-wl.de/images/_PDF-suche/KZV_ZÄK/Fragebogen_albanisch.pdf","x")</f>
        <v>x</v>
      </c>
      <c r="HG121" s="112" t="str">
        <f>HYPERLINK("https://www.zahnaerzte-wl.de/images/_PDF-suche/KZV_ZÄK/Fragebogen_albanisch.pdf","x")</f>
        <v>x</v>
      </c>
      <c r="HH121" s="112"/>
      <c r="HI121" s="112"/>
      <c r="HJ121" s="112"/>
      <c r="HK121" s="112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2" t="str">
        <f t="shared" si="39"/>
        <v>x</v>
      </c>
      <c r="HZ121" s="112" t="str">
        <f t="shared" si="40"/>
        <v>x</v>
      </c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2"/>
      <c r="IL121" s="111"/>
      <c r="IM121" s="111"/>
      <c r="IN121" s="111"/>
      <c r="IO121" s="111"/>
      <c r="IP121" s="111"/>
      <c r="IQ121" s="112"/>
      <c r="IR121" s="112"/>
      <c r="IS121" s="111"/>
      <c r="IT121" s="111"/>
      <c r="IU121" s="111"/>
      <c r="IV121" s="112" t="str">
        <f>HYPERLINK("http://www.asyl.net/fileadmin/user_upload/infoblatt_anhoerung/Infoblatt_2015_alb_fin.pdf","x")</f>
        <v>x</v>
      </c>
      <c r="IW121" s="112"/>
      <c r="IX121" s="112"/>
      <c r="IY121" s="112" t="str">
        <f>HYPERLINK("http://www.bamf.de/SharedDocs/Anlagen/DE/Publikationen/Broschueren/broschuere-eat-a4-sq-albanisch.pdf?__blob=publicationFile","x")</f>
        <v>x</v>
      </c>
      <c r="IZ121" s="111"/>
      <c r="JA121" s="111"/>
      <c r="JB121" s="111"/>
      <c r="JC121" s="112" t="str">
        <f>HYPERLINK("http://www.bamf.de/SharedDocs/Anlagen/DE/Publikationen/Flyer/20140110_ura2-kinderprojekt_alb.pdf?__blob=publicationFile","x")</f>
        <v>x</v>
      </c>
      <c r="JD121" s="111"/>
      <c r="JE121" s="112"/>
      <c r="JF121" s="112"/>
      <c r="JG121" s="111"/>
      <c r="JH121" s="111"/>
      <c r="JI121" s="111"/>
      <c r="JJ121" s="112"/>
      <c r="JK121" s="112"/>
      <c r="JL121" s="112"/>
      <c r="JM121" s="112"/>
      <c r="JN121" s="112"/>
      <c r="JO121" s="112"/>
      <c r="JP121" s="112"/>
      <c r="JQ121" s="112"/>
      <c r="JR121" s="112" t="str">
        <f>HYPERLINK("http://www.ibla-germany.de/merkblaetter.php","x")</f>
        <v>x</v>
      </c>
      <c r="JS121" s="112"/>
      <c r="JT121" s="111"/>
      <c r="JU121" s="111"/>
      <c r="JV121" s="111"/>
      <c r="JW121" s="112"/>
      <c r="JX121" s="112"/>
      <c r="JY121" s="112"/>
      <c r="JZ121" s="112"/>
      <c r="KA121" s="112"/>
      <c r="KB121" s="112" t="str">
        <f>HYPERLINK("http://www.refugeeguide.de/dl/RefugeeGuide_al_929.pdf","x")</f>
        <v>x</v>
      </c>
      <c r="KC121" s="111"/>
      <c r="KD121" s="111"/>
      <c r="KE121" s="112" t="str">
        <f>HYPERLINK("http://www.frauenrechte.de/online/images/downloads/allgemein/TDF_Flyer_Women_Men.pdf","x")</f>
        <v>x</v>
      </c>
      <c r="KF121" s="111"/>
      <c r="KG121" s="112"/>
      <c r="KH121" s="112"/>
      <c r="KI121" s="112"/>
      <c r="KJ121" s="112"/>
      <c r="KK121" s="112"/>
      <c r="KL121" s="112"/>
      <c r="KM121" s="112"/>
      <c r="KN121" s="112"/>
      <c r="KO121" s="112"/>
      <c r="KP121" s="112"/>
      <c r="KQ121" s="112"/>
      <c r="KR121" s="112"/>
      <c r="KS121" s="112"/>
      <c r="KT121" s="112"/>
      <c r="KU121" s="112"/>
      <c r="KV121" s="112"/>
      <c r="KW121" s="112"/>
      <c r="KX121" s="112"/>
      <c r="KY121" s="112"/>
      <c r="KZ121" s="112"/>
      <c r="LA121" s="112"/>
      <c r="LB121" s="112"/>
      <c r="LC121" s="111"/>
      <c r="LD121" s="111"/>
      <c r="LE121" s="111"/>
      <c r="LF121" s="111"/>
      <c r="LG121" s="111"/>
      <c r="LH121" s="111"/>
      <c r="LI121" s="111"/>
      <c r="LJ121" s="111"/>
      <c r="LK121" s="111"/>
      <c r="LL121" s="111"/>
      <c r="LM121" s="111"/>
      <c r="LN121" s="111"/>
      <c r="LO121" s="111"/>
      <c r="LP121" s="111"/>
      <c r="LQ121" s="111"/>
      <c r="LR121" s="111"/>
      <c r="LS121" s="111"/>
      <c r="LT121" s="111"/>
      <c r="LU121" s="111"/>
      <c r="LV121" s="111"/>
      <c r="LW121" s="111"/>
      <c r="LX121" s="111"/>
      <c r="LY121" s="111"/>
      <c r="LZ121" s="111"/>
      <c r="MA121" s="111"/>
      <c r="MB121" s="111"/>
      <c r="MC121" s="111"/>
      <c r="MD121" s="111"/>
      <c r="ME121" s="111"/>
      <c r="MF121" s="111"/>
      <c r="MG121" s="111"/>
      <c r="MH121" s="111"/>
      <c r="MI121" s="111"/>
    </row>
    <row r="122" spans="1:347" x14ac:dyDescent="0.25">
      <c r="A122" s="102" t="s">
        <v>57</v>
      </c>
      <c r="B122" s="127" t="s">
        <v>31</v>
      </c>
      <c r="C122" s="102"/>
      <c r="D122" s="102"/>
      <c r="E122" s="102"/>
      <c r="F122" s="102"/>
      <c r="G122" s="102"/>
      <c r="H122" s="102"/>
      <c r="I122" s="102"/>
      <c r="J122" s="102"/>
      <c r="K122" s="103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2"/>
      <c r="AP122" s="112"/>
      <c r="AQ122" s="112"/>
      <c r="AR122" s="112"/>
      <c r="AS122" s="112"/>
      <c r="AT122" s="112"/>
      <c r="AU122" s="112"/>
      <c r="AV122" s="113"/>
      <c r="AW122" s="114" t="str">
        <f t="shared" si="22"/>
        <v>x</v>
      </c>
      <c r="AX122" s="114" t="str">
        <f t="shared" si="23"/>
        <v>x</v>
      </c>
      <c r="AY122" s="111"/>
      <c r="AZ122" s="111"/>
      <c r="BA122" s="112" t="str">
        <f t="shared" si="24"/>
        <v>x</v>
      </c>
      <c r="BB122" s="112" t="str">
        <f t="shared" si="25"/>
        <v>x</v>
      </c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2" t="str">
        <f t="shared" si="26"/>
        <v>x</v>
      </c>
      <c r="BT122" s="112"/>
      <c r="BU122" s="111"/>
      <c r="BV122" s="112" t="str">
        <f t="shared" si="27"/>
        <v>x</v>
      </c>
      <c r="BW122" s="112" t="str">
        <f>HYPERLINK("http://www.welcomegrooves.de/wp-content/uploads/2015/10/welcomegrooves_DE-ITALIENISCH.pdf","x")</f>
        <v>x</v>
      </c>
      <c r="BX122" s="112"/>
      <c r="BY122" s="112"/>
      <c r="BZ122" s="112"/>
      <c r="CA122" s="112" t="str">
        <f t="shared" si="28"/>
        <v>x</v>
      </c>
      <c r="CB122" s="112" t="str">
        <f t="shared" si="29"/>
        <v>x</v>
      </c>
      <c r="CC122" s="112" t="str">
        <f t="shared" si="30"/>
        <v>x</v>
      </c>
      <c r="CD122" s="112"/>
      <c r="CE122" s="112"/>
      <c r="CF122" s="111"/>
      <c r="CG122" s="111"/>
      <c r="CH122" s="111"/>
      <c r="CI122" s="111"/>
      <c r="CJ122" s="112" t="str">
        <f>HYPERLINK("https://www.hilfetelefon.de/fileadmin/hilfetelefon_de/Materialien/weitere_werbemittel/Klappflyer_Vorder-_und_Rueckseite_opt2.pdf","x")</f>
        <v>x</v>
      </c>
      <c r="CK122" s="112" t="str">
        <f t="shared" si="31"/>
        <v>x</v>
      </c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5"/>
      <c r="DD122" s="112"/>
      <c r="DE122" s="112"/>
      <c r="DF122" s="112" t="str">
        <f t="shared" si="32"/>
        <v>x</v>
      </c>
      <c r="DG122" s="115" t="str">
        <f t="shared" si="33"/>
        <v>x</v>
      </c>
      <c r="DH122" s="112" t="str">
        <f t="shared" si="34"/>
        <v>x</v>
      </c>
      <c r="DI122" s="112" t="str">
        <f t="shared" si="35"/>
        <v>x</v>
      </c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2" t="str">
        <f>HYPERLINK("http://bildung.koeln.de/materialbibliothek/download.php?idx=6e6336cbd5e920e5928ff24d1b4dc652","x")</f>
        <v>x</v>
      </c>
      <c r="DT122" s="112" t="str">
        <f>HYPERLINK("http://bildung.koeln.de/materialbibliothek/download.php?idx=84ab4cde32ae8b264a6f2c238f88b49e","x")</f>
        <v>x</v>
      </c>
      <c r="DU122" s="112"/>
      <c r="DV122" s="112" t="str">
        <f>HYPERLINK("https://www.bmbf.de/pub/Elternbroschuere_Kausa_italienisch.pdf","x")</f>
        <v>x</v>
      </c>
      <c r="DW122" s="111"/>
      <c r="DX122" s="111"/>
      <c r="DY122" s="111"/>
      <c r="DZ122" s="111"/>
      <c r="EA122" s="112" t="str">
        <f>HYPERLINK("http://www.bamf.de/SharedDocs/Anlagen/DE/Publikationen/Flyer/AnerkennungBerufsabschluss/anerkennung-berufsabschluss_ausland_it.pdf?__blob=publicationFile","x")</f>
        <v>x</v>
      </c>
      <c r="EB122" s="112"/>
      <c r="EC122" s="112"/>
      <c r="ED122" s="111"/>
      <c r="EE122" s="111"/>
      <c r="EF122" s="111"/>
      <c r="EG122" s="111"/>
      <c r="EH122" s="111"/>
      <c r="EI122" s="111"/>
      <c r="EJ122" s="112"/>
      <c r="EK122" s="112"/>
      <c r="EL122" s="111"/>
      <c r="EM122" s="112" t="str">
        <f>HYPERLINK("http://www.kvs-sachsen.de/fileadmin/img/Mitglieder/Asylbewerber/Allg-Informationen/Anlage_1_Italienisch_LEK.pdf","x")</f>
        <v>x</v>
      </c>
      <c r="EN122" s="111"/>
      <c r="EO122" s="111"/>
      <c r="EP122" s="117" t="str">
        <f>HYPERLINK("http://www.medi-bild.de/pdf/anamnese/Welche_Sprache.pdf","x")</f>
        <v>x</v>
      </c>
      <c r="EQ122" s="117" t="str">
        <f>HYPERLINK("http://www.armut-gesundheit.de/fileadmin/redakteur/dokumente/Anamnesebogen%20-%20italienischnew.pdf","x")</f>
        <v>x</v>
      </c>
      <c r="ER122" s="112" t="str">
        <f>HYPERLINK("http://www.kvs-sachsen.de/fileadmin/img/Mitglieder/Asylbewerber/Allg-Informationen/Anlagen_2-1_2-2_Italienisch_LEK.pdf","x")</f>
        <v>x</v>
      </c>
      <c r="ES122" s="111"/>
      <c r="ET122" s="111"/>
      <c r="EU122" s="111"/>
      <c r="EV122" s="111"/>
      <c r="EW122" s="112" t="str">
        <f t="shared" si="36"/>
        <v>x</v>
      </c>
      <c r="EX122" s="111"/>
      <c r="EY122" s="111"/>
      <c r="EZ122" s="111"/>
      <c r="FA122" s="111"/>
      <c r="FB122" s="111"/>
      <c r="FC122" s="111"/>
      <c r="FD122" s="112" t="str">
        <f t="shared" si="37"/>
        <v>x</v>
      </c>
      <c r="FE122" s="112" t="str">
        <f>HYPERLINK("http://sghanstedt.elbnetz.com/ueber-uns/","x")</f>
        <v>x</v>
      </c>
      <c r="FF122" s="111"/>
      <c r="FG122" s="111"/>
      <c r="FH122" s="111"/>
      <c r="FI122" s="111"/>
      <c r="FJ122" s="111"/>
      <c r="FK122" s="111"/>
      <c r="FL122" s="112" t="str">
        <f>HYPERLINK("http://www.ethno-medizinisches-zentrum.de/images/PDF-Files/impfwegweiser_italiensich_2013_online.pdf","x")</f>
        <v>x</v>
      </c>
      <c r="FM122" s="112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2" t="str">
        <f>HYPERLINK("http://www.ethno-medizinisches-zentrum.de/images/PDF-Files/lf_diabete_italienisch.pdf","x")</f>
        <v>x</v>
      </c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2" t="str">
        <f t="shared" si="38"/>
        <v>x</v>
      </c>
      <c r="HD122" s="111"/>
      <c r="HE122" s="111"/>
      <c r="HF122" s="111"/>
      <c r="HG122" s="111"/>
      <c r="HH122" s="111"/>
      <c r="HI122" s="111"/>
      <c r="HJ122" s="111"/>
      <c r="HK122" s="112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2" t="str">
        <f>HYPERLINK("http://www.bkk-psychisch-gesund.de/fileadmin/user_upload/Dokumente/Versicherte/Broschueren/Wegweiser_Psychotherapie_italienisch.pdf","x")</f>
        <v>x</v>
      </c>
      <c r="HY122" s="112" t="str">
        <f t="shared" si="39"/>
        <v>x</v>
      </c>
      <c r="HZ122" s="112" t="str">
        <f t="shared" si="40"/>
        <v>x</v>
      </c>
      <c r="IA122" s="111"/>
      <c r="IB122" s="111"/>
      <c r="IC122" s="111"/>
      <c r="ID122" s="111"/>
      <c r="IE122" s="111"/>
      <c r="IF122" s="111"/>
      <c r="IG122" s="111"/>
      <c r="IH122" s="111"/>
      <c r="II122" s="112" t="str">
        <f>HYPERLINK("http://www.caritas.de/hilfeundberatung/onlineberatung/suchtberatung/haeufiggestelltefragensucht/haeufiggestelltefragen-sucht","x")</f>
        <v>x</v>
      </c>
      <c r="IJ122" s="111"/>
      <c r="IK122" s="112" t="str">
        <f>HYPERLINK("http://www.bamf.de/SharedDocs/Anlagen/DE/Publikationen/Flyer/Lassen-Sie-Sich-Beraten/lassen-sie-sich-beraten_it.pdf?__blob=publicationFile","x")</f>
        <v>x</v>
      </c>
      <c r="IL122" s="111"/>
      <c r="IM122" s="111"/>
      <c r="IN122" s="112" t="str">
        <f>HYPERLINK("https://www.bamf.de/SharedDocs/Anlagen/DE/Publikationen/Broschueren/willkommen-in-deutschland_it.pdf?__blob=publicationFile","x")</f>
        <v>x</v>
      </c>
      <c r="IO122" s="112"/>
      <c r="IP122" s="111"/>
      <c r="IQ122" s="112" t="str">
        <f>HYPERLINK("http://www.bamf.de/SharedDocs/Anlagen/DE/Publikationen/Flyer/Lernen-Sie-Deutsch/lernen-sie-deutsch_it.pdf?__blob=publicationFile","x")</f>
        <v>x</v>
      </c>
      <c r="IR122" s="112"/>
      <c r="IS122" s="111"/>
      <c r="IT122" s="111"/>
      <c r="IU122" s="111"/>
      <c r="IV122" s="112"/>
      <c r="IW122" s="112"/>
      <c r="IX122" s="112" t="str">
        <f>HYPERLINK("http://www.berlin.de/labo/willkommen-in-berlin/service/downloads/artikel.273193.php","x")</f>
        <v>x</v>
      </c>
      <c r="IY122" s="112"/>
      <c r="IZ122" s="111"/>
      <c r="JA122" s="111"/>
      <c r="JB122" s="111"/>
      <c r="JC122" s="112"/>
      <c r="JD122" s="111"/>
      <c r="JE122" s="112"/>
      <c r="JF122" s="112"/>
      <c r="JG122" s="112"/>
      <c r="JH122" s="112"/>
      <c r="JI122" s="111"/>
      <c r="JJ122" s="112"/>
      <c r="JK122" s="112"/>
      <c r="JL122" s="112" t="str">
        <f>HYPERLINK("http://www.kub-berlin.org/formularprojekt/de/italienisch-antraege-und-anlagen-uebersetzungshilfen/","x")</f>
        <v>x</v>
      </c>
      <c r="JM122" s="112" t="str">
        <f>HYPERLINK("https://www.arbeitsagentur.de/web/content/DE/Formulare/Detail/index.htm?dfContentId=L6019022DSTBAI485740","x")</f>
        <v>x</v>
      </c>
      <c r="JN122" s="112"/>
      <c r="JO122" s="112"/>
      <c r="JP122" s="112"/>
      <c r="JQ122" s="112"/>
      <c r="JR122" s="112" t="str">
        <f>HYPERLINK("http://www.ibla-germany.de/merkblaetter.php","x")</f>
        <v>x</v>
      </c>
      <c r="JS122" s="112"/>
      <c r="JT122" s="111"/>
      <c r="JU122" s="111"/>
      <c r="JV122" s="111"/>
      <c r="JW122" s="112"/>
      <c r="JX122" s="112"/>
      <c r="JY122" s="111"/>
      <c r="JZ122" s="111"/>
      <c r="KA122" s="111"/>
      <c r="KB122" s="111"/>
      <c r="KC122" s="111"/>
      <c r="KD122" s="111"/>
      <c r="KE122" s="111"/>
      <c r="KF122" s="111"/>
      <c r="KG122" s="111"/>
      <c r="KH122" s="111"/>
      <c r="KI122" s="111"/>
      <c r="KJ122" s="111"/>
      <c r="KK122" s="111"/>
      <c r="KL122" s="111"/>
      <c r="KM122" s="111"/>
      <c r="KN122" s="111"/>
      <c r="KO122" s="111"/>
      <c r="KP122" s="111"/>
      <c r="KQ122" s="111"/>
      <c r="KR122" s="111"/>
      <c r="KS122" s="111"/>
      <c r="KT122" s="111"/>
      <c r="KU122" s="111"/>
      <c r="KV122" s="111"/>
      <c r="KW122" s="111"/>
      <c r="KX122" s="111"/>
      <c r="KY122" s="111"/>
      <c r="KZ122" s="111"/>
      <c r="LA122" s="111"/>
      <c r="LB122" s="111"/>
      <c r="LC122" s="111"/>
      <c r="LD122" s="111"/>
      <c r="LE122" s="111"/>
      <c r="LF122" s="111"/>
      <c r="LG122" s="111"/>
      <c r="LH122" s="111"/>
      <c r="LI122" s="111"/>
      <c r="LJ122" s="111"/>
      <c r="LK122" s="111"/>
      <c r="LL122" s="111"/>
      <c r="LM122" s="111"/>
      <c r="LN122" s="111"/>
      <c r="LO122" s="111"/>
      <c r="LP122" s="111"/>
      <c r="LQ122" s="111"/>
      <c r="LR122" s="111"/>
      <c r="LS122" s="111"/>
      <c r="LT122" s="111"/>
      <c r="LU122" s="111"/>
      <c r="LV122" s="111"/>
      <c r="LW122" s="111"/>
      <c r="LX122" s="111"/>
      <c r="LY122" s="111"/>
      <c r="LZ122" s="111"/>
      <c r="MA122" s="111"/>
      <c r="MB122" s="111"/>
      <c r="MC122" s="111"/>
      <c r="MD122" s="111"/>
      <c r="ME122" s="111"/>
      <c r="MF122" s="111"/>
      <c r="MG122" s="111"/>
      <c r="MH122" s="111"/>
      <c r="MI122" s="111"/>
    </row>
    <row r="123" spans="1:347" x14ac:dyDescent="0.25">
      <c r="A123" s="102" t="s">
        <v>57</v>
      </c>
      <c r="B123" s="127" t="s">
        <v>32</v>
      </c>
      <c r="C123" s="102"/>
      <c r="D123" s="102"/>
      <c r="E123" s="102"/>
      <c r="F123" s="102"/>
      <c r="G123" s="102"/>
      <c r="H123" s="102"/>
      <c r="I123" s="102"/>
      <c r="J123" s="102"/>
      <c r="K123" s="103"/>
      <c r="L123" s="111"/>
      <c r="M123" s="111"/>
      <c r="N123" s="112" t="str">
        <f>HYPERLINK("http://www.ag-fluechtlingshilfe-wetterau.de/uploads/infos/170.pdf","x")</f>
        <v>x</v>
      </c>
      <c r="O123" s="112"/>
      <c r="P123" s="112"/>
      <c r="Q123" s="112"/>
      <c r="R123" s="112"/>
      <c r="S123" s="112"/>
      <c r="T123" s="112"/>
      <c r="U123" s="112"/>
      <c r="V123" s="112"/>
      <c r="W123" s="111"/>
      <c r="X123" s="112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2"/>
      <c r="AP123" s="112"/>
      <c r="AQ123" s="112"/>
      <c r="AR123" s="112"/>
      <c r="AS123" s="112"/>
      <c r="AT123" s="112"/>
      <c r="AU123" s="112"/>
      <c r="AV123" s="113"/>
      <c r="AW123" s="114" t="str">
        <f t="shared" si="22"/>
        <v>x</v>
      </c>
      <c r="AX123" s="114" t="str">
        <f t="shared" si="23"/>
        <v>x</v>
      </c>
      <c r="AY123" s="111"/>
      <c r="AZ123" s="111"/>
      <c r="BA123" s="112" t="str">
        <f t="shared" si="24"/>
        <v>x</v>
      </c>
      <c r="BB123" s="112" t="str">
        <f t="shared" si="25"/>
        <v>x</v>
      </c>
      <c r="BC123" s="111"/>
      <c r="BD123" s="111"/>
      <c r="BE123" s="111"/>
      <c r="BF123" s="111"/>
      <c r="BG123" s="111"/>
      <c r="BH123" s="112" t="str">
        <f>HYPERLINK("http://www.refugeephrasebook.de/pdf/germany150920.pdf","x")</f>
        <v>x</v>
      </c>
      <c r="BI123" s="112" t="str">
        <f>HYPERLINK("https://www.advanced-online.eu/downloads/RefugeePhrasebookCards_German-Bosnian-Croatian-Serbian.pdf","x")</f>
        <v>x</v>
      </c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2" t="str">
        <f t="shared" si="26"/>
        <v>x</v>
      </c>
      <c r="BT123" s="112"/>
      <c r="BU123" s="111"/>
      <c r="BV123" s="112" t="str">
        <f t="shared" si="27"/>
        <v>x</v>
      </c>
      <c r="BW123" s="112"/>
      <c r="BX123" s="112"/>
      <c r="BY123" s="112"/>
      <c r="BZ123" s="112"/>
      <c r="CA123" s="112" t="str">
        <f t="shared" si="28"/>
        <v>x</v>
      </c>
      <c r="CB123" s="112" t="str">
        <f t="shared" si="29"/>
        <v>x</v>
      </c>
      <c r="CC123" s="112" t="str">
        <f t="shared" si="30"/>
        <v>x</v>
      </c>
      <c r="CD123" s="112"/>
      <c r="CE123" s="112"/>
      <c r="CF123" s="111"/>
      <c r="CG123" s="111"/>
      <c r="CH123" s="111"/>
      <c r="CI123" s="111"/>
      <c r="CJ123" s="111"/>
      <c r="CK123" s="112" t="str">
        <f t="shared" si="31"/>
        <v>x</v>
      </c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 t="str">
        <f>HYPERLINK("http://www.profamilia.de/fileadmin/publikationen/Erwachsene/mehrsprachig/verhuetung_kroatisch.pdf","x")</f>
        <v>x</v>
      </c>
      <c r="CV123" s="112"/>
      <c r="CW123" s="112"/>
      <c r="CX123" s="112" t="str">
        <f>HYPERLINK("http://www.profamilia.de/fileadmin/publikationen/Reihe_Koerper_und_Sexualtitaet/Bro_Schwangerschaftsabbruch_HR_ANSICHT.pdf","x")</f>
        <v>x</v>
      </c>
      <c r="CY123" s="111"/>
      <c r="CZ123" s="112"/>
      <c r="DA123" s="112"/>
      <c r="DB123" s="112"/>
      <c r="DC123" s="115"/>
      <c r="DD123" s="112"/>
      <c r="DE123" s="112"/>
      <c r="DF123" s="112" t="str">
        <f t="shared" si="32"/>
        <v>x</v>
      </c>
      <c r="DG123" s="115" t="str">
        <f t="shared" si="33"/>
        <v>x</v>
      </c>
      <c r="DH123" s="112" t="str">
        <f t="shared" si="34"/>
        <v>x</v>
      </c>
      <c r="DI123" s="112" t="str">
        <f t="shared" si="35"/>
        <v>x</v>
      </c>
      <c r="DJ123" s="112" t="str">
        <f>HYPERLINK("http://www.bibliomedia.ch/de/angebote/dokumente/Glossar_kroatisch.pdf","x")</f>
        <v>x</v>
      </c>
      <c r="DK123" s="112"/>
      <c r="DL123" s="112"/>
      <c r="DM123" s="112"/>
      <c r="DN123" s="112"/>
      <c r="DO123" s="112"/>
      <c r="DP123" s="111"/>
      <c r="DQ123" s="111"/>
      <c r="DR123" s="111"/>
      <c r="DS123" s="112" t="str">
        <f>HYPERLINK("http://bildung.koeln.de/materialbibliothek/download.php?idx=0fa72c9e161f25c40f1bb81295fb4f1f","x")</f>
        <v>x</v>
      </c>
      <c r="DT123" s="112" t="str">
        <f>HYPERLINK("http://bildung.koeln.de/materialbibliothek/download.php?idx=3a958a19af2d93b8f387abceab9f62b3","x")</f>
        <v>x</v>
      </c>
      <c r="DU123" s="112"/>
      <c r="DV123" s="112" t="str">
        <f>HYPERLINK("https://www.bmbf.de/pub/Kausa_Elternbroschuere_bosn_kroat_serb.pdf","x")</f>
        <v>x</v>
      </c>
      <c r="DW123" s="111"/>
      <c r="DX123" s="111"/>
      <c r="DY123" s="111"/>
      <c r="DZ123" s="112" t="str">
        <f>HYPERLINK("http://www.bamf.de/SharedDocs/Anlagen/DE/Publikationen/Flyer/AnerkennungBerufsabschluss/anerkennung-berufsabschluss_hr.pdf?__blob=publicationFile","x")</f>
        <v>x</v>
      </c>
      <c r="EA123" s="112" t="str">
        <f>HYPERLINK("http://www.bamf.de/SharedDocs/Anlagen/DE/Publikationen/Flyer/AnerkennungBerufsabschluss/anerkennung-berufsabschluss_ausland_hr.pdf?__blob=publicationFile","x")</f>
        <v>x</v>
      </c>
      <c r="EB123" s="112"/>
      <c r="EC123" s="112"/>
      <c r="ED123" s="111"/>
      <c r="EE123" s="111"/>
      <c r="EF123" s="111"/>
      <c r="EG123" s="111"/>
      <c r="EH123" s="111"/>
      <c r="EI123" s="111"/>
      <c r="EJ123" s="112"/>
      <c r="EK123" s="112"/>
      <c r="EL123" s="111"/>
      <c r="EM123" s="112" t="str">
        <f>HYPERLINK("http://www.kvs-sachsen.de/fileadmin/img/Mitglieder/Asylbewerber/Allg-Informationen/Anlage_1_Kroatisch_LEK.pdf","x")</f>
        <v>x</v>
      </c>
      <c r="EN123" s="111"/>
      <c r="EO123" s="111"/>
      <c r="EP123" s="117"/>
      <c r="EQ123" s="117" t="str">
        <f>HYPERLINK("http://www.armut-gesundheit.de/fileadmin/redakteur/dokumente/Anamnesebogen%20-%20kroatischnew.pdf","x")</f>
        <v>x</v>
      </c>
      <c r="ER123" s="112" t="str">
        <f>HYPERLINK("http://www.kvs-sachsen.de/fileadmin/img/Mitglieder/Asylbewerber/Allg-Informationen/Anlagen_2-1_2-2_Kroatisch_LEK.pdf","x")</f>
        <v>x</v>
      </c>
      <c r="ES123" s="111"/>
      <c r="ET123" s="111"/>
      <c r="EU123" s="111"/>
      <c r="EV123" s="111"/>
      <c r="EW123" s="112" t="str">
        <f t="shared" si="36"/>
        <v>x</v>
      </c>
      <c r="EX123" s="111"/>
      <c r="EY123" s="111"/>
      <c r="EZ123" s="111"/>
      <c r="FA123" s="111"/>
      <c r="FB123" s="111"/>
      <c r="FC123" s="111"/>
      <c r="FD123" s="112" t="str">
        <f t="shared" si="37"/>
        <v>x</v>
      </c>
      <c r="FE123" s="112" t="str">
        <f>HYPERLINK("http://sghanstedt.elbnetz.com/ueber-uns/","x")</f>
        <v>x</v>
      </c>
      <c r="FF123" s="111"/>
      <c r="FG123" s="111"/>
      <c r="FH123" s="111"/>
      <c r="FI123" s="111"/>
      <c r="FJ123" s="112"/>
      <c r="FK123" s="112" t="str">
        <f>HYPERLINK("http://www.rki.de/DE/Content/Infekt/Impfen/Materialien/Downloads-Impfkalender/Impfkalender_Kroatisch.pdf;jsessionid=B56E144E4E5DED843A215A7A8F137849.2_cid290?__blob=publicationFile","x")</f>
        <v>x</v>
      </c>
      <c r="FL123" s="111"/>
      <c r="FM123" s="111"/>
      <c r="FN123" s="112" t="str">
        <f>HYPERLINK("http://www.rki.de/DE/Content/Infekt/Impfen/Materialien/Glossar-Downloads/glossar-de-kroatisch.pdf?__blob=publicationFile","x")</f>
        <v>x</v>
      </c>
      <c r="FO123" s="112"/>
      <c r="FP123" s="112" t="str">
        <f>HYPERLINK("http://www.rki.de/DE/Content/Infekt/Impfen/Materialien/Downloads-MMR/MMR-Impfinfo-kroatisch.pdf?__blob=publicationFile","x")</f>
        <v>x</v>
      </c>
      <c r="FQ123" s="111"/>
      <c r="FR123" s="112" t="str">
        <f>HYPERLINK("http://www.rki.de/DE/Content/Infekt/Impfen/Materialien/Downloads_HepA/Aufklaerung_HAV-Impfung_Kroatisch.pdf?__blob=publicationFile","x")</f>
        <v>x</v>
      </c>
      <c r="FS123" s="112" t="str">
        <f>HYPERLINK("http://www.rki.de/DE/Content/Infekt/Impfen/Materialien/Downloads_Pneumokokken/Aufklaerung_Pneumo-Impfung_Kroatisch.pdf?__blob=publicationFile","x")</f>
        <v>x</v>
      </c>
      <c r="FT123" s="112" t="str">
        <f>HYPERLINK("http://www.rki.de/DE/Content/Infekt/Impfen/Materialien/Downloads-DTaPIPVHibHepB/DTaPIPVHibHepB-kroatisch.pdf?__blob=publicationFile","x")</f>
        <v>x</v>
      </c>
      <c r="FU123" s="112" t="str">
        <f>HYPERLINK("http://www.rki.de/DE/Content/Infekt/Impfen/Materialien/Downloads-Varizellen/Varizellen-Impfinfo-kroatisch.pdf;jsessionid=65B697F4EE7EDA8A1ED9E2C4CD6C74EC.2_cid363?__blob=publicationFile","x")</f>
        <v>x</v>
      </c>
      <c r="FV123" s="112" t="str">
        <f>HYPERLINK("http://www.rki.de/DE/Content/Infekt/Impfen/Materialien/Downloads-Tdap-IPV/Tdap-IPV-kroatisch.pdf?__blob=publicationFile","x")</f>
        <v>x</v>
      </c>
      <c r="FW123" s="112" t="str">
        <f>HYPERLINK("http://www.rki.de/DE/Content/Infekt/Impfen/Materialien/Downloads-Influenza_nasal/Influenza_nasal-kroatisch.pdf?__blob=publicationFile","x")</f>
        <v>x</v>
      </c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2" t="str">
        <f>HYPERLINK("http://www.rki.de/DE/Content/Infekt/Impfen/Materialien/Downloads-Influenza/Influenza-kroatisch.pdf?__blob=publicationFile","x")</f>
        <v>x</v>
      </c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2" t="str">
        <f t="shared" si="38"/>
        <v>x</v>
      </c>
      <c r="HD123" s="112" t="str">
        <f>HYPERLINK("https://www.zahnaerzte-wl.de/images/_PDF-suche/KZV_ZÄK/ENDSTAND_Ankreuzbogen_Ich_verstehe.pdf","x")</f>
        <v>x</v>
      </c>
      <c r="HE123" s="112" t="str">
        <f>HYPERLINK("https://www.zahnaerzte-wl.de/images/_PDF-suche/KZV_ZÄK/Anschreiben_Patienten_kroatisch.pdf","x")</f>
        <v>x</v>
      </c>
      <c r="HF123" s="112" t="str">
        <f>HYPERLINK("https://www.zahnaerzte-wl.de/images/_PDF-suche/KZV_ZÄK/Fragebogen_kroatisch.pdf","x")</f>
        <v>x</v>
      </c>
      <c r="HG123" s="112" t="str">
        <f>HYPERLINK("https://www.zahnaerzte-wl.de/images/_PDF-suche/KZV_ZÄK/Patientenerhebungsbogen_kroatisch.pdf","x")</f>
        <v>x</v>
      </c>
      <c r="HH123" s="112"/>
      <c r="HI123" s="112"/>
      <c r="HJ123" s="112"/>
      <c r="HK123" s="112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2" t="str">
        <f t="shared" si="39"/>
        <v>x</v>
      </c>
      <c r="HZ123" s="112" t="str">
        <f t="shared" si="40"/>
        <v>x</v>
      </c>
      <c r="IA123" s="111"/>
      <c r="IB123" s="111"/>
      <c r="IC123" s="111"/>
      <c r="ID123" s="111"/>
      <c r="IE123" s="111"/>
      <c r="IF123" s="111"/>
      <c r="IG123" s="111"/>
      <c r="IH123" s="111"/>
      <c r="II123" s="112" t="str">
        <f>HYPERLINK("http://www.caritas.de/hilfeundberatung/onlineberatung/suchtberatung/haeufiggestelltefragensucht/haeufiggestelltefragen-sucht","x")</f>
        <v>x</v>
      </c>
      <c r="IJ123" s="111"/>
      <c r="IK123" s="112"/>
      <c r="IL123" s="111"/>
      <c r="IM123" s="111"/>
      <c r="IN123" s="111"/>
      <c r="IO123" s="111"/>
      <c r="IP123" s="111"/>
      <c r="IQ123" s="112"/>
      <c r="IR123" s="112"/>
      <c r="IS123" s="111"/>
      <c r="IT123" s="111"/>
      <c r="IU123" s="111"/>
      <c r="IV123" s="112"/>
      <c r="IW123" s="112"/>
      <c r="IX123" s="112"/>
      <c r="IY123" s="112"/>
      <c r="IZ123" s="111"/>
      <c r="JA123" s="111"/>
      <c r="JB123" s="111"/>
      <c r="JC123" s="112"/>
      <c r="JD123" s="111"/>
      <c r="JE123" s="112"/>
      <c r="JF123" s="112"/>
      <c r="JG123" s="112"/>
      <c r="JH123" s="112"/>
      <c r="JI123" s="111"/>
      <c r="JJ123" s="112"/>
      <c r="JK123" s="112"/>
      <c r="JL123" s="112"/>
      <c r="JM123" s="112" t="str">
        <f>HYPERLINK("https://www.arbeitsagentur.de/web/content/DE/Formulare/Detail/index.htm?dfContentId=L6019022DSTBAI485740","x")</f>
        <v>x</v>
      </c>
      <c r="JN123" s="112"/>
      <c r="JO123" s="112"/>
      <c r="JP123" s="112"/>
      <c r="JQ123" s="112"/>
      <c r="JR123" s="112" t="str">
        <f>HYPERLINK("http://www.ibla-germany.de/merkblaetter.php","x")</f>
        <v>x</v>
      </c>
      <c r="JS123" s="112"/>
      <c r="JT123" s="111"/>
      <c r="JU123" s="111"/>
      <c r="JV123" s="111"/>
      <c r="JW123" s="112"/>
      <c r="JX123" s="112"/>
      <c r="JY123" s="111"/>
      <c r="JZ123" s="111"/>
      <c r="KA123" s="111"/>
      <c r="KB123" s="111"/>
      <c r="KC123" s="111"/>
      <c r="KD123" s="111"/>
      <c r="KE123" s="111"/>
      <c r="KF123" s="111"/>
      <c r="KG123" s="111"/>
      <c r="KH123" s="111"/>
      <c r="KI123" s="111"/>
      <c r="KJ123" s="111"/>
      <c r="KK123" s="111"/>
      <c r="KL123" s="111"/>
      <c r="KM123" s="111"/>
      <c r="KN123" s="111"/>
      <c r="KO123" s="111"/>
      <c r="KP123" s="111"/>
      <c r="KQ123" s="111"/>
      <c r="KR123" s="111"/>
      <c r="KS123" s="111"/>
      <c r="KT123" s="111"/>
      <c r="KU123" s="111"/>
      <c r="KV123" s="111"/>
      <c r="KW123" s="111"/>
      <c r="KX123" s="111"/>
      <c r="KY123" s="111"/>
      <c r="KZ123" s="111"/>
      <c r="LA123" s="111"/>
      <c r="LB123" s="111"/>
      <c r="LC123" s="111"/>
      <c r="LD123" s="111"/>
      <c r="LE123" s="111"/>
      <c r="LF123" s="111"/>
      <c r="LG123" s="111"/>
      <c r="LH123" s="111"/>
      <c r="LI123" s="111"/>
      <c r="LJ123" s="111"/>
      <c r="LK123" s="111"/>
      <c r="LL123" s="111"/>
      <c r="LM123" s="111"/>
      <c r="LN123" s="111"/>
      <c r="LO123" s="111"/>
      <c r="LP123" s="111"/>
      <c r="LQ123" s="111"/>
      <c r="LR123" s="111"/>
      <c r="LS123" s="111"/>
      <c r="LT123" s="111"/>
      <c r="LU123" s="111"/>
      <c r="LV123" s="111"/>
      <c r="LW123" s="111"/>
      <c r="LX123" s="111"/>
      <c r="LY123" s="111"/>
      <c r="LZ123" s="111"/>
      <c r="MA123" s="111"/>
      <c r="MB123" s="111"/>
      <c r="MC123" s="111"/>
      <c r="MD123" s="111"/>
      <c r="ME123" s="111"/>
      <c r="MF123" s="111"/>
      <c r="MG123" s="111"/>
      <c r="MH123" s="111"/>
      <c r="MI123" s="112" t="str">
        <f>HYPERLINK("http://www.kindersicherheit.de/pdf/2012_poster_achtunggiftig_8sprachig.pdf","x")</f>
        <v>x</v>
      </c>
    </row>
    <row r="124" spans="1:347" x14ac:dyDescent="0.25">
      <c r="A124" s="102" t="s">
        <v>57</v>
      </c>
      <c r="B124" s="127" t="s">
        <v>152</v>
      </c>
      <c r="C124" s="102"/>
      <c r="D124" s="102"/>
      <c r="E124" s="102"/>
      <c r="F124" s="102"/>
      <c r="G124" s="102"/>
      <c r="H124" s="102"/>
      <c r="I124" s="102"/>
      <c r="J124" s="102"/>
      <c r="K124" s="103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3"/>
      <c r="AW124" s="114" t="str">
        <f t="shared" si="22"/>
        <v>x</v>
      </c>
      <c r="AX124" s="114" t="str">
        <f t="shared" si="23"/>
        <v>x</v>
      </c>
      <c r="AY124" s="111"/>
      <c r="AZ124" s="111"/>
      <c r="BA124" s="112" t="str">
        <f t="shared" si="24"/>
        <v>x</v>
      </c>
      <c r="BB124" s="112" t="str">
        <f t="shared" si="25"/>
        <v>x</v>
      </c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2" t="str">
        <f t="shared" si="26"/>
        <v>x</v>
      </c>
      <c r="BT124" s="112"/>
      <c r="BU124" s="111"/>
      <c r="BV124" s="112" t="str">
        <f t="shared" si="27"/>
        <v>x</v>
      </c>
      <c r="BW124" s="112"/>
      <c r="BX124" s="112"/>
      <c r="BY124" s="112"/>
      <c r="BZ124" s="112"/>
      <c r="CA124" s="112" t="str">
        <f t="shared" si="28"/>
        <v>x</v>
      </c>
      <c r="CB124" s="112" t="str">
        <f t="shared" si="29"/>
        <v>x</v>
      </c>
      <c r="CC124" s="112" t="str">
        <f t="shared" si="30"/>
        <v>x</v>
      </c>
      <c r="CD124" s="112"/>
      <c r="CE124" s="112"/>
      <c r="CF124" s="111"/>
      <c r="CG124" s="111"/>
      <c r="CH124" s="111"/>
      <c r="CI124" s="111"/>
      <c r="CJ124" s="111"/>
      <c r="CK124" s="112" t="str">
        <f t="shared" si="31"/>
        <v>x</v>
      </c>
      <c r="CL124" s="112"/>
      <c r="CM124" s="112"/>
      <c r="CN124" s="112"/>
      <c r="CO124" s="112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2"/>
      <c r="DA124" s="112"/>
      <c r="DB124" s="112"/>
      <c r="DC124" s="115"/>
      <c r="DD124" s="112"/>
      <c r="DE124" s="112"/>
      <c r="DF124" s="112" t="str">
        <f t="shared" si="32"/>
        <v>x</v>
      </c>
      <c r="DG124" s="115" t="str">
        <f t="shared" si="33"/>
        <v>x</v>
      </c>
      <c r="DH124" s="112" t="str">
        <f t="shared" si="34"/>
        <v>x</v>
      </c>
      <c r="DI124" s="112" t="str">
        <f t="shared" si="35"/>
        <v>x</v>
      </c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8"/>
      <c r="EQ124" s="118"/>
      <c r="ER124" s="111"/>
      <c r="ES124" s="111"/>
      <c r="ET124" s="111"/>
      <c r="EU124" s="111"/>
      <c r="EV124" s="111"/>
      <c r="EW124" s="112" t="str">
        <f t="shared" si="36"/>
        <v>x</v>
      </c>
      <c r="EX124" s="111"/>
      <c r="EY124" s="111"/>
      <c r="EZ124" s="111"/>
      <c r="FA124" s="111"/>
      <c r="FB124" s="111"/>
      <c r="FC124" s="111"/>
      <c r="FD124" s="112" t="str">
        <f t="shared" si="37"/>
        <v>x</v>
      </c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2" t="str">
        <f t="shared" si="38"/>
        <v>x</v>
      </c>
      <c r="HD124" s="112" t="str">
        <f>HYPERLINK("https://www.zahnaerzte-wl.de/images/_PDF-suche/KZV_ZÄK/ENDSTAND_Ankreuzbogen_Ich_verstehe.pdf","x")</f>
        <v>x</v>
      </c>
      <c r="HE124" s="112" t="str">
        <f>HYPERLINK("https://www.zahnaerzte-wl.de/images/_PDF-suche/KZV_ZÄK/Anschreiben_Patienten_montenegrisch.pdf","x")</f>
        <v>x</v>
      </c>
      <c r="HF124" s="112" t="str">
        <f>HYPERLINK("https://www.zahnaerzte-wl.de/images/_PDF-suche/KZV_ZÄK/Fragebogen_montenegrisch.pdf","x")</f>
        <v>x</v>
      </c>
      <c r="HG124" s="112" t="str">
        <f>HYPERLINK("https://www.zahnaerzte-wl.de/images/_PDF-suche/KZV_ZÄK/Patientenerhebungsbogen_montenegrisch.pdf","x")</f>
        <v>x</v>
      </c>
      <c r="HH124" s="112"/>
      <c r="HI124" s="112"/>
      <c r="HJ124" s="112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2" t="str">
        <f t="shared" si="39"/>
        <v>x</v>
      </c>
      <c r="HZ124" s="112" t="str">
        <f t="shared" si="40"/>
        <v>x</v>
      </c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1"/>
      <c r="IZ124" s="111"/>
      <c r="JA124" s="111"/>
      <c r="JB124" s="111"/>
      <c r="JC124" s="111"/>
      <c r="JD124" s="111"/>
      <c r="JE124" s="111"/>
      <c r="JF124" s="111"/>
      <c r="JG124" s="111"/>
      <c r="JH124" s="111"/>
      <c r="JI124" s="111"/>
      <c r="JJ124" s="111"/>
      <c r="JK124" s="111"/>
      <c r="JL124" s="111"/>
      <c r="JM124" s="111"/>
      <c r="JN124" s="111"/>
      <c r="JO124" s="111"/>
      <c r="JP124" s="111"/>
      <c r="JQ124" s="111"/>
      <c r="JR124" s="111"/>
      <c r="JS124" s="111"/>
      <c r="JT124" s="111"/>
      <c r="JU124" s="111"/>
      <c r="JV124" s="111"/>
      <c r="JW124" s="111"/>
      <c r="JX124" s="111"/>
      <c r="JY124" s="111"/>
      <c r="JZ124" s="111"/>
      <c r="KA124" s="111"/>
      <c r="KB124" s="111"/>
      <c r="KC124" s="111"/>
      <c r="KD124" s="111"/>
      <c r="KE124" s="111"/>
      <c r="KF124" s="111"/>
      <c r="KG124" s="111"/>
      <c r="KH124" s="111"/>
      <c r="KI124" s="111"/>
      <c r="KJ124" s="111"/>
      <c r="KK124" s="111"/>
      <c r="KL124" s="111"/>
      <c r="KM124" s="111"/>
      <c r="KN124" s="111"/>
      <c r="KO124" s="111"/>
      <c r="KP124" s="111"/>
      <c r="KQ124" s="111"/>
      <c r="KR124" s="111"/>
      <c r="KS124" s="111"/>
      <c r="KT124" s="111"/>
      <c r="KU124" s="111"/>
      <c r="KV124" s="111"/>
      <c r="KW124" s="111"/>
      <c r="KX124" s="111"/>
      <c r="KY124" s="111"/>
      <c r="KZ124" s="111"/>
      <c r="LA124" s="111"/>
      <c r="LB124" s="111"/>
      <c r="LC124" s="111"/>
      <c r="LD124" s="111"/>
      <c r="LE124" s="111"/>
      <c r="LF124" s="111"/>
      <c r="LG124" s="111"/>
      <c r="LH124" s="111"/>
      <c r="LI124" s="111"/>
      <c r="LJ124" s="111"/>
      <c r="LK124" s="111"/>
      <c r="LL124" s="111"/>
      <c r="LM124" s="111"/>
      <c r="LN124" s="111"/>
      <c r="LO124" s="111"/>
      <c r="LP124" s="111"/>
      <c r="LQ124" s="111"/>
      <c r="LR124" s="111"/>
      <c r="LS124" s="111"/>
      <c r="LT124" s="111"/>
      <c r="LU124" s="111"/>
      <c r="LV124" s="111"/>
      <c r="LW124" s="111"/>
      <c r="LX124" s="111"/>
      <c r="LY124" s="111"/>
      <c r="LZ124" s="111"/>
      <c r="MA124" s="111"/>
      <c r="MB124" s="111"/>
      <c r="MC124" s="111"/>
      <c r="MD124" s="111"/>
      <c r="ME124" s="111"/>
      <c r="MF124" s="111"/>
      <c r="MG124" s="111"/>
      <c r="MH124" s="111"/>
      <c r="MI124" s="111"/>
    </row>
    <row r="125" spans="1:347" x14ac:dyDescent="0.25">
      <c r="A125" s="102" t="s">
        <v>385</v>
      </c>
      <c r="B125" s="127" t="s">
        <v>4</v>
      </c>
      <c r="C125" s="102"/>
      <c r="D125" s="102"/>
      <c r="E125" s="102"/>
      <c r="F125" s="102"/>
      <c r="G125" s="102"/>
      <c r="H125" s="102"/>
      <c r="I125" s="102"/>
      <c r="J125" s="102"/>
      <c r="K125" s="103"/>
      <c r="L125" s="111"/>
      <c r="M125" s="111"/>
      <c r="N125" s="112" t="str">
        <f>HYPERLINK("http://www.ag-fluechtlingshilfe-wetterau.de/uploads/infos/170.pdf","x")</f>
        <v>x</v>
      </c>
      <c r="O125" s="112" t="str">
        <f>HYPERLINK("http://www.ag-fluechtlingshilfe-wetterau.de/uploads/infos/220.pdf","x")</f>
        <v>x</v>
      </c>
      <c r="P125" s="112" t="str">
        <f>HYPERLINK("http://www.awb-ahrweiler.de/admin/data/ddownload/Abfall%20Sonderhinweise-englisch_2014.pdf","x")</f>
        <v>x</v>
      </c>
      <c r="Q125" s="112" t="str">
        <f>HYPERLINK("http://www.ag-fluechtlingshilfe-wetterau.de/uploads/infos/221.pdf","x")</f>
        <v>x</v>
      </c>
      <c r="R125" s="112" t="str">
        <f>HYPERLINK("http://www.konto.org/download/merkblatt-basiskonto-asylbewerber-english.pdf","x")</f>
        <v>x</v>
      </c>
      <c r="S125" s="112"/>
      <c r="T125" s="112" t="str">
        <f>HYPERLINK("https://antworten.sparkasse.de/wp-content/uploads/2015/10/English.pdf","x")</f>
        <v>x</v>
      </c>
      <c r="U125" s="112" t="str">
        <f>HYPERLINK("http://www.ag-fluechtlingshilfe-wetterau.de/uploads/infos/191.pdf","x")</f>
        <v>x</v>
      </c>
      <c r="V125" s="112"/>
      <c r="W125" s="112"/>
      <c r="X12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2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25" s="112"/>
      <c r="AA125" s="112"/>
      <c r="AB125" s="112"/>
      <c r="AC125" s="112" t="str">
        <f>HYPERLINK("http://www.vzhh.de/vzhh/409638/vzhh_refugees_telephone_internet.pdf","x")</f>
        <v>x</v>
      </c>
      <c r="AD125" s="112" t="str">
        <f>HYPERLINK("http://www.vzhh.de/vzhh/410647/vzhh_refugees_rundfunk.pdf","x")</f>
        <v>x</v>
      </c>
      <c r="AE125" s="112" t="str">
        <f>HYPERLINK("http://www.vzhh.de/vzhh/411476/vzhh_refugees_rundfunk_befreiung.pdf","x")</f>
        <v>x</v>
      </c>
      <c r="AF125" s="112" t="str">
        <f>HYPERLINK("http://www.kub-berlin.org/formularprojekt/de/englisch-antraege-und-anlagen-uebersetzungshilfen/","x")</f>
        <v>x</v>
      </c>
      <c r="AG125" s="112" t="str">
        <f>HYPERLINK("http://asyl-in-moenchengladbach.de/wp-content/uploads/2015/11/100711-Flyer_GB.pdf","x")</f>
        <v>x</v>
      </c>
      <c r="AH125" s="112" t="str">
        <f>HYPERLINK("http://sghanstedt.elbnetz.com/ueber-uns/","x")</f>
        <v>x</v>
      </c>
      <c r="AI125" s="112" t="str">
        <f>HYPERLINK("https://www.adac.de/sp/stiftung/_mmm/pdf/SGE_FOL_Verkehrssicherheit_Fl%C3%BCchtlinge_A3_01_16_Internet_250277.pdf","x")</f>
        <v>x</v>
      </c>
      <c r="AJ125" s="112" t="str">
        <f>HYPERLINK("http://www.stadt-koeln.de/mediaasset/content/kvb_kinderleicht_und_spielend_einfach__englisch_.pdf","x")</f>
        <v>x</v>
      </c>
      <c r="AK125" s="112" t="str">
        <f>HYPERLINK("https://www.vrsinfo.de/fileadmin/Dateien/downloadcenter/Folder_MobilPassTicket_Refugees01012016.pdf","x")</f>
        <v>x</v>
      </c>
      <c r="AL125" s="112" t="str">
        <f>HYPERLINK("https://www.vrsinfo.de/fileadmin/Dateien/downloadcenter/Willkommen_im_VRS2016_Druck.pdf","x")</f>
        <v>x</v>
      </c>
      <c r="AM125" s="112"/>
      <c r="AN125" s="112" t="str">
        <f>HYPERLINK("https://www.deutschebahn.com/file/de/2191748/eYdgZpqGpp5sMJ2KMKtg2r8aE4Q/10123812/data/infos_fuer_fluechtlinge.pdf","x")</f>
        <v>x</v>
      </c>
      <c r="AO125" s="112"/>
      <c r="AP125" s="112"/>
      <c r="AQ125" s="112"/>
      <c r="AR125" s="112"/>
      <c r="AS125" s="112"/>
      <c r="AT125" s="112"/>
      <c r="AU125" s="112" t="str">
        <f>HYPERLINK("http://www.stadt-koeln.de/mediaasset/content/festkomitee_flyer_2016_d_gb.pdf","x")</f>
        <v>x</v>
      </c>
      <c r="AV125" s="113"/>
      <c r="AW125" s="114" t="str">
        <f t="shared" si="22"/>
        <v>x</v>
      </c>
      <c r="AX125" s="114" t="str">
        <f t="shared" si="23"/>
        <v>x</v>
      </c>
      <c r="AY125" s="112" t="str">
        <f>HYPERLINK("http://fi-lohmar-siegburg.de/data/documents/Findefix_arabisch-Bildwoerterbuch.pdf","x")</f>
        <v>x</v>
      </c>
      <c r="AZ125" s="111"/>
      <c r="BA125" s="112" t="str">
        <f t="shared" si="24"/>
        <v>x</v>
      </c>
      <c r="BB125" s="112" t="str">
        <f t="shared" si="25"/>
        <v>x</v>
      </c>
      <c r="BC125" s="111"/>
      <c r="BD125" s="111"/>
      <c r="BE125" s="112" t="str">
        <f>HYPERLINK("http://fi-lohmar-siegburg.de/data/documents/communicationboard-arabic-english.pdf","x")</f>
        <v>x</v>
      </c>
      <c r="BF125" s="112"/>
      <c r="BG125" s="111"/>
      <c r="BH125" s="112" t="str">
        <f>HYPERLINK("http://www.refugeephrasebook.de/pdf/germany150920.pdf","x")</f>
        <v>x</v>
      </c>
      <c r="BI125" s="112" t="str">
        <f>HYPERLINK("https://www.advanced-online.eu/downloads/RefugeePhrasebookCards_German-English.pdf","x")</f>
        <v>x</v>
      </c>
      <c r="BJ125" s="112" t="str">
        <f>HYPERLINK("http://www.klett-sprachen.de/download/8638/W100255_Refugees_Welcome_Wortschatz.pdf","x")</f>
        <v>x</v>
      </c>
      <c r="BK125" s="111"/>
      <c r="BL125" s="112" t="str">
        <f>HYPERLINK("http://www.bundessprachenamt.de/deutsch/wir_ueber_uns/nachrichten/2015/20151103/Verständigungshilfe_Englisch_26_11_2015.pdf","x")</f>
        <v>x</v>
      </c>
      <c r="BM125" s="112" t="str">
        <f>HYPERLINK("http://www.frnrw.de/images/Aus_den_Initiativen/Ehrenamtler/2015/Dictionary_x10_print-2.pdf","x")</f>
        <v>x</v>
      </c>
      <c r="BN125" s="112" t="str">
        <f>HYPERLINK("http://www.medbox.org/toolboxes/kleines-worterbuch-little-dictionary-deutsch-englisch-arabisch/preview","x")</f>
        <v>x</v>
      </c>
      <c r="BO125" s="112" t="str">
        <f>HYPERLINK("http://mylanguages.org/dari_phrases.php","x")</f>
        <v>x</v>
      </c>
      <c r="BP125" s="111"/>
      <c r="BQ125" s="111"/>
      <c r="BR125" s="111"/>
      <c r="BS125" s="112" t="str">
        <f t="shared" si="26"/>
        <v>x</v>
      </c>
      <c r="BT125" s="112"/>
      <c r="BU125" s="111"/>
      <c r="BV125" s="112" t="str">
        <f t="shared" si="27"/>
        <v>x</v>
      </c>
      <c r="BW125" s="112" t="str">
        <f>HYPERLINK("http://www.welcomegrooves.de/wp-content/uploads/2015/10/welcomegrooves_DE-ENGLISH1.pdf","x")</f>
        <v>x</v>
      </c>
      <c r="BX125" s="112"/>
      <c r="BY125" s="112"/>
      <c r="BZ125" s="112"/>
      <c r="CA125" s="112" t="str">
        <f t="shared" si="28"/>
        <v>x</v>
      </c>
      <c r="CB125" s="112" t="str">
        <f t="shared" si="29"/>
        <v>x</v>
      </c>
      <c r="CC125" s="112" t="str">
        <f t="shared" si="30"/>
        <v>x</v>
      </c>
      <c r="CD125" s="112"/>
      <c r="CE125" s="112"/>
      <c r="CF125" s="111"/>
      <c r="CG125" s="112" t="str">
        <f>HYPERLINK("http://www.braunschweig.de/leben/frauen/hilfe/Ohne-Gewalt-leben.pdf","x")</f>
        <v>x</v>
      </c>
      <c r="CH125" s="112" t="str">
        <f>HYPERLINK("http://mifkjf.rlp.de/fileadmin/mifkjf/Frauen/Gewalt_gegen_Frauen/Downloads/Broschueren_Flyer/Flyer_Gewalt_englisch.pdf","x")</f>
        <v>x</v>
      </c>
      <c r="CI125" s="112" t="str">
        <f>HYPERLINK("https://www.hilfetelefon.de/fileadmin/hilfetelefon_de/Materialien/Flyer/Infoflyer_Hilfetelefon_Gewalt_gegen_Frauen141105_b2.pdf","x")</f>
        <v>x</v>
      </c>
      <c r="CJ125" s="112" t="str">
        <f>HYPERLINK("https://www.hilfetelefon.de/fileadmin/hilfetelefon_de/Materialien/weitere_werbemittel/Klappflyer_Vorder-_und_Rueckseite_opt2.pdf","x")</f>
        <v>x</v>
      </c>
      <c r="CK125" s="112" t="str">
        <f t="shared" si="31"/>
        <v>x</v>
      </c>
      <c r="CL125" s="112" t="str">
        <f>HYPERLINK("http://www.frauenberatungsstelle.de/pdf/Migrantinnen-beraten-Migrantinnen.pdf","x")</f>
        <v>x</v>
      </c>
      <c r="CM125" s="112" t="str">
        <f>HYPERLINK("http://www.frauenleben.org/spezielle_beratungsangebote/sexualisierte_gewalt.htm","x")</f>
        <v>x</v>
      </c>
      <c r="CN125" s="112"/>
      <c r="CO125" s="112"/>
      <c r="CP125" s="112" t="str">
        <f>HYPERLINK("http://www.schwanger-und-viele-fragen.de/en/","x")</f>
        <v>x</v>
      </c>
      <c r="CQ125" s="112"/>
      <c r="CR12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25" s="112" t="str">
        <f>HYPERLINK("http://en.beststart.org/for_parents/are-you-looking-resources-languages-other-english-and-french","x")</f>
        <v>x</v>
      </c>
      <c r="CT125" s="112"/>
      <c r="CU125" s="112" t="str">
        <f>HYPERLINK("http://www.profamilia.de/fileadmin/publikationen/Erwachsene/mehrsprachig/Bro_Verhuetung_engl_2013.pdf","x")</f>
        <v>x</v>
      </c>
      <c r="CV125" s="112" t="str">
        <f>HYPERLINK("http://www.profamilia.de/fileadmin/publikationen/Erwachsene/mehrsprachig/Bro_Pille_danach_Faltblatt_140122_RZ.pdf","x")</f>
        <v>x</v>
      </c>
      <c r="CW125" s="112" t="str">
        <f>HYPERLINK("http://www.profamilia.de/fileadmin/publikationen/Reihe_Verhuetungsmethoden/Einleger_englisch.pdf","x")</f>
        <v>x</v>
      </c>
      <c r="CX125" s="112" t="str">
        <f>HYPERLINK("http://www.profamilia.de/fileadmin/publikationen/Reihe_Koerper_und_Sexualtitaet/Schwangerschaftsabbruch_englisch_2010.pdf","x")</f>
        <v>x</v>
      </c>
      <c r="CY125" s="112" t="str">
        <f>HYPERLINK("http://www.caritas-schwarzwald-alb-donau.de/68854.html","x")</f>
        <v>x</v>
      </c>
      <c r="CZ125" s="112" t="str">
        <f>HYPERLINK("http://www.dgfpi.de/tl_files/download/medien/unwissen-macht-en.pdf","x")</f>
        <v>x</v>
      </c>
      <c r="DA125" s="112"/>
      <c r="DB125" s="112"/>
      <c r="DC125" s="115" t="str">
        <f>HYPERLINK("http://www.kindersicherheit.de/pdf/2013_BAG_Tomi_and_Mila_Deutsch_English.pdf","x")</f>
        <v>x</v>
      </c>
      <c r="DD125" s="112"/>
      <c r="DE125" s="112"/>
      <c r="DF125" s="112" t="str">
        <f t="shared" si="32"/>
        <v>x</v>
      </c>
      <c r="DG125" s="115" t="str">
        <f t="shared" si="33"/>
        <v>x</v>
      </c>
      <c r="DH125" s="112" t="str">
        <f t="shared" si="34"/>
        <v>x</v>
      </c>
      <c r="DI125" s="112" t="str">
        <f t="shared" si="35"/>
        <v>x</v>
      </c>
      <c r="DJ125" s="112"/>
      <c r="DK125" s="112"/>
      <c r="DL125" s="112"/>
      <c r="DM125" s="112"/>
      <c r="DN125" s="112"/>
      <c r="DO125" s="112" t="str">
        <f>HYPERLINK("http://www.wdrmaus.de/sachgeschichten/maus-international/","x")</f>
        <v>x</v>
      </c>
      <c r="DP125" s="111"/>
      <c r="DQ125" s="111"/>
      <c r="DR125" s="112" t="str">
        <f>HYPERLINK("https://broschueren.nordrheinwestfalendirekt.de/broschuerenservice/msw/eng-das-schulsystem-in-nordrhein-westfalen-einfach-und-schnell-erklaert/1902","x")</f>
        <v>x</v>
      </c>
      <c r="DS125" s="112" t="str">
        <f>HYPERLINK("http://bildung.koeln.de/materialbibliothek/download.php?idx=8e2a9f658e9fa830ce17dc18f0fb0268","x")</f>
        <v>x</v>
      </c>
      <c r="DT125" s="112" t="str">
        <f>HYPERLINK("http://bildung.koeln.de/materialbibliothek/download.php?idx=90aff7e7259385cadb46c517317f1446","x")</f>
        <v>x</v>
      </c>
      <c r="DU125" s="112"/>
      <c r="DV125" s="112" t="str">
        <f>HYPERLINK("https://www.bmbf.de/pub/Kausa_Elternbroschuere_englisch.pdf","x")</f>
        <v>x</v>
      </c>
      <c r="DW125" s="112"/>
      <c r="DX125" s="112" t="str">
        <f>HYPERLINK("http://www.wissenschaft.nrw.de/studium/informieren/informationen-fuer-fluechtlinge-die-in-nrw-studieren-moechten/","x")</f>
        <v>x</v>
      </c>
      <c r="DY125" s="112" t="str">
        <f>HYPERLINK("http://www.bamf.de/SharedDocs/Anlagen/DE/Publikationen/Flyer/AnerkennungBerufsabschluss/berufliche_anerkennung_akademische-heilberufe_en.pdf?__blob=publicationFile","x")</f>
        <v>x</v>
      </c>
      <c r="DZ125" s="112" t="str">
        <f>HYPERLINK("http://www.bamf.de/SharedDocs/Anlagen/EN/Publikationen/Flyer/AnerkennungBerufsabschluss/anerkennung-berufsabschluss.pdf?__blob=publicationFile","x")</f>
        <v>x</v>
      </c>
      <c r="EA125" s="112" t="str">
        <f>HYPERLINK("http://www.bamf.de/SharedDocs/Anlagen/EN/Publikationen/Flyer/AnerkennungBerufsabschluss/anerkennung-berufsabschluss_ausland.pdf?__blob=publicationFile","x")</f>
        <v>x</v>
      </c>
      <c r="EB125" s="112" t="str">
        <f>HYPERLINK("http://www.bamf.de/SharedDocs/Anlagen/EN/Publikationen/Broschueren/willkommen-in-deutschland-info-blaue-karte-eu_en.pdf?__blob=publicationFile","x")</f>
        <v>x</v>
      </c>
      <c r="EC125" s="112" t="str">
        <f>HYPERLINK("http://www.bamf.de/SharedDocs/Anlagen/EN/Publikationen/Flyer/Berufsbezsprachf-ESF-BAMF/berufsbezsprachf-esf-bamf.pdf?__blob=publicationFile","x")</f>
        <v>x</v>
      </c>
      <c r="ED125" s="111"/>
      <c r="EE125" s="111"/>
      <c r="EF125" s="111"/>
      <c r="EG125" s="111"/>
      <c r="EH125" s="111"/>
      <c r="EI125" s="111"/>
      <c r="EJ125" s="112"/>
      <c r="EK125" s="112" t="str">
        <f>HYPERLINK("http://fluechtlingsrat-bw.de/files/Dateien/Dokumente/Materialbestellung/2014-12-flyer%20arbeitserlaubnis%20EN%20WEB.pdf","x")</f>
        <v>x</v>
      </c>
      <c r="EL125" s="112" t="str">
        <f>HYPERLINK("http://www.aponet.de/englisch/20151019-fuer-den-notfall-wichtige-rufnummern-im-ueberblick.html","x")</f>
        <v>x</v>
      </c>
      <c r="EM125" s="112" t="str">
        <f>HYPERLINK("http://www.kvs-sachsen.de/fileadmin/img/Mitglieder/Asylbewerber/Allg-Informationen/Anlage_1_Englisch_LEK.pdf","x")</f>
        <v>x</v>
      </c>
      <c r="EN125" s="112" t="str">
        <f>HYPERLINK("http://www.medizin-hilft-fluechtlingen.de/images/Dokumente/gSch/gSch_eng.pdf","x")</f>
        <v>x</v>
      </c>
      <c r="EO125" s="112" t="str">
        <f>HYPERLINK("http://www.aponet.de/englisch/medical-care-for-asylum-seekers.html","x")</f>
        <v>x</v>
      </c>
      <c r="EP125" s="117" t="str">
        <f t="shared" ref="EP125:EP133" si="45">HYPERLINK("http://www.medi-bild.de/pdf/anamnese/Welche_Sprache.pdf","x")</f>
        <v>x</v>
      </c>
      <c r="EQ125" s="117" t="str">
        <f>HYPERLINK("http://www.armut-gesundheit.de/fileadmin/redakteur/dokumente/Anamnesebogen%20-%20englischnew.pdf","x")</f>
        <v>x</v>
      </c>
      <c r="ER125" s="112" t="str">
        <f>HYPERLINK("http://www.kvs-sachsen.de/fileadmin/img/Mitglieder/Asylbewerber/Allg-Informationen/Anlagen_2-1_2-2_Englisch_LEK.pdf","x")</f>
        <v>x</v>
      </c>
      <c r="ES125" s="111"/>
      <c r="ET125" s="111"/>
      <c r="EU125" s="112" t="str">
        <f>HYPERLINK("http://www.medizin-hilft-fluechtlingen.de/images/Dokumente/ein/ein_engl.pdf","x")</f>
        <v>x</v>
      </c>
      <c r="EV125" s="112" t="str">
        <f>HYPERLINK("http://www.adler-apotheke-hh.de/fileadmin/user_upload/PDF-Dateien/Dosierzettel_mehrsprachig_AUF_0_.pdf","x")</f>
        <v>x</v>
      </c>
      <c r="EW125" s="112" t="str">
        <f t="shared" si="36"/>
        <v>x</v>
      </c>
      <c r="EX125" s="112" t="str">
        <f>HYPERLINK("http://www.rki.de/DE/Content/Infekt/IfSG/Belehrungsbogen/belehrungsbogen_eltern_englisch.pdf?__blob=publicationFile","x")</f>
        <v>x</v>
      </c>
      <c r="EY125" s="112" t="str">
        <f>HYPERLINK("http://www.bzga.de/infomaterialien/?sid=236","x")</f>
        <v>x</v>
      </c>
      <c r="EZ125" s="112" t="str">
        <f>HYPERLINK("https://www.mh-hannover.de/fileadmin/mhh/bilder/aktuelles_presse/pressestelle/bilder/Pilzvergif_English.pdf","x")</f>
        <v>x</v>
      </c>
      <c r="FA125" s="112"/>
      <c r="FB125" s="112" t="str">
        <f>HYPERLINK("http://static.apotheken-umschau.de/media/gp/article_506373/bildwoerterbuch.pdf","x")</f>
        <v>x</v>
      </c>
      <c r="FC125" s="112" t="str">
        <f>HYPERLINK("https://www.studentenwerke.de/sites/default/files/gesundheitswoerterbuch.pdf","x")</f>
        <v>x</v>
      </c>
      <c r="FD125" s="112" t="str">
        <f t="shared" si="37"/>
        <v>x</v>
      </c>
      <c r="FE125" s="112" t="str">
        <f t="shared" ref="FE125:FE132" si="46">HYPERLINK("http://sghanstedt.elbnetz.com/ueber-uns/","x")</f>
        <v>x</v>
      </c>
      <c r="FF125" s="112" t="str">
        <f>HYPERLINK("http://www.fuhlenhagen.com/pdf_dateien/uebertzungshilfe_aerzte_mehrsprachig.pdf","x")</f>
        <v>x</v>
      </c>
      <c r="FG125" s="112" t="str">
        <f>HYPERLINK("http://www.tipdoc.de/grafik/asyl/Gesundheitsheft_Asyl.pdf","x")</f>
        <v>x</v>
      </c>
      <c r="FH125" s="111"/>
      <c r="FI125" s="111"/>
      <c r="FJ125" s="112" t="str">
        <f>HYPERLINK("http://www.bundesgesundheitsministerium.de/fileadmin/dateien/Publikationen/Gesundheit/Broschueren/Ratgeber_Asylsuchende/Ratgeber_Asylsuchende_engl.pdf","x")</f>
        <v>x</v>
      </c>
      <c r="FK125" s="112" t="str">
        <f>HYPERLINK("http://www.rki.de/DE/Content/Infekt/Impfen/Materialien/Downloads-Impfkalender/Impfkalender_Englisch.pdf?__blob=publicationFile","x")</f>
        <v>x</v>
      </c>
      <c r="FL125" s="112" t="str">
        <f>HYPERLINK("http://www.ethno-medizinisches-zentrum.de/images/PDF-Files/impfwegweiser_englisch_2013_online.pdf","x")</f>
        <v>x</v>
      </c>
      <c r="FM125" s="112"/>
      <c r="FN125" s="112" t="str">
        <f>HYPERLINK("http://www.rki.de/DE/Content/Infekt/Impfen/Materialien/Glossar-Downloads/glossar-de-englisch.pdf?__blob=publicationFile","x")</f>
        <v>x</v>
      </c>
      <c r="FO125" s="112" t="str">
        <f>HYPERLINK("http://www.euro.who.int/__data/assets/pdf_file/0005/160754/VPDs_Signs-symptoms-complications.pdf?ua=1","x")</f>
        <v>x</v>
      </c>
      <c r="FP125" s="112" t="str">
        <f>HYPERLINK("http://www.rki.de/DE/Content/Infekt/Impfen/Materialien/Downloads-MMR/MMR-Impfinfo-englisch.pdf?__blob=publicationFile","x")</f>
        <v>x</v>
      </c>
      <c r="FQ125" s="112" t="str">
        <f>HYPERLINK("http://www.rki.de/DE/Content/InfAZ/P/Polio/Ausbruch_Syrien/Informationsblatt_Polio_Englisch.pdf?__blob=publicationFile","x")</f>
        <v>x</v>
      </c>
      <c r="FR125" s="112" t="str">
        <f>HYPERLINK("http://www.rki.de/DE/Content/Infekt/Impfen/Materialien/Downloads_HepA/Aufklaerung_HAV-Impfung_Englisch.pdf?__blob=publicationFile","x")</f>
        <v>x</v>
      </c>
      <c r="FS125" s="112" t="str">
        <f>HYPERLINK("http://www.rki.de/DE/Content/Infekt/Impfen/Materialien/Downloads_Pneumokokken/Aufklaerung_Pneumo-Impfung_Englisch.pdf?__blob=publicationFile","x")</f>
        <v>x</v>
      </c>
      <c r="FT125" s="112" t="str">
        <f>HYPERLINK("http://www.rki.de/DE/Content/Infekt/Impfen/Materialien/Downloads-DTaPIPVHibHepB/DTaPIPVHibHepB-englisch.pdf?__blob=publicationFile","x")</f>
        <v>x</v>
      </c>
      <c r="FU125" s="112" t="str">
        <f>HYPERLINK("http://www.rki.de/DE/Content/Infekt/Impfen/Materialien/Downloads-Varizellen/Varizellen-Impfinfo-englisch.pdf;jsessionid=65B697F4EE7EDA8A1ED9E2C4CD6C74EC.2_cid363?__blob=publicationFile","x")</f>
        <v>x</v>
      </c>
      <c r="FV125" s="112" t="str">
        <f>HYPERLINK("http://www.rki.de/DE/Content/Infekt/Impfen/Materialien/Downloads-Tdap-IPV/Tdap-IPV-englisch.pdf?__blob=publicationFile","x")</f>
        <v>x</v>
      </c>
      <c r="FW125" s="112" t="str">
        <f>HYPERLINK("http://www.rki.de/DE/Content/Infekt/Impfen/Materialien/Downloads-Influenza_nasal/Influenza_nasal-englisch.pdf?__blob=publicationFile","x")</f>
        <v>x</v>
      </c>
      <c r="FX125" s="111"/>
      <c r="FY125" s="112"/>
      <c r="FZ125" s="112"/>
      <c r="GA125" s="111"/>
      <c r="GB125" s="111"/>
      <c r="GC125" s="111"/>
      <c r="GD125" s="112" t="str">
        <f>HYPERLINK("http://www.ethno-medizinisches-zentrum.de/images/PDF-Files/lf_diabete_englisch.pdf","x")</f>
        <v>x</v>
      </c>
      <c r="GE125" s="111"/>
      <c r="GF125" s="111"/>
      <c r="GG125" s="111"/>
      <c r="GH125" s="112"/>
      <c r="GI125" s="111"/>
      <c r="GJ125" s="111"/>
      <c r="GK125" s="112" t="str">
        <f>HYPERLINK("http://www.tipdoc.de/bus/pdf/hiv/HIV%20ESP_Webseite.pdf","x")</f>
        <v>x</v>
      </c>
      <c r="GL125" s="111"/>
      <c r="GM125" s="112" t="str">
        <f>HYPERLINK("http://www.rki.de/DE/Content/Infekt/Impfen/Materialien/Downloads-Influenza/Influenza-englisch.pdf?__blob=publicationFile","x")</f>
        <v>x</v>
      </c>
      <c r="GN125" s="111"/>
      <c r="GO125" s="112" t="str">
        <f>HYPERLINK("http://www.aponet.de/englisch/20151111-so-unterscheiden-sich-grippe-und-erkaeltung.html","x")</f>
        <v>x</v>
      </c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2" t="str">
        <f t="shared" si="38"/>
        <v>x</v>
      </c>
      <c r="HD125" s="112" t="str">
        <f>HYPERLINK("https://www.zahnaerzte-wl.de/images/_PDF-suche/KZV_ZÄK/ENDSTAND_Ankreuzbogen_Ich_verstehe.pdf","x")</f>
        <v>x</v>
      </c>
      <c r="HE125" s="112" t="str">
        <f>HYPERLINK("https://www.zahnaerzte-wl.de/images/_PDF-suche/KZV_ZÄK/Anschreiben_Patienten_englisch.pdf","x")</f>
        <v>x</v>
      </c>
      <c r="HF125" s="112" t="str">
        <f>HYPERLINK("https://www.zahnaerzte-wl.de/images/_PDF-suche/KZV_ZÄK/Fragebogen_englisch.pdf","x")</f>
        <v>x</v>
      </c>
      <c r="HG125" s="112" t="str">
        <f>HYPERLINK("https://www.zahnaerzte-wl.de/images/_PDF-suche/KZV_ZÄK/Patientenerhebungsbogen_englisch.pdf","x")</f>
        <v>x</v>
      </c>
      <c r="HH125" s="112"/>
      <c r="HI125" s="112" t="str">
        <f>HYPERLINK("http://www.bvkm.de/fileadmin/web_data/Behinderung_und_Migration_englisch_2014.pdf","x")</f>
        <v>x</v>
      </c>
      <c r="HJ125" s="112"/>
      <c r="HK125" s="112" t="str">
        <f>HYPERLINK("http://www.psychenet.de/en/mental-health/knowledge/depression.html","x")</f>
        <v>x</v>
      </c>
      <c r="HL125" s="111"/>
      <c r="HM125" s="112" t="str">
        <f>HYPERLINK("http://www.psychenet.de/en/mental-health/knowledge/psychoses.html","x")</f>
        <v>x</v>
      </c>
      <c r="HN125" s="112" t="str">
        <f>HYPERLINK("http://www.psychenet.de/en/mental-health/knowledge/somatoform-disorders.html","x")</f>
        <v>x</v>
      </c>
      <c r="HO125" s="112" t="str">
        <f>HYPERLINK("http://www.psychenet.de/en/mental-health/knowledge/anorexia.html","x")</f>
        <v>x</v>
      </c>
      <c r="HP125" s="112" t="str">
        <f>HYPERLINK("http://www.psychenet.de/en/mental-health/knowledge/bulimia.html","x")</f>
        <v>x</v>
      </c>
      <c r="HQ125" s="112" t="str">
        <f>HYPERLINK("http://www.psychenet.de/en/mental-health/knowledge/bipolar-disorder.html","x")</f>
        <v>x</v>
      </c>
      <c r="HR125" s="112" t="str">
        <f>HYPERLINK("http://www.psychenet.de/en/mental-health/knowledge/panic-and-agoraphobia.html","x")</f>
        <v>x</v>
      </c>
      <c r="HS125" s="112" t="str">
        <f>HYPERLINK("http://www.psychenet.de/en/mental-health/knowledge/social-phobia.html","x")</f>
        <v>x</v>
      </c>
      <c r="HT125" s="112" t="str">
        <f>HYPERLINK("http://www.psychenet.de/en/mental-health/knowledge/generalized-anxiety-disorder.html","x")</f>
        <v>x</v>
      </c>
      <c r="HU125" s="112"/>
      <c r="HV125" s="112" t="str">
        <f>HYPERLINK("http://www.psychenet.de/en/mental-health/knowledge/information-and-support.html","x")</f>
        <v>x</v>
      </c>
      <c r="HW125" s="112"/>
      <c r="HX125" s="112" t="str">
        <f>HYPERLINK("http://www.bkk-psychisch-gesund.de/fileadmin/user_upload/Dokumente/Versicherte/Broschueren/Wegweiser_Psychotherapie_englisch.pdf","x")</f>
        <v>x</v>
      </c>
      <c r="HY125" s="112" t="str">
        <f t="shared" si="39"/>
        <v>x</v>
      </c>
      <c r="HZ125" s="112" t="str">
        <f t="shared" si="40"/>
        <v>x</v>
      </c>
      <c r="IA125" s="112" t="str">
        <f>HYPERLINK("http://peacefulheart.se/wp-content/uploads/2012/02/TTT_English_2013.pdf","x")</f>
        <v>x</v>
      </c>
      <c r="IB125" s="112"/>
      <c r="IC125" s="112"/>
      <c r="ID125" s="112" t="str">
        <f>HYPERLINK("http://www.susannestein.de/VIA-online/trauma-picture-book.pdf","x")</f>
        <v>x</v>
      </c>
      <c r="IE125" s="112" t="str">
        <f>HYPERLINK("http://www.psychenet.de/en/mental-health/knowledge/alcohol-in-adolescence.html","x")</f>
        <v>x</v>
      </c>
      <c r="IF125" s="112"/>
      <c r="IG125" s="112"/>
      <c r="IH125" s="111"/>
      <c r="II125" s="112" t="str">
        <f>HYPERLINK("http://www.caritas.de/hilfeundberatung/onlineberatung/suchtberatung/haeufiggestelltefragensucht/haeufiggestelltefragen-sucht","x")</f>
        <v>x</v>
      </c>
      <c r="IJ125" s="112" t="str">
        <f>HYPERLINK("http://www.dhs.de/fileadmin/user_upload/pdf/Broschueren/Ein_Angebot_an_alle-Englisch.pdf","x")</f>
        <v>x</v>
      </c>
      <c r="IK125" s="112" t="str">
        <f>HYPERLINK("http://www.bamf.de/SharedDocs/Anlagen/EN/Publikationen/Flyer/Lassen-Sie-Sich-Beraten/lassen-sie-sich-beraten.pdf?__blob=publicationFile","x")</f>
        <v>x</v>
      </c>
      <c r="IL125" s="115" t="str">
        <f>HYPERLINK("http://www.bamf.de/SharedDocs/Anlagen/EN/Publikationen/Flyer/flyer-erstorientierung-asylsuchende.pdf?__blob=publicationFile","x")</f>
        <v>x</v>
      </c>
      <c r="IM125" s="112" t="str">
        <f>HYPERLINK("http://www.frnrw.de/index.php/inhaltliche-themen/arbeitshilfen/item/3710-erstinfos-fuer-asylsuchende","x")</f>
        <v>x</v>
      </c>
      <c r="IN125" s="112" t="str">
        <f>HYPERLINK("http://www.bamf.de/SharedDocs/Anlagen/EN/Publikationen/Broschueren/willkommen-in-deutschland.pdf;jsessionid=2D72CB108E4AC02BBB9659E7D9A589B2.1_cid368?__blob=publicationFile","x")</f>
        <v>x</v>
      </c>
      <c r="IO125" s="112"/>
      <c r="IP125" s="112"/>
      <c r="IQ125" s="112" t="str">
        <f>HYPERLINK("http://www.bamf.de/SharedDocs/Anlagen/EN/Publikationen/Flyer/Lernen-Sie-Deutsch/lernen-sie-deutsch.pdf?__blob=publicationFile","x")</f>
        <v>x</v>
      </c>
      <c r="IR125" s="112" t="str">
        <f>HYPERLINK("http://www.asyl.net/fileadmin/user_upload/redaktion/Dokumente/Arbeitshilfen/150910_Wie_l%C3%A4uft_ein_Asylverfahren_ab_%C3%9Cberblickstext_Englisch.pdf","x")</f>
        <v>x</v>
      </c>
      <c r="IS125" s="111"/>
      <c r="IT125" s="112" t="str">
        <f>HYPERLINK("http://www.bamf.de/SharedDocs/Anlagen/EN/Publikationen/Flyer/ablauf-asylverfahren.pdf;jsessionid=DBD4307960D761935FCC3E0325D459A1.1_cid294?__blob=publicationFile","x")</f>
        <v>x</v>
      </c>
      <c r="IU125" s="111"/>
      <c r="IV125" s="112" t="str">
        <f>HYPERLINK("http://www.asyl.net/fileadmin/user_upload/infoblatt_anhoerung/Infoblatt_2015_en_fin.pdf","x")</f>
        <v>x</v>
      </c>
      <c r="IW125" s="112"/>
      <c r="IX125" s="112" t="str">
        <f>HYPERLINK("http://www.berlin.de/labo/willkommen-in-berlin/service/downloads/artikel.273193.php","x")</f>
        <v>x</v>
      </c>
      <c r="IY125" s="112" t="str">
        <f>HYPERLINK("http://www.bamf.de/SharedDocs/Anlagen/EN/Publikationen/Broschueren/broschuere-eat-a4.pdf?__blob=publicationFile","x")</f>
        <v>x</v>
      </c>
      <c r="IZ125" s="111"/>
      <c r="JA125" s="112" t="str">
        <f>HYPERLINK("http://fluechtlingsrat-bw.de/informationen-fuer-fluechtlinge.html","x")</f>
        <v>x</v>
      </c>
      <c r="JB125" s="111"/>
      <c r="JC125" s="112" t="str">
        <f>HYPERLINK("http://www.bamf.de/SharedDocs/Anlagen/EN/Publikationen/Flyer/20150223_ura2_en.pdf?__blob=publicationFile","x")</f>
        <v>x</v>
      </c>
      <c r="JD125" s="111"/>
      <c r="JE125" s="112"/>
      <c r="JF125" s="112"/>
      <c r="JG125" s="112" t="str">
        <f>HYPERLINK("http://www.bamf.de/SharedDocs/Anlagen/EN/Publikationen/Flyer/Ehegattennachzug/ehegattennachzug.pdf?__blob=publicationFile","x")</f>
        <v>x</v>
      </c>
      <c r="JH125" s="112" t="str">
        <f>HYPERLINK("https://familyreunion-syria.diplo.de/webportal/index.html#start","x")</f>
        <v>x</v>
      </c>
      <c r="JI125" s="112" t="str">
        <f>HYPERLINK("http://ec.europa.eu/dgs/home-affairs/what-we-do/networks/european_migration_network/docs/emn-glossary-en-version.pdf","x")</f>
        <v>x</v>
      </c>
      <c r="JJ125" s="112"/>
      <c r="JK125" s="112" t="str">
        <f>HYPERLINK("https://www.arbeitsagentur.de/web/wcm/idc/groups/public/documents/webdatei/mdaw/mjgz/~edisp/l6019022dstbai784628.pdf?_ba.sid=L6019022DSTBAI784625","x")</f>
        <v>x</v>
      </c>
      <c r="JL125" s="112" t="str">
        <f>HYPERLINK("http://www.kub-berlin.org/formularprojekt/de/englisch-antraege-und-anlagen-uebersetzungshilfen/","x")</f>
        <v>x</v>
      </c>
      <c r="JM125" s="112" t="str">
        <f>HYPERLINK("https://www.arbeitsagentur.de/web/content/DE/Formulare/Detail/index.htm?dfContentId=L6019022DSTBAI485740","x")</f>
        <v>x</v>
      </c>
      <c r="JN125" s="112"/>
      <c r="JO125" s="112"/>
      <c r="JP125" s="112"/>
      <c r="JQ125" s="112"/>
      <c r="JR125" s="112" t="str">
        <f>HYPERLINK("http://www.ibla-germany.de/merkblaetter.php","x")</f>
        <v>x</v>
      </c>
      <c r="JS125" s="112"/>
      <c r="JT125" s="112" t="str">
        <f>HYPERLINK("http://www.b-umf.de/images/willkommen/willkommensbroschureenglisch-web.pdf","x")</f>
        <v>x</v>
      </c>
      <c r="JU125" s="111"/>
      <c r="JV125" s="111"/>
      <c r="JW125" s="112"/>
      <c r="JX125" s="112" t="str">
        <f>HYPERLINK("https://www.arbeitsagentur.de/web/wcm/idc/groups/public/documents/webdatei/mdaw/mjgz/~edisp/l6019022dstbai784636.pdf?_ba.sid=L6019022DSTBAI784633","x")</f>
        <v>x</v>
      </c>
      <c r="JY125" s="112"/>
      <c r="JZ125" s="112"/>
      <c r="KA125" s="112"/>
      <c r="KB125" s="112" t="str">
        <f>HYPERLINK("http://www.refugeeguide.de/dl/RefugeeGuide_en_925.pdf","x")</f>
        <v>x</v>
      </c>
      <c r="KC125" s="112" t="str">
        <f>HYPERLINK("http://www.gesetze-im-internet.de/englisch_gg/basic_law_for_the_federal_republic_of_germany.pdf","x")</f>
        <v>x</v>
      </c>
      <c r="KD125" s="112" t="str">
        <f t="shared" ref="KD125:KD132" si="47">HYPERLINK("http://www.wedel.de/fileadmin/user_upload/media/pdf/Rathaus_und_Politik/20160118_PM_Broschuere.pdf","x")</f>
        <v>x</v>
      </c>
      <c r="KE125" s="112" t="str">
        <f>HYPERLINK("http://www.frauenrechte.de/online/images/downloads/allgemein/TDF_Flyer_Women_Men.pdf","x")</f>
        <v>x</v>
      </c>
      <c r="KF125" s="112" t="str">
        <f>HYPERLINK("http://sab.landtag.sachsen.de/dokumente/landtagskurier/Grundwerte-A5-international_web_08012016.pdf","x")</f>
        <v>x</v>
      </c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  <c r="KY125" s="112"/>
      <c r="KZ125" s="112"/>
      <c r="LA125" s="112"/>
      <c r="LB125" s="112"/>
      <c r="LC125" s="111"/>
      <c r="LD125" s="112"/>
      <c r="LE125" s="112"/>
      <c r="LF125" s="112"/>
      <c r="LG125" s="112"/>
      <c r="LH125" s="112"/>
      <c r="LI125" s="112"/>
      <c r="LJ125" s="112"/>
      <c r="LK125" s="112"/>
      <c r="LL125" s="112"/>
      <c r="LM125" s="112"/>
      <c r="LN125" s="112"/>
      <c r="LO125" s="112"/>
      <c r="LP125" s="112"/>
      <c r="LQ125" s="112"/>
      <c r="LR125" s="112"/>
      <c r="LS125" s="112"/>
      <c r="LT125" s="112"/>
      <c r="LU125" s="112"/>
      <c r="LV125" s="112"/>
      <c r="LW125" s="112"/>
      <c r="LX125" s="112"/>
      <c r="LY125" s="112"/>
      <c r="LZ125" s="112"/>
      <c r="MA125" s="112"/>
      <c r="MB125" s="112"/>
      <c r="MC125" s="111"/>
      <c r="MD125" s="112" t="str">
        <f>HYPERLINK("http://www.rki.de/DE/Content/Infekt/IfSG/Belehrungsbogen/belehrungsbogen_lebensmittel_englisch.pdf?__blob=publicationFile","x")</f>
        <v>x</v>
      </c>
      <c r="ME125" s="112"/>
      <c r="MF125" s="112" t="str">
        <f>HYPERLINK("http://www.gdv.de/wp-content/uploads/2016/01/Information_Brandschutz_Fluechtlingsheim_-Sicherheit_mehrsprachig.pdf","x")</f>
        <v>x</v>
      </c>
      <c r="MG125" s="112" t="str">
        <f>HYPERLINK("http://www.gdv.de/wp-content/uploads/2016/01/Information_Verhalten-im-Brandfall_mehrsprachig.pdf","x")</f>
        <v>x</v>
      </c>
      <c r="MH125" s="112" t="str">
        <f>HYPERLINK("http://www.aha-region.de/fileadmin/Download/pdf/aha_Plakat_Muelltrennung_en.pdf","x")</f>
        <v>x</v>
      </c>
      <c r="MI125" s="112" t="str">
        <f>HYPERLINK("http://www.kindersicherheit.de/pdf/2012_poster_achtunggiftig_8sprachig.pdf","x")</f>
        <v>x</v>
      </c>
    </row>
    <row r="126" spans="1:347" x14ac:dyDescent="0.25">
      <c r="A126" s="102" t="s">
        <v>414</v>
      </c>
      <c r="B126" s="127" t="s">
        <v>7</v>
      </c>
      <c r="C126" s="102"/>
      <c r="D126" s="102"/>
      <c r="E126" s="102"/>
      <c r="F126" s="102"/>
      <c r="G126" s="102"/>
      <c r="H126" s="102"/>
      <c r="I126" s="102"/>
      <c r="J126" s="102"/>
      <c r="K126" s="103"/>
      <c r="L126" s="111"/>
      <c r="M126" s="111"/>
      <c r="N126" s="112" t="str">
        <f>HYPERLINK("http://www.ag-fluechtlingshilfe-wetterau.de/uploads/infos/170.pdf","x")</f>
        <v>x</v>
      </c>
      <c r="O126" s="112"/>
      <c r="P126" s="112" t="str">
        <f>HYPERLINK("https://willkommensteamelmshorn.files.wordpress.com/2015/11/sortieranleitung_pinneberg_2015_russisch.pdf","x")</f>
        <v>x</v>
      </c>
      <c r="Q126" s="112"/>
      <c r="R126" s="112"/>
      <c r="S126" s="112"/>
      <c r="T126" s="112"/>
      <c r="U126" s="112"/>
      <c r="V126" s="112"/>
      <c r="W126" s="111"/>
      <c r="X126" s="112"/>
      <c r="Y126" s="111"/>
      <c r="Z126" s="111"/>
      <c r="AA126" s="111"/>
      <c r="AB126" s="111"/>
      <c r="AC126" s="111"/>
      <c r="AD126" s="112" t="str">
        <f>HYPERLINK("http://www.rundfunkbeitrag.de/e175/e1634/Informationsflyer_Buerginnen_und_Buerger_russisch.pdf","x")</f>
        <v>x</v>
      </c>
      <c r="AE126" s="111"/>
      <c r="AF126" s="112" t="str">
        <f>HYPERLINK("http://www.kub-berlin.org/formularprojekt/de/russisch-antraege-und-anlagen/","x")</f>
        <v>x</v>
      </c>
      <c r="AG126" s="111"/>
      <c r="AH126" s="112" t="str">
        <f>HYPERLINK("http://sghanstedt.elbnetz.com/ueber-uns/","x")</f>
        <v>x</v>
      </c>
      <c r="AI126" s="111"/>
      <c r="AJ126" s="111"/>
      <c r="AK126" s="111"/>
      <c r="AL126" s="111"/>
      <c r="AM126" s="111"/>
      <c r="AN126" s="111"/>
      <c r="AO126" s="112"/>
      <c r="AP126" s="112"/>
      <c r="AQ126" s="112"/>
      <c r="AR126" s="112"/>
      <c r="AS126" s="112"/>
      <c r="AT126" s="112"/>
      <c r="AU126" s="112"/>
      <c r="AV126" s="113"/>
      <c r="AW126" s="114" t="str">
        <f t="shared" si="22"/>
        <v>x</v>
      </c>
      <c r="AX126" s="114" t="str">
        <f t="shared" si="23"/>
        <v>x</v>
      </c>
      <c r="AY126" s="111"/>
      <c r="AZ126" s="111"/>
      <c r="BA126" s="112" t="str">
        <f t="shared" si="24"/>
        <v>x</v>
      </c>
      <c r="BB126" s="112" t="str">
        <f t="shared" si="25"/>
        <v>x</v>
      </c>
      <c r="BC126" s="111"/>
      <c r="BD126" s="111"/>
      <c r="BE126" s="111"/>
      <c r="BF126" s="111"/>
      <c r="BG126" s="111"/>
      <c r="BH126" s="111"/>
      <c r="BI126" s="111"/>
      <c r="BJ126" s="111"/>
      <c r="BK126" s="112" t="str">
        <f>HYPERLINK("http://www.agf-trier.de/sites/default/files/bersetzungshilfe%20russisch%20allgemein.pdf","x")</f>
        <v>x</v>
      </c>
      <c r="BL126" s="111"/>
      <c r="BM126" s="112" t="str">
        <f>HYPERLINK("http://www.frnrw.de/images/Aus_den_Initiativen/Ehrenamtler/2015/Dictionary_x10_print-2.pdf","x")</f>
        <v>x</v>
      </c>
      <c r="BN126" s="111"/>
      <c r="BO126" s="111"/>
      <c r="BP126" s="111"/>
      <c r="BQ126" s="111"/>
      <c r="BR126" s="111"/>
      <c r="BS126" s="112" t="str">
        <f t="shared" si="26"/>
        <v>x</v>
      </c>
      <c r="BT126" s="112"/>
      <c r="BU126" s="111"/>
      <c r="BV126" s="112" t="str">
        <f t="shared" si="27"/>
        <v>x</v>
      </c>
      <c r="BW126" s="112" t="str">
        <f>HYPERLINK("http://www.welcomegrooves.de/wp-content/uploads/2015/10/welcomegrooves_DE-RUSSISCH.pdf","x")</f>
        <v>x</v>
      </c>
      <c r="BX126" s="112"/>
      <c r="BY126" s="112"/>
      <c r="BZ126" s="112"/>
      <c r="CA126" s="112" t="str">
        <f t="shared" si="28"/>
        <v>x</v>
      </c>
      <c r="CB126" s="112" t="str">
        <f t="shared" si="29"/>
        <v>x</v>
      </c>
      <c r="CC126" s="112" t="str">
        <f t="shared" si="30"/>
        <v>x</v>
      </c>
      <c r="CD126" s="112"/>
      <c r="CE126" s="112"/>
      <c r="CF126" s="112" t="str">
        <f>HYPERLINK("http://www.agf-trier.de/sites/default/files/bersetzungshilfe%20russisch%20f%C3%BCr%20Frauen.pdf","x")</f>
        <v>x</v>
      </c>
      <c r="CG126" s="112" t="str">
        <f>HYPERLINK("http://www.braunschweig.de/leben/frauen/hilfe/Ohne-Gewalt-leben.pdf","x")</f>
        <v>x</v>
      </c>
      <c r="CH126" s="112" t="str">
        <f>HYPERLINK("http://mifkjf.rlp.de/fileadmin/mifkjf/Frauen/Gewalt_gegen_Frauen/Downloads/Broschueren_Flyer/Flyer_Gewalt_russisch.pdf","x")</f>
        <v>x</v>
      </c>
      <c r="CI126" s="112" t="str">
        <f>HYPERLINK("https://www.hilfetelefon.de/fileadmin/hilfetelefon_de/Materialien/Flyer/Infoflyer_Hilfetelefon_Gewalt_gegen_Frauen141105_b2.pdf","x")</f>
        <v>x</v>
      </c>
      <c r="CJ126" s="112" t="str">
        <f>HYPERLINK("https://www.hilfetelefon.de/fileadmin/hilfetelefon_de/Materialien/weitere_werbemittel/Klappflyer_Vorder-_und_Rueckseite_opt2.pdf","x")</f>
        <v>x</v>
      </c>
      <c r="CK126" s="112" t="str">
        <f t="shared" si="31"/>
        <v>x</v>
      </c>
      <c r="CL126" s="112" t="str">
        <f>HYPERLINK("http://www.frauenberatungsstelle.de/pdf/Migrantinnen-beraten-Migrantinnen.pdf","x")</f>
        <v>x</v>
      </c>
      <c r="CM126" s="112"/>
      <c r="CN126" s="112"/>
      <c r="CO126" s="112"/>
      <c r="CP126" s="112" t="str">
        <f>HYPERLINK("http://www.schwanger-und-viele-fragen.de/ru/","x")</f>
        <v>x</v>
      </c>
      <c r="CQ126" s="112"/>
      <c r="CR126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26" s="112"/>
      <c r="CT126" s="112"/>
      <c r="CU126" s="112" t="str">
        <f>HYPERLINK("http://www.profamilia.de/fileadmin/publikationen/Erwachsene/mehrsprachig/verhuetung_russisch_2011.pdf","x")</f>
        <v>x</v>
      </c>
      <c r="CV126" s="112" t="str">
        <f>HYPERLINK("http://www.profamilia.de/fileadmin/publikationen/Erwachsene/mehrsprachig/Pille_danach_russisch_2012.pdf","x")</f>
        <v>x</v>
      </c>
      <c r="CW126" s="112" t="str">
        <f>HYPERLINK("http://www.profamilia.de/fileadmin/publikationen/Reihe_Verhuetungsmethoden/Einleger_Russisch.pdf","x")</f>
        <v>x</v>
      </c>
      <c r="CX126" s="112" t="str">
        <f>HYPERLINK("http://www.profamilia.de/fileadmin/publikationen/Erwachsene/mehrsprachig/schwangerschaftsabbruch_russisch.pdf","x")</f>
        <v>x</v>
      </c>
      <c r="CY126" s="112" t="str">
        <f>HYPERLINK("http://www.caritas-schwarzwald-alb-donau.de/68854.html","x")</f>
        <v>x</v>
      </c>
      <c r="CZ126" s="112" t="str">
        <f>HYPERLINK("http://www.dgfpi.de/tl_files/download/medien/unwissen-macht-ru.pdf","x")</f>
        <v>x</v>
      </c>
      <c r="DA126" s="112"/>
      <c r="DB126" s="112"/>
      <c r="DC126" s="115" t="str">
        <f>HYPERLINK("http://www.kindersicherheit.de/pdf/2012_Bilderbuch-Gift-Russisch.pdf","x")</f>
        <v>x</v>
      </c>
      <c r="DD126" s="112"/>
      <c r="DE126" s="112"/>
      <c r="DF126" s="112" t="str">
        <f t="shared" si="32"/>
        <v>x</v>
      </c>
      <c r="DG126" s="115" t="str">
        <f t="shared" si="33"/>
        <v>x</v>
      </c>
      <c r="DH126" s="112" t="str">
        <f t="shared" si="34"/>
        <v>x</v>
      </c>
      <c r="DI126" s="112" t="str">
        <f t="shared" si="35"/>
        <v>x</v>
      </c>
      <c r="DJ126" s="112" t="str">
        <f>HYPERLINK("http://www.bibliomedia.ch/de/angebote/dokumente/Glossar_russisch.pdf","x")</f>
        <v>x</v>
      </c>
      <c r="DK126" s="112"/>
      <c r="DL126" s="112"/>
      <c r="DM126" s="112"/>
      <c r="DN126" s="112"/>
      <c r="DO126" s="112"/>
      <c r="DP126" s="111"/>
      <c r="DQ126" s="112" t="str">
        <f>HYPERLINK("http://tipdoc.de/bus/grafik/kinder-tip/SCHULTIP_give_didacta.pdf","x")</f>
        <v>x</v>
      </c>
      <c r="DR126" s="112" t="str">
        <f>HYPERLINK("https://broschueren.nordrheinwestfalendirekt.de/broschuerenservice/msw/rus-das-schulsystem-in-nordrhein-westfalen-einfach-und-schnell-erklaert/1905","x")</f>
        <v>x</v>
      </c>
      <c r="DS126" s="112" t="str">
        <f>HYPERLINK("http://bildung.koeln.de/materialbibliothek/download.php?idx=89409237e8c48c84d1f410e2c231c942","x")</f>
        <v>x</v>
      </c>
      <c r="DT126" s="112" t="str">
        <f>HYPERLINK("http://bildung.koeln.de/materialbibliothek/download.php?idx=3e35937e1b8f8986880efaf07701a323","x")</f>
        <v>x</v>
      </c>
      <c r="DU126" s="112"/>
      <c r="DV126" s="112" t="str">
        <f>HYPERLINK("https://www.bmbf.de/pub/Kausa_Elternbroschuere_russisch.pdf","x")</f>
        <v>x</v>
      </c>
      <c r="DW126" s="112"/>
      <c r="DX126" s="112"/>
      <c r="DY126" s="112" t="str">
        <f>HYPERLINK("http://www.bamf.de/SharedDocs/Anlagen/DE/Publikationen/Flyer/AnerkennungBerufsabschluss/berufliche_anerkennung_akademische-heilberufe_ru.pdf?__blob=publicationFile","x")</f>
        <v>x</v>
      </c>
      <c r="DZ126" s="112" t="str">
        <f>HYPERLINK("http://www.bamf.de/SharedDocs/Anlagen/RU/Publikationen/Flyer/AnerkennungBerufsabschluss/anerkennung-berufsabschluss.pdf?__blob=publicationFile","x")</f>
        <v>x</v>
      </c>
      <c r="EA126" s="112" t="str">
        <f>HYPERLINK("http://www.bamf.de/SharedDocs/Anlagen/RU/Publikationen/Flyer/AnerkennungBerufsabschluss/anerkennung-berufsabschluss_ausland.pdf?__blob=publicationFile","x")</f>
        <v>x</v>
      </c>
      <c r="EB126" s="112" t="str">
        <f>HYPERLINK("http://www.bamf.de/SharedDocs/Anlagen/DE/Publikationen/Broschueren/willkommen-in-deutschland-info-blaue-karte-eu_ru.pdf?__blob=publicationFile","x")</f>
        <v>x</v>
      </c>
      <c r="EC126" s="112" t="str">
        <f>HYPERLINK("http://www.bamf.de/SharedDocs/Anlagen/RU/Publikationen/Flyer/Berufsbezsprachf-ESF-BAMF/berufsbezsprachf-esf-bamf.pdf?__blob=publicationFile","x")</f>
        <v>x</v>
      </c>
      <c r="ED126" s="111"/>
      <c r="EE126" s="111"/>
      <c r="EF126" s="111"/>
      <c r="EG126" s="111"/>
      <c r="EH126" s="111"/>
      <c r="EI126" s="111"/>
      <c r="EJ126" s="112"/>
      <c r="EK126" s="112"/>
      <c r="EL126" s="112"/>
      <c r="EM126" s="112" t="str">
        <f>HYPERLINK("http://www.kvs-sachsen.de/fileadmin/img/Mitglieder/Asylbewerber/Allg-Informationen/Anlage_1_Russisch_LEK.pdf","x")</f>
        <v>x</v>
      </c>
      <c r="EN126" s="112" t="str">
        <f>HYPERLINK("http://www.medizin-hilft-fluechtlingen.de/images/Dokumente/gSch/gSch_ru.pdf","x")</f>
        <v>x</v>
      </c>
      <c r="EO126" s="111"/>
      <c r="EP126" s="117" t="str">
        <f t="shared" si="45"/>
        <v>x</v>
      </c>
      <c r="EQ126" s="117" t="str">
        <f>HYPERLINK("http://www.armut-gesundheit.de/fileadmin/redakteur/dokumente/Anamnesebogen%20-%20russischnew.pdf","x")</f>
        <v>x</v>
      </c>
      <c r="ER126" s="112" t="str">
        <f>HYPERLINK("http://www.kvs-sachsen.de/fileadmin/img/Mitglieder/Asylbewerber/Allg-Informationen/Anlagen_2-1_2-2_Russisch_LEK.pdf","x")</f>
        <v>x</v>
      </c>
      <c r="ES126" s="111"/>
      <c r="ET126" s="111"/>
      <c r="EU126" s="111"/>
      <c r="EV126" s="111"/>
      <c r="EW126" s="112" t="str">
        <f t="shared" si="36"/>
        <v>x</v>
      </c>
      <c r="EX126" s="112" t="str">
        <f>HYPERLINK("http://www.rki.de/DE/Content/Infekt/IfSG/Belehrungsbogen/belehrungsbogen_eltern_russisch.pdf?__blob=publicationFile","x")</f>
        <v>x</v>
      </c>
      <c r="EY126" s="112" t="str">
        <f>HYPERLINK("http://www.bzga.de/infomaterialien/?sid=236","x")</f>
        <v>x</v>
      </c>
      <c r="EZ126" s="112" t="str">
        <f>HYPERLINK("https://www.mh-hannover.de/fileadmin/mhh/bilder/aktuelles_presse/presseinformationen_news/-Pilzvergif_RUSSISCH_2.pdf","x")</f>
        <v>x</v>
      </c>
      <c r="FA126" s="112"/>
      <c r="FB126" s="111"/>
      <c r="FC126" s="111"/>
      <c r="FD126" s="112" t="str">
        <f t="shared" si="37"/>
        <v>x</v>
      </c>
      <c r="FE126" s="112" t="str">
        <f t="shared" si="46"/>
        <v>x</v>
      </c>
      <c r="FF126" s="111"/>
      <c r="FG126" s="112" t="str">
        <f>HYPERLINK("http://www.tipdoc.de/grafik/asyl/Gesundheitsheft_Asyl.pdf","x")</f>
        <v>x</v>
      </c>
      <c r="FH126" s="111"/>
      <c r="FI126" s="111"/>
      <c r="FJ126" s="112"/>
      <c r="FK126" s="112" t="str">
        <f>HYPERLINK("http://www.rki.de/DE/Content/Infekt/Impfen/Materialien/Downloads-Impfkalender/Impfkalender_Russisch.pdf?__blob=publicationFile","x")</f>
        <v>x</v>
      </c>
      <c r="FL126" s="112" t="str">
        <f>HYPERLINK("http://www.ethno-medizinisches-zentrum.de/images/PDF-Files/impfwegweiser_russisch_2013_online.pdf","x")</f>
        <v>x</v>
      </c>
      <c r="FM126" s="112"/>
      <c r="FN126" s="112" t="str">
        <f>HYPERLINK("http://www.rki.de/DE/Content/Infekt/Impfen/Materialien/Glossar-Downloads/glossar-de-russisch.pdf?__blob=publicationFile","x")</f>
        <v>x</v>
      </c>
      <c r="FO126" s="112" t="str">
        <f>HYPERLINK("http://tvoyashkola10.ru/img/VPD-Signs,-symptoms-and-complications-RUS.pdf","x")</f>
        <v>x</v>
      </c>
      <c r="FP126" s="112" t="str">
        <f>HYPERLINK("http://www.rki.de/DE/Content/Infekt/Impfen/Materialien/Downloads-MMR/MMR-Impfinfo-russisch.pdf?__blob=publicationFile","x")</f>
        <v>x</v>
      </c>
      <c r="FQ126" s="112"/>
      <c r="FR126" s="112" t="str">
        <f>HYPERLINK("http://www.rki.de/DE/Content/Infekt/Impfen/Materialien/Downloads_HepA/Aufklaerung_HAV-Impfung_Russisch.pdf?__blob=publicationFile","x")</f>
        <v>x</v>
      </c>
      <c r="FS126" s="112" t="str">
        <f>HYPERLINK("http://www.rki.de/DE/Content/Infekt/Impfen/Materialien/Downloads_Pneumokokken/Aufklaerung_Pneumo-Impfung_Russisch.pdf?__blob=publicationFile","x")</f>
        <v>x</v>
      </c>
      <c r="FT126" s="112" t="str">
        <f>HYPERLINK("http://www.rki.de/DE/Content/Infekt/Impfen/Materialien/Downloads-DTaPIPVHibHepB/DTaPIPVHibHepB-russisch.pdf?__blob=publicationFile","x")</f>
        <v>x</v>
      </c>
      <c r="FU126" s="112" t="str">
        <f>HYPERLINK("http://www.rki.de/DE/Content/Infekt/Impfen/Materialien/Downloads-Varizellen/Varizellen-Impfinfo-russisch.pdf;jsessionid=65B697F4EE7EDA8A1ED9E2C4CD6C74EC.2_cid363?__blob=publicationFile","x")</f>
        <v>x</v>
      </c>
      <c r="FV126" s="112" t="str">
        <f>HYPERLINK("http://www.rki.de/DE/Content/Infekt/Impfen/Materialien/Downloads-Tdap-IPV/Tdap-IPV-russisch.pdf?__blob=publicationFile","x")</f>
        <v>x</v>
      </c>
      <c r="FW126" s="112" t="str">
        <f>HYPERLINK("http://www.rki.de/DE/Content/Infekt/Impfen/Materialien/Downloads-Influenza_nasal/Influenza_nasal-russisch.pdf?__blob=publicationFile","x")</f>
        <v>x</v>
      </c>
      <c r="FX126" s="112" t="str">
        <f>HYPERLINK("http://www.medical-tribune.de/fileadmin/PDF/PI_Arthrose_russ.pdf","x")</f>
        <v>x</v>
      </c>
      <c r="FY126" s="112" t="str">
        <f>HYPERLINK("http://www.medical-tribune.de/fileadmin/PDF/Astma_russisch.pdf","x")</f>
        <v>x</v>
      </c>
      <c r="FZ126" s="112" t="str">
        <f>HYPERLINK("http://www.medical-tribune.de/fileadmin/PDF/Bluthochdruck_russisch.pdf","x")</f>
        <v>x</v>
      </c>
      <c r="GA126" s="112" t="str">
        <f>HYPERLINK("http://www.medical-tribune.de/fileadmin/PDF/Cholesterin_russisch.pdf","x")</f>
        <v>x</v>
      </c>
      <c r="GB126" s="112" t="str">
        <f>HYPERLINK("http://www.medical-tribune.de/fileadmin/PDF/COPD-Bronchitis-russ.pdf","x")</f>
        <v>x</v>
      </c>
      <c r="GC126" s="112" t="str">
        <f>HYPERLINK("http://www.medical-tribune.de/fileadmin/PDF/PI_Demenz_russ.pdf","x")</f>
        <v>x</v>
      </c>
      <c r="GD126" s="112" t="str">
        <f>HYPERLINK("http://www.ethno-medizinisches-zentrum.de/images/PDF-Files/lf_diabete_russisch.pdf","x")</f>
        <v>x</v>
      </c>
      <c r="GE126" s="112" t="str">
        <f>HYPERLINK("http://www.medical-tribune.de/fileadmin/PDF/PI_Divertikel_russ.pdf","x")</f>
        <v>x</v>
      </c>
      <c r="GF126" s="112" t="str">
        <f>HYPERLINK("http://www.medical-tribune.de/fileadmin/PDF/PAVK_russ.pdf","x")</f>
        <v>x</v>
      </c>
      <c r="GG126" s="112" t="str">
        <f>HYPERLINK("http://www.medical-tribune.de/fileadmin/PDF/PI_Gallensteine_russ.pdf","x")</f>
        <v>x</v>
      </c>
      <c r="GH126" s="112" t="str">
        <f>HYPERLINK("http://www.medical-tribune.de/fileadmin/PDF/Gicht_russisch.pdf","x")</f>
        <v>x</v>
      </c>
      <c r="GI126" s="112" t="str">
        <f>HYPERLINK("http://www.tipdoc.de/bus/pdf/hepatitis/Hep_B_Webseite.pdf","x")</f>
        <v>x</v>
      </c>
      <c r="GJ126" s="112" t="str">
        <f>HYPERLINK("http://www.tipdoc.de/bus/pdf/hepatitis/Hep_C_Webseite.pdf","x")</f>
        <v>x</v>
      </c>
      <c r="GK126" s="112" t="str">
        <f>HYPERLINK("http://www.tipdoc.de/bus/pdf/hiv/HIV%20SRF_Webseite.pdf","x")</f>
        <v>x</v>
      </c>
      <c r="GL126" s="111"/>
      <c r="GM126" s="112" t="str">
        <f>HYPERLINK("http://www.rki.de/DE/Content/Infekt/Impfen/Materialien/Downloads-Influenza/Influenza-russisch.pdf?__blob=publicationFile","x")</f>
        <v>x</v>
      </c>
      <c r="GN126" s="112" t="str">
        <f>HYPERLINK("http://www.medical-tribune.de/fileadmin/PDF/PI_Erkaeltung_russ.pdf","x")</f>
        <v>x</v>
      </c>
      <c r="GO126" s="112"/>
      <c r="GP126" s="112" t="str">
        <f>HYPERLINK("http://www.tipdoc.de/grafik/pdf/kopflaeuse/Kopflaeuse_RUSS.pdf","x")</f>
        <v>x</v>
      </c>
      <c r="GQ126" s="112" t="str">
        <f>HYPERLINK("http://www.bing.com/search?q=Medical+tribune+KHK+russ&amp;qs=n&amp;form=QBRE&amp;pq=medical+tribune+khk+russ&amp;sc=0-16&amp;sp=-1&amp;sk=&amp;cvid=9C7440E0A0144B029D31F2004BF1F219","x")</f>
        <v>x</v>
      </c>
      <c r="GR126" s="112" t="str">
        <f>HYPERLINK("http://www.tipdoc.com/bus/pdf/kraetze/tipdoc_Scabies_RUSS.pdf","x")</f>
        <v>x</v>
      </c>
      <c r="GS126" s="112" t="str">
        <f>HYPERLINK("http://www.tipdoc.com/bus/pdf/MagenDarmHaende/MagenDarmHaende_RUSS.pdf","x")</f>
        <v>x</v>
      </c>
      <c r="GT126" s="112" t="str">
        <f>HYPERLINK("http://www.medical-tribune.de/fileadmin/PDF/Migraene_russ.pdf","x")</f>
        <v>x</v>
      </c>
      <c r="GU126" s="112" t="str">
        <f>HYPERLINK("http://www.medical-tribune.de/fileadmin/PDF/Rueckenschmerzen_russisch.pdf","x")</f>
        <v>x</v>
      </c>
      <c r="GV126" s="112" t="str">
        <f>HYPERLINK("http://www.medical-tribune.de/fileadmin/PDF/Schlafapnoe_russisch.pdf","x")</f>
        <v>x</v>
      </c>
      <c r="GW126" s="112" t="str">
        <f>HYPERLINK("http://www.medical-tribune.de/fileadmin/PDF/Schlafstoerungen_russisch.pdf","x")</f>
        <v>x</v>
      </c>
      <c r="GX126" s="112" t="str">
        <f>HYPERLINK("http://www.medical-tribune.de/fileadmin/PDF/Schwindel_russisch.pdf","x")</f>
        <v>x</v>
      </c>
      <c r="GY126" s="112" t="str">
        <f>HYPERLINK("http://www.medical-tribune.de/fileadmin/PDF/Sodbrennen_russisch.pdf","x")</f>
        <v>x</v>
      </c>
      <c r="GZ126" s="112" t="str">
        <f>HYPERLINK("http://www.medical-tribune.de/fileadmin/PDF/Sportverletzungen_russisch.pdf","x")</f>
        <v>x</v>
      </c>
      <c r="HA126" s="112" t="str">
        <f>HYPERLINK("http://www.medical-tribune.de/fileadmin/PDF/Thrombose_russisch.pdf","x")</f>
        <v>x</v>
      </c>
      <c r="HB126" s="112" t="str">
        <f>HYPERLINK("http://www.medical-tribune.de/fileadmin/PDF/Verstopfung_russisch.pdf","x")</f>
        <v>x</v>
      </c>
      <c r="HC126" s="112" t="str">
        <f t="shared" si="38"/>
        <v>x</v>
      </c>
      <c r="HD126" s="111"/>
      <c r="HE126" s="111"/>
      <c r="HF126" s="111"/>
      <c r="HG126" s="111"/>
      <c r="HH126" s="111"/>
      <c r="HI126" s="112" t="str">
        <f>HYPERLINK("http://www.bvkm.de/fileadmin/web_data/Behinderung_und_Migation_russisch_2014.pdf","x")</f>
        <v>x</v>
      </c>
      <c r="HJ126" s="111"/>
      <c r="HK126" s="112"/>
      <c r="HL126" s="112" t="str">
        <f>HYPERLINK("http://www.ethno-medizinisches-zentrum.de/images/PDF-Files/lf_depression_rus.pdf","x")</f>
        <v>x</v>
      </c>
      <c r="HM126" s="112"/>
      <c r="HN126" s="112"/>
      <c r="HO126" s="112"/>
      <c r="HP126" s="112"/>
      <c r="HQ126" s="112"/>
      <c r="HR126" s="112"/>
      <c r="HS126" s="112"/>
      <c r="HT126" s="112"/>
      <c r="HU126" s="112"/>
      <c r="HV126" s="112"/>
      <c r="HW126" s="112" t="str">
        <f>HYPERLINK("http://www.medical-tribune.de/fileadmin/PDF/RestlessLegs_russ.pdf","x")</f>
        <v>x</v>
      </c>
      <c r="HX126" s="112" t="str">
        <f>HYPERLINK("http://www.bkk-psychisch-gesund.de/fileadmin/user_upload/bkk-psychisch-gesund.de/PDFs/Migrantenwegweiser_Psychotherpie_russisch.pdf","x")</f>
        <v>x</v>
      </c>
      <c r="HY126" s="112" t="str">
        <f t="shared" si="39"/>
        <v>x</v>
      </c>
      <c r="HZ126" s="112" t="str">
        <f t="shared" si="40"/>
        <v>x</v>
      </c>
      <c r="IA126" s="112"/>
      <c r="IB126" s="112"/>
      <c r="IC126" s="112"/>
      <c r="ID126" s="112"/>
      <c r="IE126" s="112"/>
      <c r="IF126" s="112"/>
      <c r="IG126" s="112"/>
      <c r="IH126" s="112" t="str">
        <f>HYPERLINK("http://www.ethno-medizinisches-zentrum.de/images/PDF-Files/lf_mediensucht_ru_geschutzt.pdf","x")</f>
        <v>x</v>
      </c>
      <c r="II126" s="112" t="str">
        <f>HYPERLINK("http://www.caritas.de/hilfeundberatung/onlineberatung/suchtberatung/haeufiggestelltefragensucht/haeufiggestelltefragen-sucht","x")</f>
        <v>x</v>
      </c>
      <c r="IJ126" s="112" t="str">
        <f>HYPERLINK("http://www.bzga.de/infomaterialien/suchtvorbeugung/","x")</f>
        <v>x</v>
      </c>
      <c r="IK126" s="112" t="str">
        <f>HYPERLINK("http://www.bamf.de/SharedDocs/Anlagen/RU/Publikationen/Flyer/Lassen-Sie-Sich-Beraten/lassen-sie-sich-beraten.pdf?__blob=publicationFile","x")</f>
        <v>x</v>
      </c>
      <c r="IL126" s="112" t="str">
        <f>HYPERLINK("http://www.bamf.de/SharedDocs/Anlagen/DE/Publikationen/Flyer/flyer-erstorientierung-asylsuchende_russisch.pdf?__blob=publicationFile","x")</f>
        <v>x</v>
      </c>
      <c r="IM126" s="111"/>
      <c r="IN126" s="112" t="str">
        <f>HYPERLINK("https://www.bamf.de/SharedDocs/Anlagen/RU/Publikationen/Broschueren/willkommen-in-deutschland-ru.pdf?__blob=publicationFile","x")</f>
        <v>x</v>
      </c>
      <c r="IO126" s="112"/>
      <c r="IP126" s="111"/>
      <c r="IQ126" s="112" t="str">
        <f>HYPERLINK("http://www.bamf.de/SharedDocs/Anlagen/RU/Publikationen/Flyer/Lernen-Sie-Deutsch/lernen-sie-deutsch.pdf?__blob=publicationFile","x")</f>
        <v>x</v>
      </c>
      <c r="IR126" s="112"/>
      <c r="IS126" s="111"/>
      <c r="IT126" s="111"/>
      <c r="IU126" s="111"/>
      <c r="IV126" s="112" t="str">
        <f>HYPERLINK("http://www.asyl.net/fileadmin/user_upload/infoblatt_anhoerung/Infoblatt_2015_russ_fin.pdf","x")</f>
        <v>x</v>
      </c>
      <c r="IW126" s="112"/>
      <c r="IX126" s="112" t="str">
        <f>HYPERLINK("http://www.berlin.de/labo/willkommen-in-berlin/service/downloads/artikel.273193.php","x")</f>
        <v>x</v>
      </c>
      <c r="IY126" s="112" t="str">
        <f>HYPERLINK("http://www.bamf.de/SharedDocs/Anlagen/RU/Publikationen/Broschueren/broschuere-eat-a4.pdf?__blob=publicationFile","x")</f>
        <v>x</v>
      </c>
      <c r="IZ126" s="111"/>
      <c r="JA126" s="112" t="str">
        <f>HYPERLINK("http://fluechtlingsrat-bw.de/informationen-fuer-fluechtlinge.html","x")</f>
        <v>x</v>
      </c>
      <c r="JB126" s="111"/>
      <c r="JC126" s="112"/>
      <c r="JD126" s="111"/>
      <c r="JE126" s="112"/>
      <c r="JF126" s="112"/>
      <c r="JG126" s="112" t="str">
        <f>HYPERLINK("http://www.bamf.de/SharedDocs/Anlagen/RU/Publikationen/Flyer/Ehegattennachzug/ehegattennachzug.pdf?__blob=publicationFile","x")</f>
        <v>x</v>
      </c>
      <c r="JH126" s="112"/>
      <c r="JI126" s="111"/>
      <c r="JJ126" s="112"/>
      <c r="JK126" s="112"/>
      <c r="JL126" s="112" t="str">
        <f>HYPERLINK("http://www.kub-berlin.org/formularprojekt/de/russisch-antraege-und-anlagen/","x")</f>
        <v>x</v>
      </c>
      <c r="JM126" s="112" t="str">
        <f>HYPERLINK("https://www.arbeitsagentur.de/web/content/DE/Formulare/Detail/index.htm?dfContentId=L6019022DSTBAI485740","x")</f>
        <v>x</v>
      </c>
      <c r="JN126" s="112"/>
      <c r="JO126" s="112"/>
      <c r="JP126" s="112"/>
      <c r="JQ126" s="112"/>
      <c r="JR126" s="112" t="str">
        <f>HYPERLINK("http://www.ibla-germany.de/merkblaetter.php","x")</f>
        <v>x</v>
      </c>
      <c r="JS126" s="112"/>
      <c r="JT126" s="112" t="str">
        <f>HYPERLINK("http://www.b-umf.de/images/willkommensbroschurerussisch-web.pdf","x")</f>
        <v>x</v>
      </c>
      <c r="JU126" s="111"/>
      <c r="JV126" s="111"/>
      <c r="JW126" s="112"/>
      <c r="JX126" s="112"/>
      <c r="JY126" s="112"/>
      <c r="JZ126" s="112"/>
      <c r="KA126" s="112"/>
      <c r="KB126" s="112" t="str">
        <f>HYPERLINK("http://www.refugeeguide.de/dl/RefugeeGuide_ru_1207.pdf","x")</f>
        <v>x</v>
      </c>
      <c r="KC126" s="111"/>
      <c r="KD126" s="112" t="str">
        <f t="shared" si="47"/>
        <v>x</v>
      </c>
      <c r="KE126" s="112"/>
      <c r="KF126" s="112" t="str">
        <f>HYPERLINK("http://sab.landtag.sachsen.de/dokumente/landtagskurier/Grundwerte-A5-international_web_08012016.pdf","x")</f>
        <v>x</v>
      </c>
      <c r="KG126" s="112"/>
      <c r="KH126" s="112"/>
      <c r="KI126" s="112"/>
      <c r="KJ126" s="112"/>
      <c r="KK126" s="112"/>
      <c r="KL126" s="112"/>
      <c r="KM126" s="112"/>
      <c r="KN126" s="112"/>
      <c r="KO126" s="112"/>
      <c r="KP126" s="112"/>
      <c r="KQ126" s="112"/>
      <c r="KR126" s="112"/>
      <c r="KS126" s="112"/>
      <c r="KT126" s="112"/>
      <c r="KU126" s="112"/>
      <c r="KV126" s="112"/>
      <c r="KW126" s="112"/>
      <c r="KX126" s="112"/>
      <c r="KY126" s="112"/>
      <c r="KZ126" s="112"/>
      <c r="LA126" s="112"/>
      <c r="LB126" s="112"/>
      <c r="LC126" s="111"/>
      <c r="LD126" s="111"/>
      <c r="LE126" s="111"/>
      <c r="LF126" s="111"/>
      <c r="LG126" s="111"/>
      <c r="LH126" s="111"/>
      <c r="LI126" s="111"/>
      <c r="LJ126" s="111"/>
      <c r="LK126" s="111"/>
      <c r="LL126" s="111"/>
      <c r="LM126" s="111"/>
      <c r="LN126" s="111"/>
      <c r="LO126" s="111"/>
      <c r="LP126" s="111"/>
      <c r="LQ126" s="111"/>
      <c r="LR126" s="111"/>
      <c r="LS126" s="111"/>
      <c r="LT126" s="111"/>
      <c r="LU126" s="111"/>
      <c r="LV126" s="111"/>
      <c r="LW126" s="111"/>
      <c r="LX126" s="111"/>
      <c r="LY126" s="111"/>
      <c r="LZ126" s="111"/>
      <c r="MA126" s="111"/>
      <c r="MB126" s="111"/>
      <c r="MC126" s="111"/>
      <c r="MD126" s="112" t="str">
        <f>HYPERLINK("http://www.rki.de/DE/Content/Infekt/IfSG/Belehrungsbogen/belehrungsbogen_lebensmittel_russisch.pdf?__blob=publicationFile","x")</f>
        <v>x</v>
      </c>
      <c r="ME126" s="111"/>
      <c r="MF126" s="111"/>
      <c r="MG126" s="111"/>
      <c r="MH126" s="111"/>
      <c r="MI126" s="112" t="str">
        <f>HYPERLINK("http://www.kindersicherheit.de/pdf/2012_poster_achtunggiftig_8sprachig.pdf","x")</f>
        <v>x</v>
      </c>
    </row>
    <row r="127" spans="1:347" x14ac:dyDescent="0.25">
      <c r="A127" s="102" t="s">
        <v>60</v>
      </c>
      <c r="B127" s="127" t="s">
        <v>1</v>
      </c>
      <c r="C127" s="102"/>
      <c r="D127" s="102"/>
      <c r="E127" s="102"/>
      <c r="F127" s="102"/>
      <c r="G127" s="102"/>
      <c r="H127" s="102"/>
      <c r="I127" s="102"/>
      <c r="J127" s="102"/>
      <c r="K127" s="103"/>
      <c r="L127" s="112" t="str">
        <f>HYPERLINK("http://sghanstedt.elbnetz.com/ueber-uns/","x")</f>
        <v>x</v>
      </c>
      <c r="M127" s="111"/>
      <c r="N127" s="112" t="str">
        <f>HYPERLINK("http://www.ag-fluechtlingshilfe-wetterau.de/uploads/infos/170.pdf","x")</f>
        <v>x</v>
      </c>
      <c r="O127" s="112" t="str">
        <f>HYPERLINK("http://www.ag-fluechtlingshilfe-wetterau.de/uploads/infos/220.pdf","x")</f>
        <v>x</v>
      </c>
      <c r="P127" s="112" t="str">
        <f>HYPERLINK("http://www.awb-ahrweiler.de/admin/data/ddownload/Abfall%20Sonderhinweise-Arabisch%202015.pdf","x")</f>
        <v>x</v>
      </c>
      <c r="Q127" s="112" t="str">
        <f>HYPERLINK("http://www.ag-fluechtlingshilfe-wetterau.de/uploads/infos/221.pdf","x")</f>
        <v>x</v>
      </c>
      <c r="R127" s="112" t="str">
        <f>HYPERLINK("http://www.konto.org/download/merkblatt-basiskonto-asylbewerber-arabisch.pdf","x")</f>
        <v>x</v>
      </c>
      <c r="S127" s="112"/>
      <c r="T127" s="112" t="str">
        <f>HYPERLINK("https://antworten.sparkasse.de/wp-content/uploads/2015/10/Arabisch.pdf","x")</f>
        <v>x</v>
      </c>
      <c r="U127" s="112" t="str">
        <f>HYPERLINK("http://www.ag-fluechtlingshilfe-wetterau.de/uploads/infos/191.pdf","x")</f>
        <v>x</v>
      </c>
      <c r="V127" s="112"/>
      <c r="W127" s="112"/>
      <c r="X12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2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27" s="112"/>
      <c r="AA127" s="112"/>
      <c r="AB127" s="112"/>
      <c r="AC127" s="112"/>
      <c r="AD127" s="112" t="str">
        <f>HYPERLINK("http://www.rundfunkbeitrag.de/e175/e1629/Informationsflyer_Buergerinnen_und_Buerger_arabisch.pdf","x")</f>
        <v>x</v>
      </c>
      <c r="AE127" s="112"/>
      <c r="AF127" s="112" t="str">
        <f>HYPERLINK("http://www.kub-berlin.org/formularprojekt/de/arabisch-antraege-und-anlagen/","x")</f>
        <v>x</v>
      </c>
      <c r="AG127" s="112" t="str">
        <f>HYPERLINK("http://asyl-in-moenchengladbach.de/wp-content/uploads/2015/11/100711-Flyer_arab.pdf","x")</f>
        <v>x</v>
      </c>
      <c r="AH127" s="111"/>
      <c r="AI127" s="112" t="str">
        <f>HYPERLINK("https://www.adac.de/sp/stiftung/_mmm/pdf/SGE_FOL_Verkehrssicherheit_Fl%C3%BCchtlinge_A3_01_16_Internet_250277.pdf","x")</f>
        <v>x</v>
      </c>
      <c r="AJ127" s="112" t="str">
        <f>HYPERLINK("http://www.stadt-koeln.de/mediaasset/content/العربية_kvb_kinderleicht_und_spielend_einfach__arabisch_.pdf","x")</f>
        <v>x</v>
      </c>
      <c r="AK127" s="112" t="str">
        <f t="shared" ref="AK127:AK132" si="48">HYPERLINK("https://www.vrsinfo.de/fileadmin/Dateien/downloadcenter/Folder_MobilPassTicket_Refugees01012016.pdf","x")</f>
        <v>x</v>
      </c>
      <c r="AL127" s="112" t="str">
        <f t="shared" ref="AL127:AL132" si="49">HYPERLINK("https://www.vrsinfo.de/fileadmin/Dateien/downloadcenter/Willkommen_im_VRS2016_Druck.pdf","x")</f>
        <v>x</v>
      </c>
      <c r="AM127" s="112"/>
      <c r="AN127" s="112" t="str">
        <f>HYPERLINK("https://www.deutschebahn.com/file/de/2191748/eYdgZpqGpp5sMJ2KMKtg2r8aE4Q/10123812/data/infos_fuer_fluechtlinge.pdf","x")</f>
        <v>x</v>
      </c>
      <c r="AO127" s="112"/>
      <c r="AP127" s="112"/>
      <c r="AQ127" s="112"/>
      <c r="AR127" s="112"/>
      <c r="AS127" s="112"/>
      <c r="AT127" s="112" t="str">
        <f>HYPERLINK("http://www.koelnerkarneval.de/fileadmin/content/images/news/Festkomitee_Flyer_DE_AR.pdf","x")</f>
        <v>x</v>
      </c>
      <c r="AU127" s="112"/>
      <c r="AV127" s="114" t="str">
        <f>HYPERLINK("http://www.studentenwerke.de/de/content/illustriertes-wohnheimw%C3%B6rterbuch-1","x")</f>
        <v>x</v>
      </c>
      <c r="AW127" s="114" t="str">
        <f t="shared" si="22"/>
        <v>x</v>
      </c>
      <c r="AX127" s="114" t="str">
        <f t="shared" si="23"/>
        <v>x</v>
      </c>
      <c r="AY127" s="112" t="str">
        <f>HYPERLINK("http://fi-lohmar-siegburg.de/data/documents/Findefix_arabisch-Bildwoerterbuch.pdf","x")</f>
        <v>x</v>
      </c>
      <c r="AZ127" s="111"/>
      <c r="BA127" s="112" t="str">
        <f t="shared" si="24"/>
        <v>x</v>
      </c>
      <c r="BB127" s="112" t="str">
        <f t="shared" si="25"/>
        <v>x</v>
      </c>
      <c r="BC127" s="112"/>
      <c r="BD127" s="112" t="str">
        <f>HYPERLINK("http://www.rehavista.de/?at=Mat_Boardmaker&amp;d=1&amp;dtype=mat&amp;id=1014","x")</f>
        <v>x</v>
      </c>
      <c r="BE127" s="112" t="str">
        <f>HYPERLINK("http://fi-lohmar-siegburg.de/data/documents/communicationboard-arabic-english.pdf","x")</f>
        <v>x</v>
      </c>
      <c r="BF127" s="112" t="str">
        <f>HYPERLINK("http://fi-lohmar-siegburg.de/data/documents/communicationboard-arabic-french.pdf","x")</f>
        <v>x</v>
      </c>
      <c r="BG127" s="111"/>
      <c r="BH127" s="112" t="str">
        <f t="shared" ref="BH127:BH132" si="50">HYPERLINK("http://www.refugeephrasebook.de/pdf/germany150920.pdf","x")</f>
        <v>x</v>
      </c>
      <c r="BI127" s="112" t="str">
        <f>HYPERLINK("https://www.advanced-online.eu/downloads/RefugeePhrasebookCards_German-Arabic.pdf","x")</f>
        <v>x</v>
      </c>
      <c r="BJ127" s="112" t="str">
        <f>HYPERLINK("http://www.klett-sprachen.de/download/8638/W100255_Refugees_Welcome_Wortschatz.pdf","x")</f>
        <v>x</v>
      </c>
      <c r="BK127" s="112" t="str">
        <f>HYPERLINK("http://www.agf-trier.de/sites/default/files/bersetzungshilfe%20allgemein%20Arab..pdf","x")</f>
        <v>x</v>
      </c>
      <c r="BL127" s="112" t="str">
        <f>HYPERLINK("http://www.bundessprachenamt.de/deutsch/wir_ueber_uns/nachrichten/2015/20151103/Verständigungshilfe_Syrisch-Arabisch_07_12_2015.pdf","x")</f>
        <v>x</v>
      </c>
      <c r="BM127" s="112" t="str">
        <f>HYPERLINK("http://www.frnrw.de/images/Aus_den_Initiativen/Ehrenamtler/2015/Dictionary_x10_print-2.pdf","x")</f>
        <v>x</v>
      </c>
      <c r="BN127" s="112" t="str">
        <f>HYPERLINK("http://www.medbox.org/toolboxes/kleines-worterbuch-little-dictionary-deutsch-englisch-arabisch/preview","x")</f>
        <v>x</v>
      </c>
      <c r="BO127" s="111"/>
      <c r="BP127" s="111"/>
      <c r="BQ127" s="112" t="str">
        <f>HYPERLINK("https://www.friedensdorf.de/documents/Woerterbuch_Arabisch.pdf","x")</f>
        <v>x</v>
      </c>
      <c r="BR127" s="111"/>
      <c r="BS127" s="112" t="str">
        <f t="shared" si="26"/>
        <v>x</v>
      </c>
      <c r="BT127" s="112" t="str">
        <f>HYPERLINK("http://de.langenscheidt.com/doc/arabisch-deutsch-sprachfuehrer.pdf","x")</f>
        <v>x</v>
      </c>
      <c r="BU127" s="111"/>
      <c r="BV127" s="112" t="str">
        <f t="shared" si="27"/>
        <v>x</v>
      </c>
      <c r="BW127" s="112" t="str">
        <f>HYPERLINK("http://www.welcomegrooves.de/wp-content/uploads/2015/10/welcomegrooves_DE-ARABISCH.pdf","x")</f>
        <v>x</v>
      </c>
      <c r="BX127" s="112"/>
      <c r="BY127" s="112"/>
      <c r="BZ127" s="112" t="str">
        <f>HYPERLINK("http://fluechtlingshilfe-nettetal.de/ausbildung/video-sprachkurse-deutsch-fuer-fluechtlinge/video-sprachkurs-syrisch-deutsch/","x")</f>
        <v>x</v>
      </c>
      <c r="CA127" s="112" t="str">
        <f t="shared" si="28"/>
        <v>x</v>
      </c>
      <c r="CB127" s="112" t="str">
        <f t="shared" si="29"/>
        <v>x</v>
      </c>
      <c r="CC127" s="112" t="str">
        <f t="shared" si="30"/>
        <v>x</v>
      </c>
      <c r="CD127" s="112"/>
      <c r="CE127" s="112"/>
      <c r="CF127" s="112" t="str">
        <f>HYPERLINK("http://www.agf-trier.de/sites/default/files/bersetzungshilfe%20%20f%C3%BCr%20Frauen%20Arab..pdf","x")</f>
        <v>x</v>
      </c>
      <c r="CG127" s="112" t="str">
        <f>HYPERLINK("http://www.braunschweig.de/leben/frauen/hilfe/Ohne-Gewalt-leben.pdf","x")</f>
        <v>x</v>
      </c>
      <c r="CH127" s="112" t="str">
        <f>HYPERLINK("http://mifkjf.rlp.de/fileadmin/mifkjf/Frauen/Gewalt_gegen_Frauen/Downloads/Broschueren_Flyer/Flyer_Gewalt_arabisch_fuer_ANSICHT.pdf","x")</f>
        <v>x</v>
      </c>
      <c r="CI127" s="112"/>
      <c r="CJ127" s="112" t="str">
        <f>HYPERLINK("https://www.hilfetelefon.de/fileadmin/hilfetelefon_de/Materialien/weitere_werbemittel/Klappflyer_Vorder-_und_Rueckseite_opt2.pdf","x")</f>
        <v>x</v>
      </c>
      <c r="CK127" s="112" t="str">
        <f t="shared" si="31"/>
        <v>x</v>
      </c>
      <c r="CL127" s="112" t="str">
        <f>HYPERLINK("http://www.frauenberatungsstelle.de/pdf/Migrantinnen-beraten-Migrantinnen.pdf","x")</f>
        <v>x</v>
      </c>
      <c r="CM127" s="112"/>
      <c r="CN127" s="112"/>
      <c r="CO127" s="112"/>
      <c r="CP127" s="112" t="str">
        <f>HYPERLINK("http://www.schwanger-und-viele-fragen.de/ar/","x")</f>
        <v>x</v>
      </c>
      <c r="CQ127" s="112"/>
      <c r="CR12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27" s="112"/>
      <c r="CT127" s="112"/>
      <c r="CU127" s="112" t="str">
        <f>HYPERLINK("http://www.profamilia.de/fileadmin/publikationen/Erwachsene/mehrsprachig/verhuetung_arabisch.pdf","x")</f>
        <v>x</v>
      </c>
      <c r="CV127" s="112"/>
      <c r="CW127" s="112"/>
      <c r="CX127" s="112"/>
      <c r="CY127" s="112" t="str">
        <f>HYPERLINK("http://www.caritas-schwarzwald-alb-donau.de/68854.html","x")</f>
        <v>x</v>
      </c>
      <c r="CZ127" s="112"/>
      <c r="DA127" s="112" t="str">
        <f>HYPERLINK("http://sichere-orte-schaffen.de/wp-content/uploads/Minibrosch_Fluechtlinge_multilang.pdf","x")</f>
        <v>x</v>
      </c>
      <c r="DB127" s="112"/>
      <c r="DC127" s="115" t="str">
        <f>HYPERLINK("http://www.kindersicherheit.de/pdf/2012_Bilderbuch-Gift-Arabisch.pdf","x")</f>
        <v>x</v>
      </c>
      <c r="DD127" s="112"/>
      <c r="DE127" s="112"/>
      <c r="DF127" s="112" t="str">
        <f t="shared" si="32"/>
        <v>x</v>
      </c>
      <c r="DG127" s="115" t="str">
        <f t="shared" si="33"/>
        <v>x</v>
      </c>
      <c r="DH127" s="112" t="str">
        <f t="shared" si="34"/>
        <v>x</v>
      </c>
      <c r="DI127" s="112" t="str">
        <f t="shared" si="35"/>
        <v>x</v>
      </c>
      <c r="DJ127" s="112" t="str">
        <f>HYPERLINK("http://www.bibliomedia.ch/de/angebote/dokumente/Glossar_arabisch.pdf","x")</f>
        <v>x</v>
      </c>
      <c r="DK127" s="112"/>
      <c r="DL127" s="112" t="str">
        <f>HYPERLINK("http://www.carlsen.de/sites/default/files/Walter-ebook_arabisch_klein.pdf","x")</f>
        <v>x</v>
      </c>
      <c r="DM127" s="112"/>
      <c r="DN127" s="112"/>
      <c r="DO127" s="112" t="str">
        <f>HYPERLINK("http://www.wdrmaus.de/sachgeschichten/maus-international/","x")</f>
        <v>x</v>
      </c>
      <c r="DP127" s="111"/>
      <c r="DQ127" s="112" t="str">
        <f>HYPERLINK("http://tipdoc.de/bus/grafik/kinder-tip/SCHULTIP_give_didacta.pdf","x")</f>
        <v>x</v>
      </c>
      <c r="DR127" s="112" t="str">
        <f>HYPERLINK("https://broschueren.nordrheinwestfalendirekt.de/broschuerenservice/msw/ar-das-schulsystem-in-nordrhein-westfalen-einfach-und-schnell-erklaert/1901","x")</f>
        <v>x</v>
      </c>
      <c r="DS127" s="112" t="str">
        <f>HYPERLINK("http://bildung.koeln.de/materialbibliothek/download.php?idx=7479da9798519efb4e1944d46a76011b","x")</f>
        <v>x</v>
      </c>
      <c r="DT127" s="112" t="str">
        <f>HYPERLINK("http://bildung.koeln.de/materialbibliothek/download.php?idx=dd3a964c240308ea1c8e0d161e49e314","x")</f>
        <v>x</v>
      </c>
      <c r="DU127" s="112"/>
      <c r="DV127" s="112" t="str">
        <f>HYPERLINK("https://www.bmbf.de/pub/Kausa_Elternbroschuere_arabisch.pdf","x")</f>
        <v>x</v>
      </c>
      <c r="DW127" s="112"/>
      <c r="DX127" s="112" t="str">
        <f>HYPERLINK("http://www.wissenschaft.nrw.de/studium/informieren/informationen-fuer-fluechtlinge-die-in-nrw-studieren-moechten/","x")</f>
        <v>x</v>
      </c>
      <c r="DY127" s="112" t="str">
        <f>HYPERLINK("http://www.bamf.de/SharedDocs/Anlagen/DE/Publikationen/Flyer/AnerkennungBerufsabschluss/berufliche_anerkennung_akademische-heilberufe_ar.pdf?__blob=publicationFile","x")</f>
        <v>x</v>
      </c>
      <c r="DZ127" s="112" t="str">
        <f>HYPERLINK("http://www.bamf.de/SharedDocs/Anlagen/DE/Publikationen/Flyer/AnerkennungBerufsabschluss/anerkennung-berufsabschluss_ar.pdf?__blob=publicationFile","x")</f>
        <v>x</v>
      </c>
      <c r="EA127" s="112" t="str">
        <f>HYPERLINK("http://www.bamf.de/SharedDocs/Anlagen/DE/Publikationen/Flyer/AnerkennungBerufsabschluss/anerkennung-berufsabschluss_ausland_ar.pdf?__blob=publicationFile","x")</f>
        <v>x</v>
      </c>
      <c r="EB127" s="112" t="str">
        <f>HYPERLINK("http://www.bamf.de/SharedDocs/Anlagen/DE/Publikationen/Broschueren/willkommen-in-deutschland-info-blaue-karte-eu_ar.pdf?__blob=publicationFile","x")</f>
        <v>x</v>
      </c>
      <c r="EC127" s="112" t="str">
        <f>HYPERLINK("http://www.bamf.de/SharedDocs/Anlagen/DE/Publikationen/Flyer/Berufsbezsprachf-ESF-BAMF/berufsbezsprachf-esf-bamf_ar.pdf?__blob=publicationFile","x")</f>
        <v>x</v>
      </c>
      <c r="ED127" s="111"/>
      <c r="EE127" s="111"/>
      <c r="EF127" s="111"/>
      <c r="EG127" s="111"/>
      <c r="EH127" s="111"/>
      <c r="EI127" s="111"/>
      <c r="EJ127" s="112"/>
      <c r="EK127" s="112" t="str">
        <f>HYPERLINK("http://fluechtlingsrat-bw.de/files/Dateien/Dokumente/Materialbestellung/2014-12-flyer%20arbeitserlaubnis%20AR%20WEB_final.pdf","x")</f>
        <v>x</v>
      </c>
      <c r="EL127" s="112" t="str">
        <f>HYPERLINK("http://www.aponet.de/arabisch/20151019-fuer-den-notfall-wichtige-rufnummern-im-ueberblick.html","x")</f>
        <v>x</v>
      </c>
      <c r="EM127" s="112" t="str">
        <f>HYPERLINK("http://www.kvs-sachsen.de/fileadmin/img/Mitglieder/Asylbewerber/Allg-Informationen/Anlage_1_Arabisch_LEK.pdf","x")</f>
        <v>x</v>
      </c>
      <c r="EN127" s="112" t="str">
        <f>HYPERLINK("http://www.medizin-hilft-fluechtlingen.de/images/Dokumente/gSch/gSch_arab.pdf","x")</f>
        <v>x</v>
      </c>
      <c r="EO127" s="112" t="str">
        <f>HYPERLINK("http://www.aponet.de/arabisch/20151016-medizinische-leistungen-fuer-asylbewerber.html","x")</f>
        <v>x</v>
      </c>
      <c r="EP127" s="117" t="str">
        <f t="shared" si="45"/>
        <v>x</v>
      </c>
      <c r="EQ127" s="117" t="str">
        <f>HYPERLINK("http://www.armut-gesundheit.de/fileadmin/redakteur/dokumente/Anamnesebogen%20-%20Arabischnew.pdf","x")</f>
        <v>x</v>
      </c>
      <c r="ER127" s="112" t="str">
        <f>HYPERLINK("http://www.kvs-sachsen.de/fileadmin/img/Mitglieder/Asylbewerber/Allg-Informationen/Anlagen_2-1_2-2_Arabisch_LEK.pdf","x")</f>
        <v>x</v>
      </c>
      <c r="ES127" s="112"/>
      <c r="ET127" s="112" t="str">
        <f>HYPERLINK("http://www.pharmazeutische-zeitung.de/fileadmin/pdf/Fragebogen_PZ_43_2015.pdf","x")</f>
        <v>x</v>
      </c>
      <c r="EU127" s="112" t="str">
        <f>HYPERLINK("http://www.medizin-hilft-fluechtlingen.de/images/Dokumente/ein/ein_arab.pdf","x")</f>
        <v>x</v>
      </c>
      <c r="EV127" s="112" t="str">
        <f>HYPERLINK("http://www.adler-apotheke-hh.de/fileadmin/user_upload/PDF-Dateien/Dosierzettel_mehrsprachig_AUF_0_.pdf","x")</f>
        <v>x</v>
      </c>
      <c r="EW127" s="112" t="str">
        <f t="shared" si="36"/>
        <v>x</v>
      </c>
      <c r="EX127" s="112" t="str">
        <f>HYPERLINK("http://www.rki.de/DE/Content/Infekt/IfSG/Belehrungsbogen/belehrungsbogen_eltern_arabisch.pdf?__blob=publicationFile","x")</f>
        <v>x</v>
      </c>
      <c r="EY127" s="112" t="str">
        <f>HYPERLINK("http://www.bzga.de/infomaterialien/?sid=236","x")</f>
        <v>x</v>
      </c>
      <c r="EZ127" s="112" t="str">
        <f>HYPERLINK("https://www.mh-hannover.de/fileadmin/mhh/bilder/aktuelles_presse/presseinformationen_news/150921_Pilz_Vergif_Arab_3.pdf","x")</f>
        <v>x</v>
      </c>
      <c r="FA127" s="112"/>
      <c r="FB127" s="112" t="str">
        <f>HYPERLINK("http://static.apotheken-umschau.de/media/gp/article_506373/bildwoerterbuch.pdf","x")</f>
        <v>x</v>
      </c>
      <c r="FC127" s="111"/>
      <c r="FD127" s="112" t="str">
        <f t="shared" si="37"/>
        <v>x</v>
      </c>
      <c r="FE127" s="112" t="str">
        <f t="shared" si="46"/>
        <v>x</v>
      </c>
      <c r="FF127" s="112" t="str">
        <f>HYPERLINK("http://www.fuhlenhagen.com/pdf_dateien/uebertzungshilfe_aerzte_mehrsprachig.pdf","x")</f>
        <v>x</v>
      </c>
      <c r="FG127" s="112" t="str">
        <f>HYPERLINK("http://www.tipdoc.de/grafik/asyl/Gesundheitsheft_Asyl.pdf","x")</f>
        <v>x</v>
      </c>
      <c r="FH127" s="111"/>
      <c r="FI127" s="111"/>
      <c r="FJ127" s="112" t="str">
        <f>HYPERLINK("http://www.bundesgesundheitsministerium.de/fileadmin/dateien/Publikationen/Gesundheit/Broschueren/Ratgeber_Asylsuchende/Ratgeber_Asylsuchende_arab.PDF","x")</f>
        <v>x</v>
      </c>
      <c r="FK127" s="112" t="str">
        <f>HYPERLINK("http://www.rki.de/DE/Content/Infekt/Impfen/Materialien/Downloads-Impfkalender/Impfkalender_Arabisch.pdf?__blob=publicationFile","x")</f>
        <v>x</v>
      </c>
      <c r="FL127" s="112" t="str">
        <f>HYPERLINK("http://www.ethno-medizinisches-zentrum.de/images/PDF-Files/impfwegweiser_arabbisch_2013_online.pdf","x")</f>
        <v>x</v>
      </c>
      <c r="FM127" s="112"/>
      <c r="FN127" s="112" t="str">
        <f>HYPERLINK("http://www.rki.de/DE/Content/Infekt/Impfen/Materialien/Glossar-Downloads/glossar-de-arabisch.pdf?__blob=publicationFile","x")</f>
        <v>x</v>
      </c>
      <c r="FO127" s="112"/>
      <c r="FP127" s="112" t="str">
        <f>HYPERLINK("http://www.rki.de/DE/Content/Infekt/Impfen/Materialien/Downloads-MMR/MMR-Impfinfo-arabisch.pdf?__blob=publicationFile","x")</f>
        <v>x</v>
      </c>
      <c r="FQ127" s="112" t="str">
        <f>HYPERLINK("http://www.rki.de/DE/Content/InfAZ/P/Polio/Ausbruch_Syrien/Informationsblatt_Polio_Arabisch.pdf?__blob=publicationFile","x")</f>
        <v>x</v>
      </c>
      <c r="FR127" s="112" t="str">
        <f>HYPERLINK("http://www.rki.de/DE/Content/Infekt/Impfen/Materialien/Downloads_HepA/Aufklaerung_HAV-Impfung_arabisch.pdf?__blob=publicationFile","x")</f>
        <v>x</v>
      </c>
      <c r="FS127" s="112" t="str">
        <f>HYPERLINK("http://www.rki.de/DE/Content/Infekt/Impfen/Materialien/Downloads_Pneumokokken/Aufklaerung_Pneumo-Impfung_Arabisch.pdf?__blob=publicationFile","x")</f>
        <v>x</v>
      </c>
      <c r="FT127" s="112" t="str">
        <f>HYPERLINK("http://www.rki.de/DE/Content/Infekt/Impfen/Materialien/Downloads-DTaPIPVHibHepB/DTaPIPVHibHepB_arabisch.pdf?__blob=publicationFile","x")</f>
        <v>x</v>
      </c>
      <c r="FU12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27" s="112" t="str">
        <f>HYPERLINK("http://www.rki.de/DE/Content/Infekt/Impfen/Materialien/Downloads-Tdap-IPV/Tdap-IPV-arabisch.pdf?__blob=publicationFile","x")</f>
        <v>x</v>
      </c>
      <c r="FW127" s="112" t="str">
        <f>HYPERLINK("http://www.rki.de/DE/Content/Infekt/Impfen/Materialien/Downloads-Influenza_nasal/Influenza_nasal-arabisch.pdf?__blob=publicationFile","x")</f>
        <v>x</v>
      </c>
      <c r="FX127" s="112" t="str">
        <f>HYPERLINK("http://www.medical-tribune.de/fileadmin/PDF/Arthrose_arabisch.pdf","x")</f>
        <v>x</v>
      </c>
      <c r="FY127" s="112" t="str">
        <f>HYPERLINK("http://www.medical-tribune.de/fileadmin/PDF/Asthma_arabisch.pdf","x")</f>
        <v>x</v>
      </c>
      <c r="FZ127" s="112" t="str">
        <f>HYPERLINK("http://www.medical-tribune.de/fileadmin/PDF/Bluthochdruck_arabisch.pdf","x")</f>
        <v>x</v>
      </c>
      <c r="GA127" s="112"/>
      <c r="GB127" s="112" t="str">
        <f>HYPERLINK("http://www.medical-tribune.de/fileadmin/PDF/COPD_arabisch.pdf","x")</f>
        <v>x</v>
      </c>
      <c r="GC127" s="112"/>
      <c r="GD127" s="112" t="str">
        <f>HYPERLINK("http://www.ethno-medizinisches-zentrum.de/images/PDF-Files/lf_diabete_arab.pdf","x")</f>
        <v>x</v>
      </c>
      <c r="GE127" s="112"/>
      <c r="GF127" s="112"/>
      <c r="GG127" s="112"/>
      <c r="GH127" s="112"/>
      <c r="GI127" s="112" t="str">
        <f>HYPERLINK("http://www.tipdoc.de/bus/pdf/hepatitis/Hep_B_Webseite.pdf","x")</f>
        <v>x</v>
      </c>
      <c r="GJ127" s="112" t="str">
        <f>HYPERLINK("http://www.tipdoc.de/bus/pdf/hepatitis/Hep_C_Webseite.pdf","x")</f>
        <v>x</v>
      </c>
      <c r="GK127" s="111"/>
      <c r="GL127" s="111"/>
      <c r="GM127" s="112" t="str">
        <f>HYPERLINK("http://www.rki.de/DE/Content/Infekt/Impfen/Materialien/Downloads-Influenza/Influenza-arabisch.pdf?__blob=publicationFile","x")</f>
        <v>x</v>
      </c>
      <c r="GN127" s="112"/>
      <c r="GO127" s="112" t="str">
        <f>HYPERLINK("http://www.aponet.de/arabisch/20151111-so-unterscheiden-sich-grippe-und-erkaeltung.html","x")</f>
        <v>x</v>
      </c>
      <c r="GP127" s="112" t="str">
        <f>HYPERLINK("http://www.tipdoc.de/grafik/pdf/kopflaeuse/Kopflaeuse_ARAB.pdf","x")</f>
        <v>x</v>
      </c>
      <c r="GQ127" s="112"/>
      <c r="GR127" s="112" t="str">
        <f>HYPERLINK("http://www.tipdoc.com/bus/pdf/kraetze/tipdoc_Scabies_ARAB.pdf","x")</f>
        <v>x</v>
      </c>
      <c r="GS127" s="112" t="str">
        <f>HYPERLINK("http://www.tipdoc.com/bus/pdf/MagenDarmHaende/MagenDarmHaende_Arab.pdf","x")</f>
        <v>x</v>
      </c>
      <c r="GT127" s="112"/>
      <c r="GU127" s="112" t="str">
        <f>HYPERLINK("http://www.medical-tribune.de/fileadmin/PDF/Rueckenschmerzen_arabisch.pdf","x")</f>
        <v>x</v>
      </c>
      <c r="GV127" s="112"/>
      <c r="GW127" s="112"/>
      <c r="GX127" s="112" t="str">
        <f>HYPERLINK("http://www.medical-tribune.de/fileadmin/PDF/Schwindel_arabisch.pdf","x")</f>
        <v>x</v>
      </c>
      <c r="GY127" s="112"/>
      <c r="GZ127" s="112"/>
      <c r="HA127" s="112"/>
      <c r="HB127" s="112"/>
      <c r="HC127" s="112" t="str">
        <f t="shared" si="38"/>
        <v>x</v>
      </c>
      <c r="HD127" s="112" t="str">
        <f t="shared" ref="HD127:HD132" si="51">HYPERLINK("https://www.zahnaerzte-wl.de/images/_PDF-suche/KZV_ZÄK/ENDSTAND_Ankreuzbogen_Ich_verstehe.pdf","x")</f>
        <v>x</v>
      </c>
      <c r="HE127" s="112" t="str">
        <f>HYPERLINK("https://www.zahnaerzte-wl.de/images/_PDF-suche/KZV_ZÄK/Anschreiben_Patienten_arabisch.pdf","x")</f>
        <v>x</v>
      </c>
      <c r="HF127" s="112" t="str">
        <f>HYPERLINK("https://www.zahnaerzte-wl.de/images/_PDF-suche/KZV_ZÄK/Fragebogen_arabisch.pdf","x")</f>
        <v>x</v>
      </c>
      <c r="HG127" s="112" t="str">
        <f>HYPERLINK("https://www.zahnaerzte-wl.de/images/_PDF-suche/KZV_ZÄK/Patientenerhebungsbogen_arabisch.pdf","x")</f>
        <v>x</v>
      </c>
      <c r="HH127" s="112"/>
      <c r="HI127" s="112"/>
      <c r="HJ127" s="112" t="str">
        <f>HYPERLINK("http://www.ibbc-berlin.de/media/Bro_de-arab.pdf","x")</f>
        <v>x</v>
      </c>
      <c r="HK127" s="112"/>
      <c r="HL127" s="112" t="str">
        <f>HYPERLINK("http://www.ethno-medizinisches-zentrum.de/images/PDF-Files/lf_depression__arab.pdf","x")</f>
        <v>x</v>
      </c>
      <c r="HM127" s="112"/>
      <c r="HN127" s="112"/>
      <c r="HO127" s="112"/>
      <c r="HP127" s="112"/>
      <c r="HQ127" s="112"/>
      <c r="HR127" s="112"/>
      <c r="HS127" s="112"/>
      <c r="HT127" s="112"/>
      <c r="HU127" s="112"/>
      <c r="HV127" s="112"/>
      <c r="HW127" s="112"/>
      <c r="HX127" s="112" t="str">
        <f>HYPERLINK("http://www.bkk-psychisch-gesund.de/fileadmin/user_upload/Dokumente/Versicherte/Broschueren/Wegweiser_Psychotherapie_arabisch.pdf","x")</f>
        <v>x</v>
      </c>
      <c r="HY127" s="112" t="str">
        <f t="shared" si="39"/>
        <v>x</v>
      </c>
      <c r="HZ127" s="112" t="str">
        <f t="shared" si="40"/>
        <v>x</v>
      </c>
      <c r="IA127" s="112"/>
      <c r="IB127" s="112"/>
      <c r="IC127" s="112"/>
      <c r="ID127" s="112" t="str">
        <f>HYPERLINK("http://www.susannestein.de/VIA-online/trauma-bilderbuch-arabisch.pdf","x")</f>
        <v>x</v>
      </c>
      <c r="IE127" s="112"/>
      <c r="IF127" s="112"/>
      <c r="IG127" s="112"/>
      <c r="IH127" s="111"/>
      <c r="II127" s="112"/>
      <c r="IJ127" s="112"/>
      <c r="IK127" s="112" t="str">
        <f>HYPERLINK("http://www.bamf.de/SharedDocs/Anlagen/DE/Publikationen/Flyer/Lassen-Sie-Sich-Beraten/lassen-sie-sich-beraten_ar.pdf?__blob=publicationFile","x")</f>
        <v>x</v>
      </c>
      <c r="IL127" s="112" t="str">
        <f>HYPERLINK("http://www.bamf.de/SharedDocs/Anlagen/DE/Publikationen/Flyer/flyer-erstorientierung-asylsuchende_arabisch.pdf?__blob=publicationFile","x")</f>
        <v>x</v>
      </c>
      <c r="IM127" s="111"/>
      <c r="IN127" s="112" t="str">
        <f>HYPERLINK("https://www.bamf.de/SharedDocs/Anlagen/DE/Publikationen/Broschueren/willkommen-in-deutschland_ar.pdf?__blob=publicationFile","x")</f>
        <v>x</v>
      </c>
      <c r="IO127" s="112"/>
      <c r="IP127" s="111"/>
      <c r="IQ127" s="112" t="str">
        <f>HYPERLINK("http://www.bamf.de/SharedDocs/Anlagen/DE/Publikationen/Flyer/Lernen-Sie-Deutsch/lernen-sie-deutsch_ar.pdf?__blob=publicationFile","x")</f>
        <v>x</v>
      </c>
      <c r="IR127" s="112" t="str">
        <f>HYPERLINK("http://www.asyl.net/fileadmin/user_upload/redaktion/Dokumente/Arbeitshilfen/150910_Wie_l%C3%A4uft_ein_Asylverfahren_ab_%C3%9Cberblickstext_Arabisch.pdf","x")</f>
        <v>x</v>
      </c>
      <c r="IS127" s="111"/>
      <c r="IT127" s="111"/>
      <c r="IU127" s="111"/>
      <c r="IV127" s="112" t="str">
        <f>HYPERLINK("http://www.asyl.net/fileadmin/user_upload/infoblatt_anhoerung/Infoblatt_2015_ar_fin.pdf","x")</f>
        <v>x</v>
      </c>
      <c r="IW127" s="112" t="str">
        <f>HYPERLINK("http://efi-landsberg.de/asyl/wp-content/uploads/2014/04/Merkblatt-Asylbewerber-Fluechtlinge.pdf","x")</f>
        <v>x</v>
      </c>
      <c r="IX127" s="112"/>
      <c r="IY127" s="112" t="str">
        <f>HYPERLINK("http://www.bamf.de/SharedDocs/Anlagen/DE/Publikationen/Broschueren/broschuere-eat-a4-ar-arabisch.pdf?__blob=publicationFile","x")</f>
        <v>x</v>
      </c>
      <c r="IZ127" s="111"/>
      <c r="JA127" s="112" t="str">
        <f>HYPERLINK("http://fluechtlingsrat-bw.de/informationen-fuer-fluechtlinge.html","x")</f>
        <v>x</v>
      </c>
      <c r="JB127" s="111"/>
      <c r="JC127" s="112"/>
      <c r="JD127" s="111"/>
      <c r="JE127" s="112"/>
      <c r="JF127" s="112"/>
      <c r="JG127" s="112" t="str">
        <f>HYPERLINK("http://www.bamf.de/SharedDocs/Anlagen/DE/Publikationen/Flyer/Ehegattennachzug/ehegattennachzug-ar.pdf?__blob=publicationFile","x")</f>
        <v>x</v>
      </c>
      <c r="JH127" s="112" t="str">
        <f>HYPERLINK("https://familyreunion-syria.diplo.de/webportal/index.html#start","x")</f>
        <v>x</v>
      </c>
      <c r="JI127" s="111"/>
      <c r="JJ127" s="112"/>
      <c r="JK127" s="112" t="str">
        <f>HYPERLINK("https://www.arbeitsagentur.de/web/wcm/idc/groups/public/documents/webdatei/mdaw/mjgz/~edisp/l6019022dstbai784629.pdf?_ba.sid=L6019022DSTBAI788745","x")</f>
        <v>x</v>
      </c>
      <c r="JL127" s="112" t="str">
        <f>HYPERLINK("http://www.kub-berlin.org/formularprojekt/de/arabisch-antraege-und-anlagen/","x")</f>
        <v>x</v>
      </c>
      <c r="JM127" s="112" t="str">
        <f>HYPERLINK("https://www.arbeitsagentur.de/web/content/DE/Formulare/Detail/index.htm?dfContentId=L6019022DSTBAI485740","x")</f>
        <v>x</v>
      </c>
      <c r="JN127" s="112"/>
      <c r="JO127" s="112"/>
      <c r="JP127" s="112"/>
      <c r="JQ127" s="112"/>
      <c r="JR127" s="112" t="str">
        <f>HYPERLINK("http://www.ibla-germany.de/merkblaetter.php","x")</f>
        <v>x</v>
      </c>
      <c r="JS127" s="112"/>
      <c r="JT127" s="112" t="str">
        <f>HYPERLINK("http://www.b-umf.de/images/willkommen/willkommensbroschurearabisch-web.pdf","x")</f>
        <v>x</v>
      </c>
      <c r="JU127" s="111"/>
      <c r="JV127" s="111"/>
      <c r="JW127" s="112"/>
      <c r="JX127" s="112"/>
      <c r="JY127" s="112"/>
      <c r="JZ127" s="112"/>
      <c r="KA127" s="112" t="str">
        <f>HYPERLINK("http://www.kas.de/wf/de/33.43117/","x")</f>
        <v>x</v>
      </c>
      <c r="KB127" s="112" t="str">
        <f>HYPERLINK("http://www.refugeeguide.de/dl/RefugeeGuide_ar_930.pdf","x")</f>
        <v>x</v>
      </c>
      <c r="KC127" s="112" t="str">
        <f>HYPERLINK("http://www.bpb.de/shop/buecher/grundgesetz/215136/grundgesetz-auf-arabisch","x")</f>
        <v>x</v>
      </c>
      <c r="KD127" s="112" t="str">
        <f t="shared" si="47"/>
        <v>x</v>
      </c>
      <c r="KE127" s="112" t="str">
        <f>HYPERLINK("http://www.frauenrechte.de/online/images/downloads/allgemein/TDF_Flyer_Women_Men.pdf","x")</f>
        <v>x</v>
      </c>
      <c r="KF127" s="112" t="str">
        <f>HYPERLINK("http://sab.landtag.sachsen.de/dokumente/landtagskurier/Grundwerte-A5-international_web_08012016.pdf","x")</f>
        <v>x</v>
      </c>
      <c r="KG127" s="112"/>
      <c r="KH127" s="112"/>
      <c r="KI127" s="112"/>
      <c r="KJ127" s="112"/>
      <c r="KK127" s="112"/>
      <c r="KL127" s="112"/>
      <c r="KM127" s="112"/>
      <c r="KN127" s="112"/>
      <c r="KO127" s="112"/>
      <c r="KP127" s="112"/>
      <c r="KQ127" s="112"/>
      <c r="KR127" s="112"/>
      <c r="KS127" s="112"/>
      <c r="KT127" s="112"/>
      <c r="KU127" s="112"/>
      <c r="KV127" s="112"/>
      <c r="KW127" s="112"/>
      <c r="KX127" s="112"/>
      <c r="KY127" s="112"/>
      <c r="KZ127" s="112"/>
      <c r="LA127" s="112"/>
      <c r="LB127" s="112"/>
      <c r="LC127" s="111"/>
      <c r="LD127" s="111"/>
      <c r="LE127" s="111"/>
      <c r="LF127" s="111"/>
      <c r="LG127" s="112"/>
      <c r="LH127" s="111"/>
      <c r="LI127" s="111"/>
      <c r="LJ127" s="111"/>
      <c r="LK127" s="111"/>
      <c r="LL127" s="111"/>
      <c r="LM127" s="111"/>
      <c r="LN127" s="111"/>
      <c r="LO127" s="111"/>
      <c r="LP127" s="111"/>
      <c r="LQ127" s="111"/>
      <c r="LR127" s="111"/>
      <c r="LS127" s="111"/>
      <c r="LT127" s="112"/>
      <c r="LU127" s="111"/>
      <c r="LV127" s="111"/>
      <c r="LW127" s="111"/>
      <c r="LX127" s="111"/>
      <c r="LY127" s="111"/>
      <c r="LZ127" s="112" t="str">
        <f>HYPERLINK("http://www.bjf.info/projekte/cinemanya","x")</f>
        <v>x</v>
      </c>
      <c r="MA127" s="111"/>
      <c r="MB127" s="111"/>
      <c r="MC127" s="111"/>
      <c r="MD127" s="112" t="str">
        <f>HYPERLINK("http://www.rki.de/DE/Content/Infekt/IfSG/Belehrungsbogen/belehrungsbogen_lebensmittel_arabisch.pdf?__blob=publicationFile","x")</f>
        <v>x</v>
      </c>
      <c r="ME127" s="111"/>
      <c r="MF127" s="112" t="str">
        <f>HYPERLINK("http://www.gdv.de/wp-content/uploads/2016/01/Information_Brandschutz_Fluechtlingsheim_-Sicherheit_mehrsprachig.pdf","x")</f>
        <v>x</v>
      </c>
      <c r="MG127" s="112" t="str">
        <f>HYPERLINK("http://www.gdv.de/wp-content/uploads/2016/01/Information_Verhalten-im-Brandfall_mehrsprachig.pdf","x")</f>
        <v>x</v>
      </c>
      <c r="MH127" s="112" t="str">
        <f>HYPERLINK("http://www.aha-region.de/fileadmin/Download/pdf/aha_Plakat_Muelltrennung_ar.pdf","x")</f>
        <v>x</v>
      </c>
      <c r="MI127" s="112" t="str">
        <f>HYPERLINK("http://www.kindersicherheit.de/pdf/2012_poster_achtunggiftig_8sprachig.pdf","x")</f>
        <v>x</v>
      </c>
    </row>
    <row r="128" spans="1:347" x14ac:dyDescent="0.25">
      <c r="A128" s="102" t="s">
        <v>406</v>
      </c>
      <c r="B128" s="127" t="s">
        <v>5</v>
      </c>
      <c r="C128" s="102"/>
      <c r="D128" s="102"/>
      <c r="E128" s="102"/>
      <c r="F128" s="102"/>
      <c r="G128" s="102"/>
      <c r="H128" s="102"/>
      <c r="I128" s="102"/>
      <c r="J128" s="102"/>
      <c r="K128" s="103"/>
      <c r="L128" s="111"/>
      <c r="M128" s="111"/>
      <c r="N128" s="111"/>
      <c r="O128" s="111"/>
      <c r="P128" s="112" t="str">
        <f>HYPERLINK("http://www.awb-ahrweiler.de/admin/data/ddownload/Abfall%20Sonderhinweise-Franzoesisch%202015.pdf","x")</f>
        <v>x</v>
      </c>
      <c r="Q128" s="111"/>
      <c r="R128" s="111"/>
      <c r="S128" s="111"/>
      <c r="T128" s="111"/>
      <c r="U128" s="112" t="str">
        <f>HYPERLINK("http://www.ag-fluechtlingshilfe-wetterau.de/uploads/infos/191.pdf","x")</f>
        <v>x</v>
      </c>
      <c r="V128" s="112"/>
      <c r="W128" s="112"/>
      <c r="X128" s="111"/>
      <c r="Y128" s="112"/>
      <c r="Z128" s="112"/>
      <c r="AA128" s="112"/>
      <c r="AB128" s="112"/>
      <c r="AC128" s="112"/>
      <c r="AD128" s="112" t="str">
        <f>HYPERLINK("http://www.rundfunkbeitrag.de/e175/e1632/Informationsflyer_Buergerinnen_und_Buerger_franzoesisch.pdf","x")</f>
        <v>x</v>
      </c>
      <c r="AE128" s="112"/>
      <c r="AF128" s="112" t="str">
        <f>HYPERLINK("http://www.kub-berlin.org/formularprojekt/franzoesisch-antraege-und-anlagen-uebersetzungshilfen/","x")</f>
        <v>x</v>
      </c>
      <c r="AG128" s="112" t="str">
        <f>HYPERLINK("http://asyl-in-moenchengladbach.de/wp-content/uploads/2015/11/100711-Flyer_FR.pdf","x")</f>
        <v>x</v>
      </c>
      <c r="AH128" s="112" t="str">
        <f>HYPERLINK("http://sghanstedt.elbnetz.com/ueber-uns/","x")</f>
        <v>x</v>
      </c>
      <c r="AI128" s="111"/>
      <c r="AJ128" s="111"/>
      <c r="AK128" s="112" t="str">
        <f t="shared" si="48"/>
        <v>x</v>
      </c>
      <c r="AL128" s="112" t="str">
        <f t="shared" si="49"/>
        <v>x</v>
      </c>
      <c r="AM128" s="112"/>
      <c r="AN128" s="112" t="str">
        <f>HYPERLINK("https://www.deutschebahn.com/file/de/2191748/eYdgZpqGpp5sMJ2KMKtg2r8aE4Q/10123812/data/infos_fuer_fluechtlinge.pdf","x")</f>
        <v>x</v>
      </c>
      <c r="AO128" s="112"/>
      <c r="AP128" s="112"/>
      <c r="AQ128" s="112"/>
      <c r="AR128" s="112"/>
      <c r="AS128" s="112"/>
      <c r="AT128" s="112"/>
      <c r="AU128" s="112"/>
      <c r="AV128" s="114" t="str">
        <f>HYPERLINK("http://www.studentenwerke.de/de/content/illustriertes-wohnheimw%C3%B6rterbuch-1","x")</f>
        <v>x</v>
      </c>
      <c r="AW128" s="114" t="str">
        <f t="shared" si="22"/>
        <v>x</v>
      </c>
      <c r="AX128" s="114" t="str">
        <f t="shared" si="23"/>
        <v>x</v>
      </c>
      <c r="AY128" s="111"/>
      <c r="AZ128" s="111"/>
      <c r="BA128" s="112" t="str">
        <f t="shared" si="24"/>
        <v>x</v>
      </c>
      <c r="BB128" s="112" t="str">
        <f t="shared" si="25"/>
        <v>x</v>
      </c>
      <c r="BC128" s="111"/>
      <c r="BD128" s="111"/>
      <c r="BE128" s="111"/>
      <c r="BF128" s="112" t="str">
        <f>HYPERLINK("http://fi-lohmar-siegburg.de/data/documents/communicationboard-arabic-french.pdf","x")</f>
        <v>x</v>
      </c>
      <c r="BG128" s="111"/>
      <c r="BH128" s="112" t="str">
        <f t="shared" si="50"/>
        <v>x</v>
      </c>
      <c r="BI128" s="112" t="str">
        <f>HYPERLINK("https://www.advanced-online.eu/downloads/RefugeePhrasebookCards_German-French.pdf","x")</f>
        <v>x</v>
      </c>
      <c r="BJ128" s="112" t="str">
        <f>HYPERLINK("http://www.klett-sprachen.de/download/8638/W100255_Refugees_Welcome_Wortschatz.pdf","x")</f>
        <v>x</v>
      </c>
      <c r="BK128" s="111"/>
      <c r="BL128" s="112" t="str">
        <f>HYPERLINK("http://www.bundessprachenamt.de/deutsch/wir_ueber_uns/nachrichten/2015/20151103/Verständigungshilfe_Französisch_26_11_2015.pdf","x")</f>
        <v>x</v>
      </c>
      <c r="BM128" s="111"/>
      <c r="BN128" s="111"/>
      <c r="BO128" s="111"/>
      <c r="BP128" s="111"/>
      <c r="BQ128" s="111"/>
      <c r="BR128" s="111"/>
      <c r="BS128" s="112" t="str">
        <f t="shared" si="26"/>
        <v>x</v>
      </c>
      <c r="BT128" s="112"/>
      <c r="BU128" s="111"/>
      <c r="BV128" s="112" t="str">
        <f t="shared" si="27"/>
        <v>x</v>
      </c>
      <c r="BW128" s="112" t="str">
        <f>HYPERLINK("http://www.welcomegrooves.de/wp-content/uploads/2015/11/welcomegrooves-de-franzoesisch.pdf","x")</f>
        <v>x</v>
      </c>
      <c r="BX128" s="112"/>
      <c r="BY128" s="112"/>
      <c r="BZ128" s="112" t="str">
        <f>HYPERLINK("http://fluechtlingshilfe-nettetal.de/ausbildung/video-sprachkurse-deutsch-fuer-fluechtlinge/video-sprachkurs-franzoesisch-deutsch/","x")</f>
        <v>x</v>
      </c>
      <c r="CA128" s="112" t="str">
        <f t="shared" si="28"/>
        <v>x</v>
      </c>
      <c r="CB128" s="112" t="str">
        <f t="shared" si="29"/>
        <v>x</v>
      </c>
      <c r="CC128" s="112" t="str">
        <f t="shared" si="30"/>
        <v>x</v>
      </c>
      <c r="CD128" s="112"/>
      <c r="CE128" s="112"/>
      <c r="CF128" s="111"/>
      <c r="CG128" s="111"/>
      <c r="CH128" s="112" t="str">
        <f>HYPERLINK("http://mifkjf.rlp.de/fileadmin/mifkjf/Frauen/Gewalt_gegen_Frauen/Downloads/Broschueren_Flyer/Flyer_Gewalt_franzoesisch.pdf","x")</f>
        <v>x</v>
      </c>
      <c r="CI128" s="112" t="str">
        <f>HYPERLINK("https://www.hilfetelefon.de/fileadmin/hilfetelefon_de/Materialien/Flyer/Infoflyer_Hilfetelefon_Gewalt_gegen_Frauen141105_b2.pdf","x")</f>
        <v>x</v>
      </c>
      <c r="CJ128" s="112" t="str">
        <f>HYPERLINK("https://www.hilfetelefon.de/fileadmin/hilfetelefon_de/Materialien/weitere_werbemittel/Klappflyer_Vorder-_und_Rueckseite_opt2.pdf","x")</f>
        <v>x</v>
      </c>
      <c r="CK128" s="112" t="str">
        <f t="shared" si="31"/>
        <v>x</v>
      </c>
      <c r="CL128" s="112"/>
      <c r="CM128" s="112"/>
      <c r="CN128" s="112"/>
      <c r="CO128" s="112"/>
      <c r="CP128" s="112" t="str">
        <f>HYPERLINK("http://www.schwanger-und-viele-fragen.de/fr/","x")</f>
        <v>x</v>
      </c>
      <c r="CQ128" s="112"/>
      <c r="CR12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28" s="112" t="str">
        <f>HYPERLINK("http://en.beststart.org/for_parents/are-you-looking-resources-languages-other-english-and-french","x")</f>
        <v>x</v>
      </c>
      <c r="CT128" s="112"/>
      <c r="CU128" s="112" t="str">
        <f>HYPERLINK("http://www.profamilia.de/fileadmin/publikationen/Erwachsene/mehrsprachig/Bro_Verhuetung_frz_141002.pdf","x")</f>
        <v>x</v>
      </c>
      <c r="CV128" s="112"/>
      <c r="CW128" s="112"/>
      <c r="CX128" s="112"/>
      <c r="CY128" s="112" t="str">
        <f>HYPERLINK("http://www.caritas-schwarzwald-alb-donau.de/68854.html","x")</f>
        <v>x</v>
      </c>
      <c r="CZ128" s="112"/>
      <c r="DA128" s="112"/>
      <c r="DB128" s="112"/>
      <c r="DC128" s="115" t="str">
        <f>HYPERLINK("http://www.kindersicherheit.de/pdf/2013_BAG_Tomi_and_Mila_Deutsch_Francais.pdf","x")</f>
        <v>x</v>
      </c>
      <c r="DD128" s="112"/>
      <c r="DE128" s="112"/>
      <c r="DF128" s="112" t="str">
        <f t="shared" si="32"/>
        <v>x</v>
      </c>
      <c r="DG128" s="115" t="str">
        <f t="shared" si="33"/>
        <v>x</v>
      </c>
      <c r="DH128" s="112" t="str">
        <f t="shared" si="34"/>
        <v>x</v>
      </c>
      <c r="DI128" s="112" t="str">
        <f t="shared" si="35"/>
        <v>x</v>
      </c>
      <c r="DJ128" s="112"/>
      <c r="DK128" s="112"/>
      <c r="DL128" s="112"/>
      <c r="DM128" s="112"/>
      <c r="DN128" s="112"/>
      <c r="DO128" s="112"/>
      <c r="DP128" s="111"/>
      <c r="DQ128" s="111"/>
      <c r="DR128" s="112" t="str">
        <f>HYPERLINK("https://broschueren.nordrheinwestfalendirekt.de/broschuerenservice/msw/fr-das-schulsystem-in-nordrhein-westfalen-einfach-und-schnell-erklaert/1903","x")</f>
        <v>x</v>
      </c>
      <c r="DS128" s="112" t="str">
        <f>HYPERLINK("http://bildung.koeln.de/materialbibliothek/download.php?idx=6f75d59e17e7868506c0a48e6f7a44f2","x")</f>
        <v>x</v>
      </c>
      <c r="DT128" s="112" t="str">
        <f>HYPERLINK("http://bildung.koeln.de/materialbibliothek/download.php?idx=bde72be3f1bc4c51a4b0bcfe4a4187c4","x")</f>
        <v>x</v>
      </c>
      <c r="DU128" s="112"/>
      <c r="DV128" s="112" t="str">
        <f>HYPERLINK("https://www.bmbf.de/pub/KAUSA_Elternratgeber_deutsch_franzoesisch.pdf","x")</f>
        <v>x</v>
      </c>
      <c r="DW128" s="111"/>
      <c r="DX128" s="112" t="str">
        <f>HYPERLINK("http://www.wissenschaft.nrw.de/studium/informieren/informationen-fuer-fluechtlinge-die-in-nrw-studieren-moechten/","x")</f>
        <v>x</v>
      </c>
      <c r="DY128" s="111"/>
      <c r="DZ128" s="112" t="str">
        <f>HYPERLINK("http://www.bamf.de/SharedDocs/Anlagen/DE/Publikationen/Flyer/AnerkennungBerufsabschluss/anerkennung-berufsabschluss_fr.pdf?__blob=publicationFile","x")</f>
        <v>x</v>
      </c>
      <c r="EA128" s="112" t="str">
        <f>HYPERLINK("http://www.bamf.de/SharedDocs/Anlagen/DE/Publikationen/Flyer/AnerkennungBerufsabschluss/anerkennung-berufsabschluss_ausland_fr.pdf?__blob=publicationFile","x")</f>
        <v>x</v>
      </c>
      <c r="EB128" s="112" t="str">
        <f>HYPERLINK("http://www.bamf.de/SharedDocs/Anlagen/DE/Publikationen/Broschueren/willkommen-in-deutschland-info-blaue-karte-eu_fr.pdf?__blob=publicationFile","x")</f>
        <v>x</v>
      </c>
      <c r="EC128" s="112" t="str">
        <f>HYPERLINK("http://www.bamf.de/SharedDocs/Anlagen/DE/Publikationen/Flyer/Berufsbezsprachf-ESF-BAMF/berufsbezsprachf-esf-bamf_fr.pdf?__blob=publicationFile","x")</f>
        <v>x</v>
      </c>
      <c r="ED128" s="111"/>
      <c r="EE128" s="111"/>
      <c r="EF128" s="111"/>
      <c r="EG128" s="111"/>
      <c r="EH128" s="111"/>
      <c r="EI128" s="111"/>
      <c r="EJ128" s="112"/>
      <c r="EK128" s="112" t="str">
        <f>HYPERLINK("http://fluechtlingsrat-bw.de/files/Dateien/Dokumente/Materialbestellung/2014-12-flyer%20arbeitserlaubnis%20FRZ%20WEB.pdf","x")</f>
        <v>x</v>
      </c>
      <c r="EL128" s="111"/>
      <c r="EM128" s="112" t="str">
        <f>HYPERLINK("http://www.kvs-sachsen.de/fileadmin/img/Mitglieder/Asylbewerber/Allg-Informationen/Anlage_1_Franzoesisch_LEK.pdf","x")</f>
        <v>x</v>
      </c>
      <c r="EN128" s="112" t="str">
        <f>HYPERLINK("http://www.medizin-hilft-fluechtlingen.de/images/Dokumente/gSch/gSch_fra.pdf","x")</f>
        <v>x</v>
      </c>
      <c r="EO128" s="112"/>
      <c r="EP128" s="117" t="str">
        <f t="shared" si="45"/>
        <v>x</v>
      </c>
      <c r="EQ128" s="117" t="str">
        <f>HYPERLINK("http://www.armut-gesundheit.de/fileadmin/redakteur/dokumente/Anamnesebogen%20-%20franz%C3%B6sischnew.pdf","x")</f>
        <v>x</v>
      </c>
      <c r="ER128" s="112" t="str">
        <f>HYPERLINK("http://www.kvs-sachsen.de/fileadmin/img/Mitglieder/Asylbewerber/Allg-Informationen/Anlagen_2-1_2-2_Franzoesisch_LEK.pdf","x")</f>
        <v>x</v>
      </c>
      <c r="ES128" s="111"/>
      <c r="ET128" s="111"/>
      <c r="EU128" s="112" t="str">
        <f>HYPERLINK("http://medizin-hilft-fluechtlingen.de/images/Dokumente/ein/ein_per.pdf","x")</f>
        <v>x</v>
      </c>
      <c r="EV128" s="112" t="str">
        <f>HYPERLINK("http://www.adler-apotheke-hh.de/fileadmin/user_upload/PDF-Dateien/Dosierzettel_mehrsprachig_AUF_0_.pdf","x")</f>
        <v>x</v>
      </c>
      <c r="EW128" s="112" t="str">
        <f t="shared" si="36"/>
        <v>x</v>
      </c>
      <c r="EX128" s="112" t="str">
        <f>HYPERLINK("http://www.rki.de/DE/Content/Infekt/IfSG/Belehrungsbogen/belehrungsbogen_eltern_franzoesisch.pdf?__blob=publicationFile","x")</f>
        <v>x</v>
      </c>
      <c r="EY128" s="111"/>
      <c r="EZ128" s="112" t="str">
        <f>HYPERLINK("https://www.mh-hannover.de/fileadmin/mhh/bilder/aktuelles_presse/pressestelle/bilder/Pilzvergif_franzoesisch.pdf","x")</f>
        <v>x</v>
      </c>
      <c r="FA128" s="112"/>
      <c r="FB128" s="112" t="str">
        <f>HYPERLINK("http://static.apotheken-umschau.de/media/gp/article_506373/bildwoerterbuch.pdf","x")</f>
        <v>x</v>
      </c>
      <c r="FC128" s="111"/>
      <c r="FD128" s="112" t="str">
        <f t="shared" si="37"/>
        <v>x</v>
      </c>
      <c r="FE128" s="112" t="str">
        <f t="shared" si="46"/>
        <v>x</v>
      </c>
      <c r="FF128" s="111"/>
      <c r="FG128" s="112" t="str">
        <f>HYPERLINK("http://www.tipdoc.de/grafik/asyl/Gesundheitsheft_Asyl.pdf","x")</f>
        <v>x</v>
      </c>
      <c r="FH128" s="111"/>
      <c r="FI128" s="111"/>
      <c r="FJ128" s="112"/>
      <c r="FK128" s="112" t="str">
        <f>HYPERLINK("http://www.rki.de/DE/Content/Infekt/Impfen/Materialien/Downloads-Impfkalender/Impfkalender_Franzoesisch.pdf?__blob=publicationFile","x")</f>
        <v>x</v>
      </c>
      <c r="FL128" s="112" t="str">
        <f>HYPERLINK("http://www.ethno-medizinisches-zentrum.de/images/PDF-Files/impfwegweiser_franzosisch_2013_online.pdf","x")</f>
        <v>x</v>
      </c>
      <c r="FM128" s="112"/>
      <c r="FN128" s="112" t="str">
        <f>HYPERLINK("http://www.rki.de/DE/Content/Infekt/Impfen/Materialien/Glossar-Downloads/glossar-de-franzoesisch.pdf?__blob=publicationFile","x")</f>
        <v>x</v>
      </c>
      <c r="FO128" s="112" t="str">
        <f>HYPERLINK("http://www.euro.who.int/__data/assets/pdf_file/0012/162300/VPD-Signs,-symptoms-and-complications-FRE.pdf","x")</f>
        <v>x</v>
      </c>
      <c r="FP128" s="112" t="str">
        <f>HYPERLINK("http://www.rki.de/DE/Content/Infekt/Impfen/Materialien/Downloads-MMR/MMR-Impfinfo-franzoesisch.pdf?__blob=publicationFile","x")</f>
        <v>x</v>
      </c>
      <c r="FQ128" s="112" t="str">
        <f>HYPERLINK("http://www.rki.de/DE/Content/InfAZ/P/Polio/Ausbruch_Syrien/Informationsblatt_Polio_Franzoesisch.pdf?__blob=publicationFile","x")</f>
        <v>x</v>
      </c>
      <c r="FR128" s="112" t="str">
        <f>HYPERLINK("http://www.rki.de/DE/Content/Infekt/Impfen/Materialien/Downloads_HepA/Aufklaerung_HAV-Impfung_Franzoesisch.pdf?__blob=publicationFile","x")</f>
        <v>x</v>
      </c>
      <c r="FS128" s="112" t="str">
        <f>HYPERLINK("http://www.rki.de/DE/Content/Infekt/Impfen/Materialien/Downloads_Pneumokokken/Aufklaerung_Pneumo-Impfung_Franzoesisch.pdf?__blob=publicationFile","x")</f>
        <v>x</v>
      </c>
      <c r="FT128" s="112" t="str">
        <f>HYPERLINK("http://www.rki.de/DE/Content/Infekt/Impfen/Materialien/Downloads-DTaPIPVHibHepB/DTaPIPVHibHepB-franzoesisch.pdf?__blob=publicationFile","x")</f>
        <v>x</v>
      </c>
      <c r="FU12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28" s="112" t="str">
        <f>HYPERLINK("http://www.rki.de/DE/Content/Infekt/Impfen/Materialien/Downloads-Tdap-IPV/Tdap-IPV-franzoesisch.pdf?__blob=publicationFile","x")</f>
        <v>x</v>
      </c>
      <c r="FW128" s="112" t="str">
        <f>HYPERLINK("http://www.rki.de/DE/Content/Infekt/Impfen/Materialien/Downloads-Influenza_nasal/Influenza_nasal-franzoesisch.pdf?__blob=publicationFile","x")</f>
        <v>x</v>
      </c>
      <c r="FX128" s="111"/>
      <c r="FY128" s="112"/>
      <c r="FZ128" s="112"/>
      <c r="GA128" s="111"/>
      <c r="GB128" s="111"/>
      <c r="GC128" s="111"/>
      <c r="GD128" s="112" t="str">
        <f>HYPERLINK("http://www.ethno-medizinisches-zentrum.de/images/PDF-Files/lf_diabete_franzosisch.pdf","x")</f>
        <v>x</v>
      </c>
      <c r="GE128" s="111"/>
      <c r="GF128" s="111"/>
      <c r="GG128" s="111"/>
      <c r="GH128" s="112"/>
      <c r="GI128" s="111"/>
      <c r="GJ128" s="111"/>
      <c r="GK128" s="112" t="str">
        <f>HYPERLINK("http://www.tipdoc.de/bus/pdf/hiv/HIV%20SRF_Webseite.pdf","x")</f>
        <v>x</v>
      </c>
      <c r="GL128" s="111"/>
      <c r="GM128" s="112" t="str">
        <f>HYPERLINK("http://www.rki.de/DE/Content/Infekt/Impfen/Materialien/Downloads-Influenza/Influenza-franzoesisch.pdf?__blob=publicationFile","x")</f>
        <v>x</v>
      </c>
      <c r="GN128" s="111"/>
      <c r="GO128" s="111"/>
      <c r="GP128" s="112" t="str">
        <f>HYPERLINK("http://www.tipdoc.de/grafik/pdf/kopflaeuse/Kopflaeuse_FRANZ.pdf","x")</f>
        <v>x</v>
      </c>
      <c r="GQ128" s="112"/>
      <c r="GR128" s="112" t="str">
        <f>HYPERLINK("http://www.tipdoc.com/bus/pdf/kraetze/tipdoc_Scabies_FRANZ.pdf","x")</f>
        <v>x</v>
      </c>
      <c r="GS128" s="112" t="str">
        <f>HYPERLINK("http://www.tipdoc.com/bus/pdf/MagenDarmHaende/MagenDarmHaende_FRANZ.pdf","x")</f>
        <v>x</v>
      </c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2" t="str">
        <f t="shared" si="38"/>
        <v>x</v>
      </c>
      <c r="HD128" s="112" t="str">
        <f t="shared" si="51"/>
        <v>x</v>
      </c>
      <c r="HE128" s="112" t="str">
        <f>HYPERLINK("https://www.zahnaerzte-wl.de/images/_PDF-suche/KZV_ZÄK/Anschreiben_Patienten_franzoesisch.pdf","x")</f>
        <v>x</v>
      </c>
      <c r="HF128" s="112" t="str">
        <f>HYPERLINK("https://www.zahnaerzte-wl.de/images/_PDF-suche/KZV_ZÄK/Fragebogen_franzoesisch.pdf","x")</f>
        <v>x</v>
      </c>
      <c r="HG128" s="112" t="str">
        <f>HYPERLINK("https://www.zahnaerzte-wl.de/images/_PDF-suche/KZV_ZÄK/Patientenerhebungsbogen_franzoesisch.pdf","x")</f>
        <v>x</v>
      </c>
      <c r="HH128" s="112"/>
      <c r="HI128" s="112" t="str">
        <f>HYPERLINK("http://www.bvkm.de/fileadmin/web_data/Behinderung_und_Migration_franzoesisch_2014.pdf","x")</f>
        <v>x</v>
      </c>
      <c r="HJ128" s="112"/>
      <c r="HK128" s="112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2" t="str">
        <f t="shared" si="39"/>
        <v>x</v>
      </c>
      <c r="HZ128" s="112" t="str">
        <f t="shared" si="40"/>
        <v>x</v>
      </c>
      <c r="IA128" s="112" t="str">
        <f>HYPERLINK("http://peacefulheart.se/wp-content/uploads/2015/01/Tapping_French_Module-20150102-2.pdf","x")</f>
        <v>x</v>
      </c>
      <c r="IB128" s="111"/>
      <c r="IC128" s="111"/>
      <c r="ID128" s="111"/>
      <c r="IE128" s="111"/>
      <c r="IF128" s="111"/>
      <c r="IG128" s="111"/>
      <c r="IH128" s="111"/>
      <c r="II128" s="112" t="str">
        <f>HYPERLINK("http://www.caritas.de/hilfeundberatung/onlineberatung/suchtberatung/haeufiggestelltefragensucht/haeufiggestelltefragen-sucht","x")</f>
        <v>x</v>
      </c>
      <c r="IJ128" s="111"/>
      <c r="IK128" s="112" t="str">
        <f>HYPERLINK("http://www.bamf.de/SharedDocs/Anlagen/DE/Publikationen/Flyer/Lassen-Sie-Sich-Beraten/lassen-sie-sich-beraten_fr.pdf?__blob=publicationFile","x")</f>
        <v>x</v>
      </c>
      <c r="IL128" s="112" t="str">
        <f>HYPERLINK("http://www.bamf.de/SharedDocs/Anlagen/DE/Publikationen/Flyer/flyer-erstorientierung-asylsuchende_franzoesisch.pdf?__blob=publicationFile","x")</f>
        <v>x</v>
      </c>
      <c r="IM128" s="112" t="str">
        <f>HYPERLINK("http://www.frnrw.de/index.php/inhaltliche-themen/arbeitshilfen/item/3710-erstinfos-fuer-asylsuchende","x")</f>
        <v>x</v>
      </c>
      <c r="IN128" s="112" t="str">
        <f>HYPERLINK("https://www.bamf.de/SharedDocs/Anlagen/DE/Publikationen/Broschueren/willkommen-in-deutschland_fr.pdf?__blob=publicationFile","x")</f>
        <v>x</v>
      </c>
      <c r="IO128" s="112"/>
      <c r="IP128" s="112"/>
      <c r="IQ128" s="112" t="str">
        <f>HYPERLINK("http://www.bamf.de/SharedDocs/Anlagen/DE/Publikationen/Flyer/Lernen-Sie-Deutsch/lernen-sie-deutsch_fr.pdf?__blob=publicationFile","x")</f>
        <v>x</v>
      </c>
      <c r="IR128" s="112"/>
      <c r="IS128" s="111"/>
      <c r="IT128" s="111"/>
      <c r="IU128" s="111"/>
      <c r="IV128" s="112" t="str">
        <f>HYPERLINK("http://www.asyl.net/fileadmin/user_upload/infoblatt_anhoerung/Frz_final.pdf","x")</f>
        <v>x</v>
      </c>
      <c r="IW128" s="112"/>
      <c r="IX128" s="112" t="str">
        <f>HYPERLINK("http://www.berlin.de/labo/willkommen-in-berlin/service/downloads/artikel.273193.php","x")</f>
        <v>x</v>
      </c>
      <c r="IY128" s="112" t="str">
        <f>HYPERLINK("http://www.bamf.de/SharedDocs/Anlagen/DE/Publikationen/Broschueren/broschuere-eat-a4-fr-franzoesisch.pdf?__blob=publicationFile","x")</f>
        <v>x</v>
      </c>
      <c r="IZ128" s="111"/>
      <c r="JA128" s="112" t="str">
        <f>HYPERLINK("http://fluechtlingsrat-bw.de/informationen-fuer-fluechtlinge.html","x")</f>
        <v>x</v>
      </c>
      <c r="JB128" s="111"/>
      <c r="JC128" s="112" t="str">
        <f>HYPERLINK("http://www.bamf.de/SharedDocs/Anlagen/DE/Publikationen/Flyer/20150223_ura2_fra.pdf?__blob=publicationFile","x")</f>
        <v>x</v>
      </c>
      <c r="JD128" s="111"/>
      <c r="JE128" s="112"/>
      <c r="JF128" s="112"/>
      <c r="JG128" s="112"/>
      <c r="JH128" s="112"/>
      <c r="JI128" s="111"/>
      <c r="JJ128" s="112" t="str">
        <f>HYPERLINK("http://www.kub-berlin.org/formularprojekt/franzoesisch-antraege-und-anlagen-uebersetzungshilfen/","x")</f>
        <v>x</v>
      </c>
      <c r="JK128" s="112" t="str">
        <f>HYPERLINK("https://www.arbeitsagentur.de/web/wcm/idc/groups/public/documents/webdatei/mdaw/mjg1/~edisp/l6019022dstbai788667.pdf?_ba.sid=L6019022DSTBAI784626","x")</f>
        <v>x</v>
      </c>
      <c r="JL128" s="112" t="str">
        <f>HYPERLINK("http://www.kub-berlin.org/formularprojekt/franzoesisch-antraege-und-anlagen-uebersetzungshilfen/","x")</f>
        <v>x</v>
      </c>
      <c r="JM128" s="112" t="str">
        <f>HYPERLINK("https://www.arbeitsagentur.de/web/content/DE/Formulare/Detail/index.htm?dfContentId=L6019022DSTBAI485740","x")</f>
        <v>x</v>
      </c>
      <c r="JN128" s="112"/>
      <c r="JO128" s="112"/>
      <c r="JP128" s="112"/>
      <c r="JQ128" s="112"/>
      <c r="JR128" s="112" t="str">
        <f>HYPERLINK("http://www.ibla-germany.de/merkblaetter.php","x")</f>
        <v>x</v>
      </c>
      <c r="JS128" s="112"/>
      <c r="JT128" s="112" t="str">
        <f>HYPERLINK("http://www.b-umf.de/images/willkommen/willkommensbroschurefranzoesisch-web.pdf","x")</f>
        <v>x</v>
      </c>
      <c r="JU128" s="111"/>
      <c r="JV128" s="111"/>
      <c r="JW128" s="112"/>
      <c r="JX128" s="112"/>
      <c r="JY128" s="112"/>
      <c r="JZ128" s="112"/>
      <c r="KA128" s="112"/>
      <c r="KB128" s="112" t="str">
        <f>HYPERLINK("http://www.refugeeguide.de/dl/RefugeeGuide_fr_925.pdf","x")</f>
        <v>x</v>
      </c>
      <c r="KC128" s="111"/>
      <c r="KD128" s="112" t="str">
        <f t="shared" si="47"/>
        <v>x</v>
      </c>
      <c r="KE128" s="112" t="str">
        <f>HYPERLINK("http://www.frauenrechte.de/online/images/downloads/allgemein/TDF_Flyer_Women_Men.pdf","x")</f>
        <v>x</v>
      </c>
      <c r="KF128" s="112" t="str">
        <f>HYPERLINK("http://sab.landtag.sachsen.de/dokumente/landtagskurier/Grundwerte-A5-international_web_08012016.pdf","x")</f>
        <v>x</v>
      </c>
      <c r="KG128" s="112"/>
      <c r="KH128" s="112"/>
      <c r="KI128" s="112"/>
      <c r="KJ128" s="112"/>
      <c r="KK128" s="112"/>
      <c r="KL128" s="112"/>
      <c r="KM128" s="112"/>
      <c r="KN128" s="112"/>
      <c r="KO128" s="112"/>
      <c r="KP128" s="112"/>
      <c r="KQ128" s="112"/>
      <c r="KR128" s="112"/>
      <c r="KS128" s="112"/>
      <c r="KT128" s="112"/>
      <c r="KU128" s="112"/>
      <c r="KV128" s="112"/>
      <c r="KW128" s="112"/>
      <c r="KX128" s="112"/>
      <c r="KY128" s="112"/>
      <c r="KZ128" s="112"/>
      <c r="LA128" s="112"/>
      <c r="LB128" s="112"/>
      <c r="LC128" s="111"/>
      <c r="LD128" s="112"/>
      <c r="LE128" s="112"/>
      <c r="LF128" s="112"/>
      <c r="LG128" s="112"/>
      <c r="LH128" s="112"/>
      <c r="LI128" s="112"/>
      <c r="LJ128" s="112"/>
      <c r="LK128" s="112"/>
      <c r="LL128" s="112"/>
      <c r="LM128" s="111"/>
      <c r="LN128" s="111"/>
      <c r="LO128" s="111"/>
      <c r="LP128" s="111"/>
      <c r="LQ128" s="112"/>
      <c r="LR128" s="111"/>
      <c r="LS128" s="112"/>
      <c r="LT128" s="112"/>
      <c r="LU128" s="111"/>
      <c r="LV128" s="111"/>
      <c r="LW128" s="111"/>
      <c r="LX128" s="111"/>
      <c r="LY128" s="111"/>
      <c r="LZ128" s="111"/>
      <c r="MA128" s="111"/>
      <c r="MB128" s="112"/>
      <c r="MC128" s="111"/>
      <c r="MD128" s="112" t="str">
        <f>HYPERLINK("http://www.rki.de/DE/Content/Infekt/IfSG/Belehrungsbogen/belehrungsbogen_lebensmittel_franzoesisch.pdf?__blob=publicationFile","x")</f>
        <v>x</v>
      </c>
      <c r="ME128" s="111"/>
      <c r="MF128" s="112" t="str">
        <f>HYPERLINK("http://www.gdv.de/wp-content/uploads/2016/01/Information_Brandschutz_Fluechtlingsheim_-Sicherheit_mehrsprachig.pdf","x")</f>
        <v>x</v>
      </c>
      <c r="MG128" s="112" t="str">
        <f>HYPERLINK("http://www.gdv.de/wp-content/uploads/2016/01/Information_Verhalten-im-Brandfall_mehrsprachig.pdf","x")</f>
        <v>x</v>
      </c>
      <c r="MH128" s="112" t="str">
        <f>HYPERLINK("http://www.aha-region.de/fileadmin/Download/pdf/aha_Plakat_Muelltrennung_fr.pdf","x")</f>
        <v>x</v>
      </c>
      <c r="MI128" s="112" t="str">
        <f>HYPERLINK("http://www.kindersicherheit.de/pdf/2012_poster_achtunggiftig_8sprachig.pdf","x")</f>
        <v>x</v>
      </c>
    </row>
    <row r="129" spans="1:347" x14ac:dyDescent="0.25">
      <c r="A129" s="102" t="s">
        <v>60</v>
      </c>
      <c r="B129" s="127" t="s">
        <v>480</v>
      </c>
      <c r="C129" s="102"/>
      <c r="D129" s="102"/>
      <c r="E129" s="102"/>
      <c r="F129" s="102"/>
      <c r="G129" s="102"/>
      <c r="H129" s="102"/>
      <c r="I129" s="102"/>
      <c r="J129" s="102"/>
      <c r="K129" s="103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2" t="str">
        <f t="shared" si="48"/>
        <v>x</v>
      </c>
      <c r="AL129" s="112" t="str">
        <f t="shared" si="49"/>
        <v>x</v>
      </c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3"/>
      <c r="AW129" s="114" t="str">
        <f t="shared" si="22"/>
        <v>x</v>
      </c>
      <c r="AX129" s="114" t="str">
        <f t="shared" si="23"/>
        <v>x</v>
      </c>
      <c r="AY129" s="112" t="str">
        <f>HYPERLINK("http://fi-lohmar-siegburg.de/data/documents/Findefix_kurdisch-Bildwoerterbuch.pdf","x")</f>
        <v>x</v>
      </c>
      <c r="AZ129" s="111"/>
      <c r="BA129" s="112" t="str">
        <f t="shared" si="24"/>
        <v>x</v>
      </c>
      <c r="BB129" s="112" t="str">
        <f t="shared" si="25"/>
        <v>x</v>
      </c>
      <c r="BC129" s="111"/>
      <c r="BD129" s="111"/>
      <c r="BE129" s="111"/>
      <c r="BF129" s="111"/>
      <c r="BG129" s="111"/>
      <c r="BH129" s="112" t="str">
        <f t="shared" si="50"/>
        <v>x</v>
      </c>
      <c r="BI129" s="112" t="str">
        <f>HYPERLINK("https://www.advanced-online.eu/downloads/RefugeePhrasebookCards_German-Kurdish-Kurmanji.pdf","x")</f>
        <v>x</v>
      </c>
      <c r="BJ129" s="111"/>
      <c r="BK129" s="111"/>
      <c r="BL129" s="111"/>
      <c r="BM129" s="112" t="str">
        <f>HYPERLINK("http://www.frnrw.de/images/Aus_den_Initiativen/Ehrenamtler/2015/Dictionary_x10_print-2.pdf","x")</f>
        <v>x</v>
      </c>
      <c r="BN129" s="111"/>
      <c r="BO129" s="111"/>
      <c r="BP129" s="111"/>
      <c r="BQ129" s="111"/>
      <c r="BR129" s="111"/>
      <c r="BS129" s="112" t="str">
        <f t="shared" si="26"/>
        <v>x</v>
      </c>
      <c r="BT129" s="112"/>
      <c r="BU129" s="111"/>
      <c r="BV129" s="112" t="str">
        <f t="shared" si="27"/>
        <v>x</v>
      </c>
      <c r="BW129" s="112"/>
      <c r="BX129" s="112"/>
      <c r="BY129" s="112"/>
      <c r="BZ129" s="112"/>
      <c r="CA129" s="112" t="str">
        <f t="shared" si="28"/>
        <v>x</v>
      </c>
      <c r="CB129" s="112" t="str">
        <f t="shared" si="29"/>
        <v>x</v>
      </c>
      <c r="CC129" s="112" t="str">
        <f t="shared" si="30"/>
        <v>x</v>
      </c>
      <c r="CD129" s="112"/>
      <c r="CE129" s="112"/>
      <c r="CF129" s="111"/>
      <c r="CG129" s="112" t="str">
        <f>HYPERLINK("http://www.braunschweig.de/leben/frauen/hilfe/Ohne-Gewalt-leben.pdf","x")</f>
        <v>x</v>
      </c>
      <c r="CH129" s="112"/>
      <c r="CI129" s="112"/>
      <c r="CJ129" s="112"/>
      <c r="CK129" s="112" t="str">
        <f t="shared" si="31"/>
        <v>x</v>
      </c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 t="str">
        <f>HYPERLINK("http://sichere-orte-schaffen.de/wp-content/uploads/Minibrosch_Fluechtlinge_multilang.pdf","x")</f>
        <v>x</v>
      </c>
      <c r="DB129" s="112"/>
      <c r="DC129" s="115"/>
      <c r="DD129" s="112"/>
      <c r="DE129" s="112"/>
      <c r="DF129" s="112" t="str">
        <f t="shared" si="32"/>
        <v>x</v>
      </c>
      <c r="DG129" s="115" t="str">
        <f t="shared" si="33"/>
        <v>x</v>
      </c>
      <c r="DH129" s="112" t="str">
        <f t="shared" si="34"/>
        <v>x</v>
      </c>
      <c r="DI129" s="112" t="str">
        <f t="shared" si="35"/>
        <v>x</v>
      </c>
      <c r="DJ129" s="111"/>
      <c r="DK129" s="111"/>
      <c r="DL129" s="112" t="str">
        <f>HYPERLINK("http://www.carlsen.de/sites/default/files/Walter-ebook_kurdisch_klein.pdf","x")</f>
        <v>x</v>
      </c>
      <c r="DM129" s="112"/>
      <c r="DN129" s="111"/>
      <c r="DO129" s="112" t="str">
        <f>HYPERLINK("http://www.wdrmaus.de/sachgeschichten/maus-international/","x")</f>
        <v>x</v>
      </c>
      <c r="DP129" s="111"/>
      <c r="DQ129" s="111"/>
      <c r="DR129" s="111"/>
      <c r="DS129" s="112" t="str">
        <f>HYPERLINK("http://bildung.koeln.de/materialbibliothek/download.php?idx=fc4887ef7fe884e5adf460bb238faf37","x")</f>
        <v>x</v>
      </c>
      <c r="DT129" s="112" t="str">
        <f>HYPERLINK("http://bildung.koeln.de/materialbibliothek/download.php?idx=99fc6dbeceefa7442b292c74ac93ba58","x")</f>
        <v>x</v>
      </c>
      <c r="DU129" s="112"/>
      <c r="DV129" s="111"/>
      <c r="DW129" s="111"/>
      <c r="DX129" s="111"/>
      <c r="DY129" s="111"/>
      <c r="DZ129" s="111"/>
      <c r="EA129" s="111"/>
      <c r="EB129" s="112"/>
      <c r="EC129" s="111"/>
      <c r="ED129" s="111"/>
      <c r="EE129" s="111"/>
      <c r="EF129" s="111"/>
      <c r="EG129" s="111"/>
      <c r="EH129" s="111"/>
      <c r="EI129" s="111"/>
      <c r="EJ129" s="112"/>
      <c r="EK129" s="112"/>
      <c r="EL129" s="111"/>
      <c r="EM129" s="112" t="str">
        <f>HYPERLINK("http://www.kvs-sachsen.de/fileadmin/img/Mitglieder/Asylbewerber/Allg-Informationen/Anlage_1_Kurmandschi_LEK.pdf","x")</f>
        <v>x</v>
      </c>
      <c r="EN129" s="111"/>
      <c r="EO129" s="111"/>
      <c r="EP129" s="117" t="str">
        <f t="shared" si="45"/>
        <v>x</v>
      </c>
      <c r="EQ129" s="117" t="str">
        <f>HYPERLINK("http://www.medknowledge.de/migration/tipdoc/anamnesebogen/tipdoc_Anamnese_kurdi.pdf","x")</f>
        <v>x</v>
      </c>
      <c r="ER129" s="112" t="str">
        <f>HYPERLINK("http://www.kvs-sachsen.de/fileadmin/img/Mitglieder/Asylbewerber/Allg-Informationen/Anlagen_2-1_2-2_Kurmandschi_LEK.pdf","x")</f>
        <v>x</v>
      </c>
      <c r="ES129" s="111"/>
      <c r="ET129" s="111"/>
      <c r="EU129" s="111"/>
      <c r="EV129" s="111"/>
      <c r="EW129" s="112" t="str">
        <f t="shared" si="36"/>
        <v>x</v>
      </c>
      <c r="EX129" s="111"/>
      <c r="EY129" s="111"/>
      <c r="EZ129" s="112" t="str">
        <f>HYPERLINK("https://www.mh-hannover.de/fileadmin/mhh/bilder/aktuelles_presse/presseinformationen_news/-Pilzvergif_kurdisch_2.pdf","x")</f>
        <v>x</v>
      </c>
      <c r="FA129" s="112"/>
      <c r="FB129" s="111"/>
      <c r="FC129" s="111"/>
      <c r="FD129" s="112" t="str">
        <f t="shared" si="37"/>
        <v>x</v>
      </c>
      <c r="FE129" s="112" t="str">
        <f t="shared" si="46"/>
        <v>x</v>
      </c>
      <c r="FF129" s="111"/>
      <c r="FG129" s="111"/>
      <c r="FH129" s="111"/>
      <c r="FI129" s="111"/>
      <c r="FJ129" s="112" t="str">
        <f>HYPERLINK("http://www.bundesgesundheitsministerium.de/fileadmin/dateien/Publikationen/Gesundheit/Broschueren/Ratgeber_Asylsuchende/Ratgeber_Asylsuchende_kurd.pdf","x")</f>
        <v>x</v>
      </c>
      <c r="FK129" s="112" t="str">
        <f>HYPERLINK("http://www.rki.de/DE/Content/Infekt/Impfen/Materialien/Downloads-Impfkalender/Impfkalender_Kurdisch.pdf?__blob=publicationFile","x")</f>
        <v>x</v>
      </c>
      <c r="FL129" s="112" t="str">
        <f>HYPERLINK("http://www.ethno-medizinisches-zentrum.de/images/PDF-Files/impfwegweiser_kurdisch_2014_online.pdf","x")</f>
        <v>x</v>
      </c>
      <c r="FM129" s="112"/>
      <c r="FN129" s="112" t="str">
        <f>HYPERLINK("http://www.rki.de/DE/Content/Infekt/Impfen/Materialien/Glossar-Downloads/glossar-de-kurdisch.pdf?__blob=publicationFile","x")</f>
        <v>x</v>
      </c>
      <c r="FO129" s="112"/>
      <c r="FP129" s="112" t="str">
        <f>HYPERLINK("http://www.rki.de/DE/Content/Infekt/Impfen/Materialien/Downloads-MMR/MMR-Impfinfo-kurdisch.pdf?__blob=publicationFile","x")</f>
        <v>x</v>
      </c>
      <c r="FQ129" s="112"/>
      <c r="FR129" s="112" t="str">
        <f>HYPERLINK("http://www.rki.de/DE/Content/Infekt/Impfen/Materialien/Downloads_HepA/Aufklaerung_HAV-Impfung_Kurdisch.pdf?__blob=publicationFile","x")</f>
        <v>x</v>
      </c>
      <c r="FS129" s="112" t="str">
        <f>HYPERLINK("http://www.rki.de/DE/Content/Infekt/Impfen/Materialien/Downloads_Pneumokokken/Aufklaerung_Pneumo-Impfung_Kurdisch.pdf?__blob=publicationFile","x")</f>
        <v>x</v>
      </c>
      <c r="FT129" s="112" t="str">
        <f>HYPERLINK("http://www.rki.de/DE/Content/Infekt/Impfen/Materialien/Downloads-DTaPIPVHibHepB/DTaPIPVHibHepB-kurdisch.pdf?__blob=publicationFile","x")</f>
        <v>x</v>
      </c>
      <c r="FU129" s="112" t="str">
        <f>HYPERLINK("http://www.rki.de/DE/Content/Infekt/Impfen/Materialien/Downloads-Varizellen/Varizellen-Impfinfo-kurdisch.pdf;jsessionid=65B697F4EE7EDA8A1ED9E2C4CD6C74EC.2_cid363?__blob=publicationFile","x")</f>
        <v>x</v>
      </c>
      <c r="FV129" s="112" t="str">
        <f>HYPERLINK("http://www.rki.de/DE/Content/Infekt/Impfen/Materialien/Downloads-Tdap-IPV/Tdap-IPV-kurdisch.pdf?__blob=publicationFile","x")</f>
        <v>x</v>
      </c>
      <c r="FW129" s="112" t="str">
        <f>HYPERLINK("http://www.rki.de/DE/Content/Infekt/Impfen/Materialien/Downloads-Influenza_nasal/Influenza_nasal-kurdisch.pdf?__blob=publicationFile","x")</f>
        <v>x</v>
      </c>
      <c r="FX129" s="111"/>
      <c r="FY129" s="112"/>
      <c r="FZ129" s="112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2" t="str">
        <f>HYPERLINK("http://www.rki.de/DE/Content/Infekt/Impfen/Materialien/Downloads-Influenza/Influenza-kurdisch.pdf?__blob=publicationFile","x")</f>
        <v>x</v>
      </c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2" t="str">
        <f t="shared" si="38"/>
        <v>x</v>
      </c>
      <c r="HD129" s="112" t="str">
        <f t="shared" si="51"/>
        <v>x</v>
      </c>
      <c r="HE129" s="112" t="str">
        <f>HYPERLINK("https://www.zahnaerzte-wl.de/images/_PDF-suche/KZV_ZÄK/Anschreiben_Patienten_kurdisch_kurmandschi.pdf","x")</f>
        <v>x</v>
      </c>
      <c r="HF129" s="112" t="str">
        <f>HYPERLINK("https://www.zahnaerzte-wl.de/images/_PDF-suche/KZV_ZÄK/Fragebogen_kurdisch-kurmandschi.pdf","x")</f>
        <v>x</v>
      </c>
      <c r="HG129" s="112" t="str">
        <f>HYPERLINK("https://www.zahnaerzte-wl.de/images/_PDF-suche/KZV_ZÄK/Patientenerhebungsbogen_kurdisch-kurmandschi.pdf","x")</f>
        <v>x</v>
      </c>
      <c r="HH129" s="112"/>
      <c r="HI129" s="112"/>
      <c r="HJ129" s="112"/>
      <c r="HK129" s="112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2" t="str">
        <f t="shared" si="39"/>
        <v>x</v>
      </c>
      <c r="HZ129" s="112" t="str">
        <f t="shared" si="40"/>
        <v>x</v>
      </c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2"/>
      <c r="IL129" s="112" t="str">
        <f>HYPERLINK("http://www.bamf.de/SharedDocs/Anlagen/DE/Publikationen/Flyer/flyer-erstorientierung-asylsuchende_kurdisch.pdf?__blob=publicationFile","x")</f>
        <v>x</v>
      </c>
      <c r="IM129" s="111"/>
      <c r="IN129" s="111"/>
      <c r="IO129" s="111"/>
      <c r="IP129" s="111"/>
      <c r="IQ129" s="112" t="str">
        <f>HYPERLINK("http://www.bamf.de/SharedDocs/Anlagen/DE/Publikationen/Flyer/Lernen-Sie-Deutsch/lernen-sie-deutsch_ku.pdf?__blob=publicationFile","x")</f>
        <v>x</v>
      </c>
      <c r="IR129" s="112"/>
      <c r="IS129" s="111"/>
      <c r="IT129" s="111"/>
      <c r="IU129" s="111"/>
      <c r="IV129" s="112" t="str">
        <f>HYPERLINK("http://www.asyl.net/fileadmin/user_upload/infoblatt_anhoerung/Kurd_final.pdf","x")</f>
        <v>x</v>
      </c>
      <c r="IW129" s="112"/>
      <c r="IX129" s="112"/>
      <c r="IY129" s="112"/>
      <c r="IZ129" s="111"/>
      <c r="JA129" s="111"/>
      <c r="JB129" s="111"/>
      <c r="JC129" s="112"/>
      <c r="JD129" s="111"/>
      <c r="JE129" s="112"/>
      <c r="JF129" s="112"/>
      <c r="JG129" s="111"/>
      <c r="JH129" s="111"/>
      <c r="JI129" s="111"/>
      <c r="JJ129" s="112"/>
      <c r="JK129" s="112"/>
      <c r="JL129" s="112"/>
      <c r="JM129" s="112"/>
      <c r="JN129" s="112"/>
      <c r="JO129" s="112"/>
      <c r="JP129" s="112"/>
      <c r="JQ129" s="112"/>
      <c r="JR129" s="112"/>
      <c r="JS129" s="112"/>
      <c r="JT129" s="111"/>
      <c r="JU129" s="111"/>
      <c r="JV129" s="111"/>
      <c r="JW129" s="112"/>
      <c r="JX129" s="112"/>
      <c r="JY129" s="112"/>
      <c r="JZ129" s="112"/>
      <c r="KA129" s="112"/>
      <c r="KB129" s="112" t="str">
        <f>HYPERLINK("http://www.refugeeguide.de/dl/RefugeeGuide_ku_1214.pdf","x")</f>
        <v>x</v>
      </c>
      <c r="KC129" s="111"/>
      <c r="KD129" s="112" t="str">
        <f t="shared" si="47"/>
        <v>x</v>
      </c>
      <c r="KE129" s="112"/>
      <c r="KF129" s="111"/>
      <c r="KG129" s="112"/>
      <c r="KH129" s="112"/>
      <c r="KI129" s="112"/>
      <c r="KJ129" s="112"/>
      <c r="KK129" s="112"/>
      <c r="KL129" s="112"/>
      <c r="KM129" s="112"/>
      <c r="KN129" s="112"/>
      <c r="KO129" s="112"/>
      <c r="KP129" s="112"/>
      <c r="KQ129" s="112"/>
      <c r="KR129" s="112"/>
      <c r="KS129" s="112"/>
      <c r="KT129" s="112"/>
      <c r="KU129" s="112"/>
      <c r="KV129" s="112"/>
      <c r="KW129" s="112"/>
      <c r="KX129" s="112"/>
      <c r="KY129" s="112"/>
      <c r="KZ129" s="112"/>
      <c r="LA129" s="112"/>
      <c r="LB129" s="112"/>
      <c r="LC129" s="111"/>
      <c r="LD129" s="111"/>
      <c r="LE129" s="111"/>
      <c r="LF129" s="111"/>
      <c r="LG129" s="111"/>
      <c r="LH129" s="111"/>
      <c r="LI129" s="111"/>
      <c r="LJ129" s="111"/>
      <c r="LK129" s="111"/>
      <c r="LL129" s="111"/>
      <c r="LM129" s="111"/>
      <c r="LN129" s="111"/>
      <c r="LO129" s="111"/>
      <c r="LP129" s="111"/>
      <c r="LQ129" s="111"/>
      <c r="LR129" s="111"/>
      <c r="LS129" s="111"/>
      <c r="LT129" s="111"/>
      <c r="LU129" s="111"/>
      <c r="LV129" s="111"/>
      <c r="LW129" s="111"/>
      <c r="LX129" s="111"/>
      <c r="LY129" s="111"/>
      <c r="LZ129" s="111"/>
      <c r="MA129" s="111"/>
      <c r="MB129" s="111"/>
      <c r="MC129" s="111"/>
      <c r="MD129" s="111"/>
      <c r="ME129" s="111"/>
      <c r="MF129" s="111"/>
      <c r="MG129" s="111"/>
      <c r="MH129" s="111"/>
      <c r="MI129" s="111"/>
    </row>
    <row r="130" spans="1:347" x14ac:dyDescent="0.25">
      <c r="A130" s="102" t="s">
        <v>386</v>
      </c>
      <c r="B130" s="127" t="s">
        <v>4</v>
      </c>
      <c r="C130" s="102"/>
      <c r="D130" s="102"/>
      <c r="E130" s="102"/>
      <c r="F130" s="102"/>
      <c r="G130" s="102"/>
      <c r="H130" s="102"/>
      <c r="I130" s="102"/>
      <c r="J130" s="102"/>
      <c r="K130" s="103"/>
      <c r="L130" s="111"/>
      <c r="M130" s="111"/>
      <c r="N130" s="112" t="str">
        <f>HYPERLINK("http://www.ag-fluechtlingshilfe-wetterau.de/uploads/infos/170.pdf","x")</f>
        <v>x</v>
      </c>
      <c r="O130" s="112" t="str">
        <f>HYPERLINK("http://www.ag-fluechtlingshilfe-wetterau.de/uploads/infos/220.pdf","x")</f>
        <v>x</v>
      </c>
      <c r="P130" s="112" t="str">
        <f>HYPERLINK("http://www.awb-ahrweiler.de/admin/data/ddownload/Abfall%20Sonderhinweise-englisch_2014.pdf","x")</f>
        <v>x</v>
      </c>
      <c r="Q130" s="112" t="str">
        <f>HYPERLINK("http://www.ag-fluechtlingshilfe-wetterau.de/uploads/infos/221.pdf","x")</f>
        <v>x</v>
      </c>
      <c r="R130" s="112" t="str">
        <f>HYPERLINK("http://www.konto.org/download/merkblatt-basiskonto-asylbewerber-english.pdf","x")</f>
        <v>x</v>
      </c>
      <c r="S130" s="112"/>
      <c r="T130" s="112" t="str">
        <f>HYPERLINK("https://antworten.sparkasse.de/wp-content/uploads/2015/10/English.pdf","x")</f>
        <v>x</v>
      </c>
      <c r="U130" s="112" t="str">
        <f>HYPERLINK("http://www.ag-fluechtlingshilfe-wetterau.de/uploads/infos/191.pdf","x")</f>
        <v>x</v>
      </c>
      <c r="V130" s="112"/>
      <c r="W130" s="112"/>
      <c r="X13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3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30" s="112"/>
      <c r="AA130" s="112"/>
      <c r="AB130" s="112"/>
      <c r="AC130" s="112" t="str">
        <f>HYPERLINK("http://www.vzhh.de/vzhh/409638/vzhh_refugees_telephone_internet.pdf","x")</f>
        <v>x</v>
      </c>
      <c r="AD130" s="112" t="str">
        <f>HYPERLINK("http://www.vzhh.de/vzhh/410647/vzhh_refugees_rundfunk.pdf","x")</f>
        <v>x</v>
      </c>
      <c r="AE130" s="112" t="str">
        <f>HYPERLINK("http://www.vzhh.de/vzhh/411476/vzhh_refugees_rundfunk_befreiung.pdf","x")</f>
        <v>x</v>
      </c>
      <c r="AF130" s="112" t="str">
        <f>HYPERLINK("http://www.kub-berlin.org/formularprojekt/de/englisch-antraege-und-anlagen-uebersetzungshilfen/","x")</f>
        <v>x</v>
      </c>
      <c r="AG130" s="112" t="str">
        <f>HYPERLINK("http://asyl-in-moenchengladbach.de/wp-content/uploads/2015/11/100711-Flyer_GB.pdf","x")</f>
        <v>x</v>
      </c>
      <c r="AH130" s="112" t="str">
        <f>HYPERLINK("http://sghanstedt.elbnetz.com/ueber-uns/","x")</f>
        <v>x</v>
      </c>
      <c r="AI130" s="112" t="str">
        <f>HYPERLINK("https://www.adac.de/sp/stiftung/_mmm/pdf/SGE_FOL_Verkehrssicherheit_Fl%C3%BCchtlinge_A3_01_16_Internet_250277.pdf","x")</f>
        <v>x</v>
      </c>
      <c r="AJ130" s="112" t="str">
        <f>HYPERLINK("http://www.stadt-koeln.de/mediaasset/content/kvb_kinderleicht_und_spielend_einfach__englisch_.pdf","x")</f>
        <v>x</v>
      </c>
      <c r="AK130" s="112" t="str">
        <f t="shared" si="48"/>
        <v>x</v>
      </c>
      <c r="AL130" s="112" t="str">
        <f t="shared" si="49"/>
        <v>x</v>
      </c>
      <c r="AM130" s="112"/>
      <c r="AN130" s="112" t="str">
        <f>HYPERLINK("https://www.deutschebahn.com/file/de/2191748/eYdgZpqGpp5sMJ2KMKtg2r8aE4Q/10123812/data/infos_fuer_fluechtlinge.pdf","x")</f>
        <v>x</v>
      </c>
      <c r="AO130" s="112"/>
      <c r="AP130" s="112"/>
      <c r="AQ130" s="112"/>
      <c r="AR130" s="112"/>
      <c r="AS130" s="112"/>
      <c r="AT130" s="112"/>
      <c r="AU130" s="112" t="str">
        <f>HYPERLINK("http://www.stadt-koeln.de/mediaasset/content/festkomitee_flyer_2016_d_gb.pdf","x")</f>
        <v>x</v>
      </c>
      <c r="AV130" s="113"/>
      <c r="AW130" s="114" t="str">
        <f t="shared" si="22"/>
        <v>x</v>
      </c>
      <c r="AX130" s="114" t="str">
        <f t="shared" si="23"/>
        <v>x</v>
      </c>
      <c r="AY130" s="112" t="str">
        <f>HYPERLINK("http://fi-lohmar-siegburg.de/data/documents/Findefix_arabisch-Bildwoerterbuch.pdf","x")</f>
        <v>x</v>
      </c>
      <c r="AZ130" s="111"/>
      <c r="BA130" s="112" t="str">
        <f t="shared" si="24"/>
        <v>x</v>
      </c>
      <c r="BB130" s="112" t="str">
        <f t="shared" si="25"/>
        <v>x</v>
      </c>
      <c r="BC130" s="111"/>
      <c r="BD130" s="111"/>
      <c r="BE130" s="112" t="str">
        <f>HYPERLINK("http://fi-lohmar-siegburg.de/data/documents/communicationboard-arabic-english.pdf","x")</f>
        <v>x</v>
      </c>
      <c r="BF130" s="112"/>
      <c r="BG130" s="111"/>
      <c r="BH130" s="112" t="str">
        <f t="shared" si="50"/>
        <v>x</v>
      </c>
      <c r="BI130" s="112" t="str">
        <f>HYPERLINK("https://www.advanced-online.eu/downloads/RefugeePhrasebookCards_German-English.pdf","x")</f>
        <v>x</v>
      </c>
      <c r="BJ130" s="112" t="str">
        <f>HYPERLINK("http://www.klett-sprachen.de/download/8638/W100255_Refugees_Welcome_Wortschatz.pdf","x")</f>
        <v>x</v>
      </c>
      <c r="BK130" s="111"/>
      <c r="BL130" s="112" t="str">
        <f>HYPERLINK("http://www.bundessprachenamt.de/deutsch/wir_ueber_uns/nachrichten/2015/20151103/Verständigungshilfe_Englisch_26_11_2015.pdf","x")</f>
        <v>x</v>
      </c>
      <c r="BM130" s="112" t="str">
        <f>HYPERLINK("http://www.frnrw.de/images/Aus_den_Initiativen/Ehrenamtler/2015/Dictionary_x10_print-2.pdf","x")</f>
        <v>x</v>
      </c>
      <c r="BN130" s="112" t="str">
        <f>HYPERLINK("http://www.medbox.org/toolboxes/kleines-worterbuch-little-dictionary-deutsch-englisch-arabisch/preview","x")</f>
        <v>x</v>
      </c>
      <c r="BO130" s="112" t="str">
        <f>HYPERLINK("http://mylanguages.org/dari_phrases.php","x")</f>
        <v>x</v>
      </c>
      <c r="BP130" s="111"/>
      <c r="BQ130" s="111"/>
      <c r="BR130" s="111"/>
      <c r="BS130" s="112" t="str">
        <f t="shared" si="26"/>
        <v>x</v>
      </c>
      <c r="BT130" s="112"/>
      <c r="BU130" s="111"/>
      <c r="BV130" s="112" t="str">
        <f t="shared" si="27"/>
        <v>x</v>
      </c>
      <c r="BW130" s="112" t="str">
        <f>HYPERLINK("http://www.welcomegrooves.de/wp-content/uploads/2015/10/welcomegrooves_DE-ENGLISH1.pdf","x")</f>
        <v>x</v>
      </c>
      <c r="BX130" s="112"/>
      <c r="BY130" s="112"/>
      <c r="BZ130" s="112"/>
      <c r="CA130" s="112" t="str">
        <f t="shared" si="28"/>
        <v>x</v>
      </c>
      <c r="CB130" s="112" t="str">
        <f t="shared" si="29"/>
        <v>x</v>
      </c>
      <c r="CC130" s="112" t="str">
        <f t="shared" si="30"/>
        <v>x</v>
      </c>
      <c r="CD130" s="112"/>
      <c r="CE130" s="112"/>
      <c r="CF130" s="111"/>
      <c r="CG130" s="112" t="str">
        <f>HYPERLINK("http://www.braunschweig.de/leben/frauen/hilfe/Ohne-Gewalt-leben.pdf","x")</f>
        <v>x</v>
      </c>
      <c r="CH130" s="112" t="str">
        <f>HYPERLINK("http://mifkjf.rlp.de/fileadmin/mifkjf/Frauen/Gewalt_gegen_Frauen/Downloads/Broschueren_Flyer/Flyer_Gewalt_englisch.pdf","x")</f>
        <v>x</v>
      </c>
      <c r="CI130" s="112" t="str">
        <f>HYPERLINK("https://www.hilfetelefon.de/fileadmin/hilfetelefon_de/Materialien/Flyer/Infoflyer_Hilfetelefon_Gewalt_gegen_Frauen141105_b2.pdf","x")</f>
        <v>x</v>
      </c>
      <c r="CJ130" s="112" t="str">
        <f>HYPERLINK("https://www.hilfetelefon.de/fileadmin/hilfetelefon_de/Materialien/weitere_werbemittel/Klappflyer_Vorder-_und_Rueckseite_opt2.pdf","x")</f>
        <v>x</v>
      </c>
      <c r="CK130" s="112" t="str">
        <f t="shared" si="31"/>
        <v>x</v>
      </c>
      <c r="CL130" s="112" t="str">
        <f>HYPERLINK("http://www.frauenberatungsstelle.de/pdf/Migrantinnen-beraten-Migrantinnen.pdf","x")</f>
        <v>x</v>
      </c>
      <c r="CM130" s="112" t="str">
        <f>HYPERLINK("http://www.frauenleben.org/spezielle_beratungsangebote/sexualisierte_gewalt.htm","x")</f>
        <v>x</v>
      </c>
      <c r="CN130" s="112"/>
      <c r="CO130" s="112"/>
      <c r="CP130" s="112" t="str">
        <f>HYPERLINK("http://www.schwanger-und-viele-fragen.de/en/","x")</f>
        <v>x</v>
      </c>
      <c r="CQ130" s="112"/>
      <c r="CR13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30" s="112" t="str">
        <f>HYPERLINK("http://en.beststart.org/for_parents/are-you-looking-resources-languages-other-english-and-french","x")</f>
        <v>x</v>
      </c>
      <c r="CT130" s="112"/>
      <c r="CU130" s="112" t="str">
        <f>HYPERLINK("http://www.profamilia.de/fileadmin/publikationen/Erwachsene/mehrsprachig/Bro_Verhuetung_engl_2013.pdf","x")</f>
        <v>x</v>
      </c>
      <c r="CV130" s="112" t="str">
        <f>HYPERLINK("http://www.profamilia.de/fileadmin/publikationen/Erwachsene/mehrsprachig/Bro_Pille_danach_Faltblatt_140122_RZ.pdf","x")</f>
        <v>x</v>
      </c>
      <c r="CW130" s="112" t="str">
        <f>HYPERLINK("http://www.profamilia.de/fileadmin/publikationen/Reihe_Verhuetungsmethoden/Einleger_englisch.pdf","x")</f>
        <v>x</v>
      </c>
      <c r="CX130" s="112" t="str">
        <f>HYPERLINK("http://www.profamilia.de/fileadmin/publikationen/Reihe_Koerper_und_Sexualtitaet/Schwangerschaftsabbruch_englisch_2010.pdf","x")</f>
        <v>x</v>
      </c>
      <c r="CY130" s="112" t="str">
        <f>HYPERLINK("http://www.caritas-schwarzwald-alb-donau.de/68854.html","x")</f>
        <v>x</v>
      </c>
      <c r="CZ130" s="112" t="str">
        <f>HYPERLINK("http://www.dgfpi.de/tl_files/download/medien/unwissen-macht-en.pdf","x")</f>
        <v>x</v>
      </c>
      <c r="DA130" s="112"/>
      <c r="DB130" s="112"/>
      <c r="DC130" s="115" t="str">
        <f>HYPERLINK("http://www.kindersicherheit.de/pdf/2013_BAG_Tomi_and_Mila_Deutsch_English.pdf","x")</f>
        <v>x</v>
      </c>
      <c r="DD130" s="112"/>
      <c r="DE130" s="112"/>
      <c r="DF130" s="112" t="str">
        <f t="shared" si="32"/>
        <v>x</v>
      </c>
      <c r="DG130" s="115" t="str">
        <f t="shared" si="33"/>
        <v>x</v>
      </c>
      <c r="DH130" s="112" t="str">
        <f t="shared" si="34"/>
        <v>x</v>
      </c>
      <c r="DI130" s="112" t="str">
        <f t="shared" si="35"/>
        <v>x</v>
      </c>
      <c r="DJ130" s="112"/>
      <c r="DK130" s="112"/>
      <c r="DL130" s="112"/>
      <c r="DM130" s="112"/>
      <c r="DN130" s="112"/>
      <c r="DO130" s="112" t="str">
        <f>HYPERLINK("http://www.wdrmaus.de/sachgeschichten/maus-international/","x")</f>
        <v>x</v>
      </c>
      <c r="DP130" s="111"/>
      <c r="DQ130" s="111"/>
      <c r="DR130" s="112" t="str">
        <f>HYPERLINK("https://broschueren.nordrheinwestfalendirekt.de/broschuerenservice/msw/eng-das-schulsystem-in-nordrhein-westfalen-einfach-und-schnell-erklaert/1902","x")</f>
        <v>x</v>
      </c>
      <c r="DS130" s="112" t="str">
        <f>HYPERLINK("http://bildung.koeln.de/materialbibliothek/download.php?idx=8e2a9f658e9fa830ce17dc18f0fb0268","x")</f>
        <v>x</v>
      </c>
      <c r="DT130" s="112" t="str">
        <f>HYPERLINK("http://bildung.koeln.de/materialbibliothek/download.php?idx=90aff7e7259385cadb46c517317f1446","x")</f>
        <v>x</v>
      </c>
      <c r="DU130" s="112"/>
      <c r="DV130" s="112" t="str">
        <f>HYPERLINK("https://www.bmbf.de/pub/Kausa_Elternbroschuere_englisch.pdf","x")</f>
        <v>x</v>
      </c>
      <c r="DW130" s="112"/>
      <c r="DX130" s="112" t="str">
        <f>HYPERLINK("http://www.wissenschaft.nrw.de/studium/informieren/informationen-fuer-fluechtlinge-die-in-nrw-studieren-moechten/","x")</f>
        <v>x</v>
      </c>
      <c r="DY130" s="112" t="str">
        <f>HYPERLINK("http://www.bamf.de/SharedDocs/Anlagen/DE/Publikationen/Flyer/AnerkennungBerufsabschluss/berufliche_anerkennung_akademische-heilberufe_en.pdf?__blob=publicationFile","x")</f>
        <v>x</v>
      </c>
      <c r="DZ130" s="112" t="str">
        <f>HYPERLINK("http://www.bamf.de/SharedDocs/Anlagen/EN/Publikationen/Flyer/AnerkennungBerufsabschluss/anerkennung-berufsabschluss.pdf?__blob=publicationFile","x")</f>
        <v>x</v>
      </c>
      <c r="EA130" s="112" t="str">
        <f>HYPERLINK("http://www.bamf.de/SharedDocs/Anlagen/EN/Publikationen/Flyer/AnerkennungBerufsabschluss/anerkennung-berufsabschluss_ausland.pdf?__blob=publicationFile","x")</f>
        <v>x</v>
      </c>
      <c r="EB130" s="112" t="str">
        <f>HYPERLINK("http://www.bamf.de/SharedDocs/Anlagen/EN/Publikationen/Broschueren/willkommen-in-deutschland-info-blaue-karte-eu_en.pdf?__blob=publicationFile","x")</f>
        <v>x</v>
      </c>
      <c r="EC130" s="112" t="str">
        <f>HYPERLINK("http://www.bamf.de/SharedDocs/Anlagen/EN/Publikationen/Flyer/Berufsbezsprachf-ESF-BAMF/berufsbezsprachf-esf-bamf.pdf?__blob=publicationFile","x")</f>
        <v>x</v>
      </c>
      <c r="ED130" s="111"/>
      <c r="EE130" s="111"/>
      <c r="EF130" s="111"/>
      <c r="EG130" s="111"/>
      <c r="EH130" s="111"/>
      <c r="EI130" s="111"/>
      <c r="EJ130" s="112"/>
      <c r="EK130" s="112" t="str">
        <f>HYPERLINK("http://fluechtlingsrat-bw.de/files/Dateien/Dokumente/Materialbestellung/2014-12-flyer%20arbeitserlaubnis%20EN%20WEB.pdf","x")</f>
        <v>x</v>
      </c>
      <c r="EL130" s="112" t="str">
        <f>HYPERLINK("http://www.aponet.de/englisch/20151019-fuer-den-notfall-wichtige-rufnummern-im-ueberblick.html","x")</f>
        <v>x</v>
      </c>
      <c r="EM130" s="112" t="str">
        <f>HYPERLINK("http://www.kvs-sachsen.de/fileadmin/img/Mitglieder/Asylbewerber/Allg-Informationen/Anlage_1_Englisch_LEK.pdf","x")</f>
        <v>x</v>
      </c>
      <c r="EN130" s="112" t="str">
        <f>HYPERLINK("http://www.medizin-hilft-fluechtlingen.de/images/Dokumente/gSch/gSch_eng.pdf","x")</f>
        <v>x</v>
      </c>
      <c r="EO130" s="112" t="str">
        <f>HYPERLINK("http://www.aponet.de/englisch/medical-care-for-asylum-seekers.html","x")</f>
        <v>x</v>
      </c>
      <c r="EP130" s="117" t="str">
        <f t="shared" si="45"/>
        <v>x</v>
      </c>
      <c r="EQ130" s="117" t="str">
        <f>HYPERLINK("http://www.armut-gesundheit.de/fileadmin/redakteur/dokumente/Anamnesebogen%20-%20englischnew.pdf","x")</f>
        <v>x</v>
      </c>
      <c r="ER130" s="112" t="str">
        <f>HYPERLINK("http://www.kvs-sachsen.de/fileadmin/img/Mitglieder/Asylbewerber/Allg-Informationen/Anlagen_2-1_2-2_Englisch_LEK.pdf","x")</f>
        <v>x</v>
      </c>
      <c r="ES130" s="111"/>
      <c r="ET130" s="111"/>
      <c r="EU130" s="112" t="str">
        <f>HYPERLINK("http://www.medizin-hilft-fluechtlingen.de/images/Dokumente/ein/ein_engl.pdf","x")</f>
        <v>x</v>
      </c>
      <c r="EV130" s="112" t="str">
        <f>HYPERLINK("http://www.adler-apotheke-hh.de/fileadmin/user_upload/PDF-Dateien/Dosierzettel_mehrsprachig_AUF_0_.pdf","x")</f>
        <v>x</v>
      </c>
      <c r="EW130" s="112" t="str">
        <f t="shared" si="36"/>
        <v>x</v>
      </c>
      <c r="EX130" s="112" t="str">
        <f>HYPERLINK("http://www.rki.de/DE/Content/Infekt/IfSG/Belehrungsbogen/belehrungsbogen_eltern_englisch.pdf?__blob=publicationFile","x")</f>
        <v>x</v>
      </c>
      <c r="EY130" s="112" t="str">
        <f>HYPERLINK("http://www.bzga.de/infomaterialien/?sid=236","x")</f>
        <v>x</v>
      </c>
      <c r="EZ130" s="112" t="str">
        <f>HYPERLINK("https://www.mh-hannover.de/fileadmin/mhh/bilder/aktuelles_presse/pressestelle/bilder/Pilzvergif_English.pdf","x")</f>
        <v>x</v>
      </c>
      <c r="FA130" s="112"/>
      <c r="FB130" s="112" t="str">
        <f>HYPERLINK("http://static.apotheken-umschau.de/media/gp/article_506373/bildwoerterbuch.pdf","x")</f>
        <v>x</v>
      </c>
      <c r="FC130" s="112" t="str">
        <f>HYPERLINK("https://www.studentenwerke.de/sites/default/files/gesundheitswoerterbuch.pdf","x")</f>
        <v>x</v>
      </c>
      <c r="FD130" s="112" t="str">
        <f t="shared" si="37"/>
        <v>x</v>
      </c>
      <c r="FE130" s="112" t="str">
        <f t="shared" si="46"/>
        <v>x</v>
      </c>
      <c r="FF130" s="112" t="str">
        <f>HYPERLINK("http://www.fuhlenhagen.com/pdf_dateien/uebertzungshilfe_aerzte_mehrsprachig.pdf","x")</f>
        <v>x</v>
      </c>
      <c r="FG130" s="112" t="str">
        <f>HYPERLINK("http://www.tipdoc.de/grafik/asyl/Gesundheitsheft_Asyl.pdf","x")</f>
        <v>x</v>
      </c>
      <c r="FH130" s="111"/>
      <c r="FI130" s="111"/>
      <c r="FJ130" s="112" t="str">
        <f>HYPERLINK("http://www.bundesgesundheitsministerium.de/fileadmin/dateien/Publikationen/Gesundheit/Broschueren/Ratgeber_Asylsuchende/Ratgeber_Asylsuchende_engl.pdf","x")</f>
        <v>x</v>
      </c>
      <c r="FK130" s="112" t="str">
        <f>HYPERLINK("http://www.rki.de/DE/Content/Infekt/Impfen/Materialien/Downloads-Impfkalender/Impfkalender_Englisch.pdf?__blob=publicationFile","x")</f>
        <v>x</v>
      </c>
      <c r="FL130" s="112" t="str">
        <f>HYPERLINK("http://www.ethno-medizinisches-zentrum.de/images/PDF-Files/impfwegweiser_englisch_2013_online.pdf","x")</f>
        <v>x</v>
      </c>
      <c r="FM130" s="112"/>
      <c r="FN130" s="112" t="str">
        <f>HYPERLINK("http://www.rki.de/DE/Content/Infekt/Impfen/Materialien/Glossar-Downloads/glossar-de-englisch.pdf?__blob=publicationFile","x")</f>
        <v>x</v>
      </c>
      <c r="FO130" s="112" t="str">
        <f>HYPERLINK("http://www.euro.who.int/__data/assets/pdf_file/0005/160754/VPDs_Signs-symptoms-complications.pdf?ua=1","x")</f>
        <v>x</v>
      </c>
      <c r="FP130" s="112" t="str">
        <f>HYPERLINK("http://www.rki.de/DE/Content/Infekt/Impfen/Materialien/Downloads-MMR/MMR-Impfinfo-englisch.pdf?__blob=publicationFile","x")</f>
        <v>x</v>
      </c>
      <c r="FQ130" s="112" t="str">
        <f>HYPERLINK("http://www.rki.de/DE/Content/InfAZ/P/Polio/Ausbruch_Syrien/Informationsblatt_Polio_Englisch.pdf?__blob=publicationFile","x")</f>
        <v>x</v>
      </c>
      <c r="FR130" s="112" t="str">
        <f>HYPERLINK("http://www.rki.de/DE/Content/Infekt/Impfen/Materialien/Downloads_HepA/Aufklaerung_HAV-Impfung_Englisch.pdf?__blob=publicationFile","x")</f>
        <v>x</v>
      </c>
      <c r="FS130" s="112" t="str">
        <f>HYPERLINK("http://www.rki.de/DE/Content/Infekt/Impfen/Materialien/Downloads_Pneumokokken/Aufklaerung_Pneumo-Impfung_Englisch.pdf?__blob=publicationFile","x")</f>
        <v>x</v>
      </c>
      <c r="FT130" s="112" t="str">
        <f>HYPERLINK("http://www.rki.de/DE/Content/Infekt/Impfen/Materialien/Downloads-DTaPIPVHibHepB/DTaPIPVHibHepB-englisch.pdf?__blob=publicationFile","x")</f>
        <v>x</v>
      </c>
      <c r="FU130" s="112" t="str">
        <f>HYPERLINK("http://www.rki.de/DE/Content/Infekt/Impfen/Materialien/Downloads-Varizellen/Varizellen-Impfinfo-englisch.pdf;jsessionid=65B697F4EE7EDA8A1ED9E2C4CD6C74EC.2_cid363?__blob=publicationFile","x")</f>
        <v>x</v>
      </c>
      <c r="FV130" s="112" t="str">
        <f>HYPERLINK("http://www.rki.de/DE/Content/Infekt/Impfen/Materialien/Downloads-Tdap-IPV/Tdap-IPV-englisch.pdf?__blob=publicationFile","x")</f>
        <v>x</v>
      </c>
      <c r="FW130" s="112" t="str">
        <f>HYPERLINK("http://www.rki.de/DE/Content/Infekt/Impfen/Materialien/Downloads-Influenza_nasal/Influenza_nasal-englisch.pdf?__blob=publicationFile","x")</f>
        <v>x</v>
      </c>
      <c r="FX130" s="111"/>
      <c r="FY130" s="112"/>
      <c r="FZ130" s="112"/>
      <c r="GA130" s="111"/>
      <c r="GB130" s="111"/>
      <c r="GC130" s="111"/>
      <c r="GD130" s="112" t="str">
        <f>HYPERLINK("http://www.ethno-medizinisches-zentrum.de/images/PDF-Files/lf_diabete_englisch.pdf","x")</f>
        <v>x</v>
      </c>
      <c r="GE130" s="111"/>
      <c r="GF130" s="111"/>
      <c r="GG130" s="111"/>
      <c r="GH130" s="112"/>
      <c r="GI130" s="111"/>
      <c r="GJ130" s="111"/>
      <c r="GK130" s="112" t="str">
        <f>HYPERLINK("http://www.tipdoc.de/bus/pdf/hiv/HIV%20ESP_Webseite.pdf","x")</f>
        <v>x</v>
      </c>
      <c r="GL130" s="111"/>
      <c r="GM130" s="112" t="str">
        <f>HYPERLINK("http://www.rki.de/DE/Content/Infekt/Impfen/Materialien/Downloads-Influenza/Influenza-englisch.pdf?__blob=publicationFile","x")</f>
        <v>x</v>
      </c>
      <c r="GN130" s="111"/>
      <c r="GO130" s="112" t="str">
        <f>HYPERLINK("http://www.aponet.de/englisch/20151111-so-unterscheiden-sich-grippe-und-erkaeltung.html","x")</f>
        <v>x</v>
      </c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2" t="str">
        <f t="shared" si="38"/>
        <v>x</v>
      </c>
      <c r="HD130" s="112" t="str">
        <f t="shared" si="51"/>
        <v>x</v>
      </c>
      <c r="HE130" s="112" t="str">
        <f>HYPERLINK("https://www.zahnaerzte-wl.de/images/_PDF-suche/KZV_ZÄK/Anschreiben_Patienten_englisch.pdf","x")</f>
        <v>x</v>
      </c>
      <c r="HF130" s="112" t="str">
        <f>HYPERLINK("https://www.zahnaerzte-wl.de/images/_PDF-suche/KZV_ZÄK/Fragebogen_englisch.pdf","x")</f>
        <v>x</v>
      </c>
      <c r="HG130" s="112" t="str">
        <f>HYPERLINK("https://www.zahnaerzte-wl.de/images/_PDF-suche/KZV_ZÄK/Patientenerhebungsbogen_englisch.pdf","x")</f>
        <v>x</v>
      </c>
      <c r="HH130" s="112"/>
      <c r="HI130" s="112" t="str">
        <f>HYPERLINK("http://www.bvkm.de/fileadmin/web_data/Behinderung_und_Migration_englisch_2014.pdf","x")</f>
        <v>x</v>
      </c>
      <c r="HJ130" s="112"/>
      <c r="HK130" s="112" t="str">
        <f>HYPERLINK("http://www.psychenet.de/en/mental-health/knowledge/depression.html","x")</f>
        <v>x</v>
      </c>
      <c r="HL130" s="111"/>
      <c r="HM130" s="112" t="str">
        <f>HYPERLINK("http://www.psychenet.de/en/mental-health/knowledge/psychoses.html","x")</f>
        <v>x</v>
      </c>
      <c r="HN130" s="112" t="str">
        <f>HYPERLINK("http://www.psychenet.de/en/mental-health/knowledge/somatoform-disorders.html","x")</f>
        <v>x</v>
      </c>
      <c r="HO130" s="112" t="str">
        <f>HYPERLINK("http://www.psychenet.de/en/mental-health/knowledge/anorexia.html","x")</f>
        <v>x</v>
      </c>
      <c r="HP130" s="112" t="str">
        <f>HYPERLINK("http://www.psychenet.de/en/mental-health/knowledge/bulimia.html","x")</f>
        <v>x</v>
      </c>
      <c r="HQ130" s="112" t="str">
        <f>HYPERLINK("http://www.psychenet.de/en/mental-health/knowledge/bipolar-disorder.html","x")</f>
        <v>x</v>
      </c>
      <c r="HR130" s="112" t="str">
        <f>HYPERLINK("http://www.psychenet.de/en/mental-health/knowledge/panic-and-agoraphobia.html","x")</f>
        <v>x</v>
      </c>
      <c r="HS130" s="112" t="str">
        <f>HYPERLINK("http://www.psychenet.de/en/mental-health/knowledge/social-phobia.html","x")</f>
        <v>x</v>
      </c>
      <c r="HT130" s="112" t="str">
        <f>HYPERLINK("http://www.psychenet.de/en/mental-health/knowledge/generalized-anxiety-disorder.html","x")</f>
        <v>x</v>
      </c>
      <c r="HU130" s="112"/>
      <c r="HV130" s="112" t="str">
        <f>HYPERLINK("http://www.psychenet.de/en/mental-health/knowledge/information-and-support.html","x")</f>
        <v>x</v>
      </c>
      <c r="HW130" s="112"/>
      <c r="HX130" s="112" t="str">
        <f>HYPERLINK("http://www.bkk-psychisch-gesund.de/fileadmin/user_upload/Dokumente/Versicherte/Broschueren/Wegweiser_Psychotherapie_englisch.pdf","x")</f>
        <v>x</v>
      </c>
      <c r="HY130" s="112" t="str">
        <f t="shared" si="39"/>
        <v>x</v>
      </c>
      <c r="HZ130" s="112" t="str">
        <f t="shared" si="40"/>
        <v>x</v>
      </c>
      <c r="IA130" s="112" t="str">
        <f>HYPERLINK("http://peacefulheart.se/wp-content/uploads/2012/02/TTT_English_2013.pdf","x")</f>
        <v>x</v>
      </c>
      <c r="IB130" s="112"/>
      <c r="IC130" s="112"/>
      <c r="ID130" s="112" t="str">
        <f>HYPERLINK("http://www.susannestein.de/VIA-online/trauma-picture-book.pdf","x")</f>
        <v>x</v>
      </c>
      <c r="IE130" s="112" t="str">
        <f>HYPERLINK("http://www.psychenet.de/en/mental-health/knowledge/alcohol-in-adolescence.html","x")</f>
        <v>x</v>
      </c>
      <c r="IF130" s="112"/>
      <c r="IG130" s="112"/>
      <c r="IH130" s="111"/>
      <c r="II130" s="112" t="str">
        <f>HYPERLINK("http://www.caritas.de/hilfeundberatung/onlineberatung/suchtberatung/haeufiggestelltefragensucht/haeufiggestelltefragen-sucht","x")</f>
        <v>x</v>
      </c>
      <c r="IJ130" s="112" t="str">
        <f>HYPERLINK("http://www.dhs.de/fileadmin/user_upload/pdf/Broschueren/Ein_Angebot_an_alle-Englisch.pdf","x")</f>
        <v>x</v>
      </c>
      <c r="IK130" s="112" t="str">
        <f>HYPERLINK("http://www.bamf.de/SharedDocs/Anlagen/EN/Publikationen/Flyer/Lassen-Sie-Sich-Beraten/lassen-sie-sich-beraten.pdf?__blob=publicationFile","x")</f>
        <v>x</v>
      </c>
      <c r="IL130" s="115" t="str">
        <f>HYPERLINK("http://www.bamf.de/SharedDocs/Anlagen/EN/Publikationen/Flyer/flyer-erstorientierung-asylsuchende.pdf?__blob=publicationFile","x")</f>
        <v>x</v>
      </c>
      <c r="IM130" s="112" t="str">
        <f>HYPERLINK("http://www.frnrw.de/index.php/inhaltliche-themen/arbeitshilfen/item/3710-erstinfos-fuer-asylsuchende","x")</f>
        <v>x</v>
      </c>
      <c r="IN130" s="112" t="str">
        <f>HYPERLINK("http://www.bamf.de/SharedDocs/Anlagen/EN/Publikationen/Broschueren/willkommen-in-deutschland.pdf;jsessionid=2D72CB108E4AC02BBB9659E7D9A589B2.1_cid368?__blob=publicationFile","x")</f>
        <v>x</v>
      </c>
      <c r="IO130" s="112"/>
      <c r="IP130" s="112"/>
      <c r="IQ130" s="112" t="str">
        <f>HYPERLINK("http://www.bamf.de/SharedDocs/Anlagen/EN/Publikationen/Flyer/Lernen-Sie-Deutsch/lernen-sie-deutsch.pdf?__blob=publicationFile","x")</f>
        <v>x</v>
      </c>
      <c r="IR130" s="112" t="str">
        <f>HYPERLINK("http://www.asyl.net/fileadmin/user_upload/redaktion/Dokumente/Arbeitshilfen/150910_Wie_l%C3%A4uft_ein_Asylverfahren_ab_%C3%9Cberblickstext_Englisch.pdf","x")</f>
        <v>x</v>
      </c>
      <c r="IS130" s="111"/>
      <c r="IT130" s="112" t="str">
        <f>HYPERLINK("http://www.bamf.de/SharedDocs/Anlagen/EN/Publikationen/Flyer/ablauf-asylverfahren.pdf;jsessionid=DBD4307960D761935FCC3E0325D459A1.1_cid294?__blob=publicationFile","x")</f>
        <v>x</v>
      </c>
      <c r="IU130" s="111"/>
      <c r="IV130" s="112" t="str">
        <f>HYPERLINK("http://www.asyl.net/fileadmin/user_upload/infoblatt_anhoerung/Infoblatt_2015_en_fin.pdf","x")</f>
        <v>x</v>
      </c>
      <c r="IW130" s="112"/>
      <c r="IX130" s="112" t="str">
        <f>HYPERLINK("http://www.berlin.de/labo/willkommen-in-berlin/service/downloads/artikel.273193.php","x")</f>
        <v>x</v>
      </c>
      <c r="IY130" s="112" t="str">
        <f>HYPERLINK("http://www.bamf.de/SharedDocs/Anlagen/EN/Publikationen/Broschueren/broschuere-eat-a4.pdf?__blob=publicationFile","x")</f>
        <v>x</v>
      </c>
      <c r="IZ130" s="111"/>
      <c r="JA130" s="112" t="str">
        <f>HYPERLINK("http://fluechtlingsrat-bw.de/informationen-fuer-fluechtlinge.html","x")</f>
        <v>x</v>
      </c>
      <c r="JB130" s="111"/>
      <c r="JC130" s="112" t="str">
        <f>HYPERLINK("http://www.bamf.de/SharedDocs/Anlagen/EN/Publikationen/Flyer/20150223_ura2_en.pdf?__blob=publicationFile","x")</f>
        <v>x</v>
      </c>
      <c r="JD130" s="111"/>
      <c r="JE130" s="112"/>
      <c r="JF130" s="112"/>
      <c r="JG130" s="112" t="str">
        <f>HYPERLINK("http://www.bamf.de/SharedDocs/Anlagen/EN/Publikationen/Flyer/Ehegattennachzug/ehegattennachzug.pdf?__blob=publicationFile","x")</f>
        <v>x</v>
      </c>
      <c r="JH130" s="112" t="str">
        <f>HYPERLINK("https://familyreunion-syria.diplo.de/webportal/index.html#start","x")</f>
        <v>x</v>
      </c>
      <c r="JI130" s="112" t="str">
        <f>HYPERLINK("http://ec.europa.eu/dgs/home-affairs/what-we-do/networks/european_migration_network/docs/emn-glossary-en-version.pdf","x")</f>
        <v>x</v>
      </c>
      <c r="JJ130" s="112"/>
      <c r="JK130" s="112" t="str">
        <f>HYPERLINK("https://www.arbeitsagentur.de/web/wcm/idc/groups/public/documents/webdatei/mdaw/mjgz/~edisp/l6019022dstbai784628.pdf?_ba.sid=L6019022DSTBAI784625","x")</f>
        <v>x</v>
      </c>
      <c r="JL130" s="112" t="str">
        <f>HYPERLINK("http://www.kub-berlin.org/formularprojekt/de/englisch-antraege-und-anlagen-uebersetzungshilfen/","x")</f>
        <v>x</v>
      </c>
      <c r="JM130" s="112" t="str">
        <f>HYPERLINK("https://www.arbeitsagentur.de/web/content/DE/Formulare/Detail/index.htm?dfContentId=L6019022DSTBAI485740","x")</f>
        <v>x</v>
      </c>
      <c r="JN130" s="112"/>
      <c r="JO130" s="112"/>
      <c r="JP130" s="112"/>
      <c r="JQ130" s="112"/>
      <c r="JR130" s="112" t="str">
        <f t="shared" ref="JR130:JR137" si="52">HYPERLINK("http://www.ibla-germany.de/merkblaetter.php","x")</f>
        <v>x</v>
      </c>
      <c r="JS130" s="112"/>
      <c r="JT130" s="112" t="str">
        <f>HYPERLINK("http://www.b-umf.de/images/willkommen/willkommensbroschureenglisch-web.pdf","x")</f>
        <v>x</v>
      </c>
      <c r="JU130" s="111"/>
      <c r="JV130" s="111"/>
      <c r="JW130" s="112"/>
      <c r="JX130" s="112" t="str">
        <f>HYPERLINK("https://www.arbeitsagentur.de/web/wcm/idc/groups/public/documents/webdatei/mdaw/mjgz/~edisp/l6019022dstbai784636.pdf?_ba.sid=L6019022DSTBAI784633","x")</f>
        <v>x</v>
      </c>
      <c r="JY130" s="112"/>
      <c r="JZ130" s="112"/>
      <c r="KA130" s="112"/>
      <c r="KB130" s="112" t="str">
        <f>HYPERLINK("http://www.refugeeguide.de/dl/RefugeeGuide_en_925.pdf","x")</f>
        <v>x</v>
      </c>
      <c r="KC130" s="112" t="str">
        <f>HYPERLINK("http://www.gesetze-im-internet.de/englisch_gg/basic_law_for_the_federal_republic_of_germany.pdf","x")</f>
        <v>x</v>
      </c>
      <c r="KD130" s="112" t="str">
        <f t="shared" si="47"/>
        <v>x</v>
      </c>
      <c r="KE130" s="112" t="str">
        <f>HYPERLINK("http://www.frauenrechte.de/online/images/downloads/allgemein/TDF_Flyer_Women_Men.pdf","x")</f>
        <v>x</v>
      </c>
      <c r="KF130" s="112" t="str">
        <f>HYPERLINK("http://sab.landtag.sachsen.de/dokumente/landtagskurier/Grundwerte-A5-international_web_08012016.pdf","x")</f>
        <v>x</v>
      </c>
      <c r="KG130" s="112"/>
      <c r="KH130" s="112"/>
      <c r="KI130" s="112"/>
      <c r="KJ130" s="112"/>
      <c r="KK130" s="112"/>
      <c r="KL130" s="112"/>
      <c r="KM130" s="112"/>
      <c r="KN130" s="112"/>
      <c r="KO130" s="112"/>
      <c r="KP130" s="112"/>
      <c r="KQ130" s="112"/>
      <c r="KR130" s="112"/>
      <c r="KS130" s="112"/>
      <c r="KT130" s="112"/>
      <c r="KU130" s="112"/>
      <c r="KV130" s="112"/>
      <c r="KW130" s="112"/>
      <c r="KX130" s="112"/>
      <c r="KY130" s="112"/>
      <c r="KZ130" s="112"/>
      <c r="LA130" s="112"/>
      <c r="LB130" s="112"/>
      <c r="LC130" s="111"/>
      <c r="LD130" s="112"/>
      <c r="LE130" s="112"/>
      <c r="LF130" s="112"/>
      <c r="LG130" s="112"/>
      <c r="LH130" s="112"/>
      <c r="LI130" s="112"/>
      <c r="LJ130" s="112"/>
      <c r="LK130" s="112"/>
      <c r="LL130" s="112"/>
      <c r="LM130" s="112"/>
      <c r="LN130" s="112"/>
      <c r="LO130" s="112"/>
      <c r="LP130" s="112"/>
      <c r="LQ130" s="112"/>
      <c r="LR130" s="112"/>
      <c r="LS130" s="112"/>
      <c r="LT130" s="112"/>
      <c r="LU130" s="112"/>
      <c r="LV130" s="112"/>
      <c r="LW130" s="112"/>
      <c r="LX130" s="112"/>
      <c r="LY130" s="112"/>
      <c r="LZ130" s="112"/>
      <c r="MA130" s="112"/>
      <c r="MB130" s="112"/>
      <c r="MC130" s="111"/>
      <c r="MD130" s="112" t="str">
        <f>HYPERLINK("http://www.rki.de/DE/Content/Infekt/IfSG/Belehrungsbogen/belehrungsbogen_lebensmittel_englisch.pdf?__blob=publicationFile","x")</f>
        <v>x</v>
      </c>
      <c r="ME130" s="112"/>
      <c r="MF130" s="112" t="str">
        <f>HYPERLINK("http://www.gdv.de/wp-content/uploads/2016/01/Information_Brandschutz_Fluechtlingsheim_-Sicherheit_mehrsprachig.pdf","x")</f>
        <v>x</v>
      </c>
      <c r="MG130" s="112" t="str">
        <f>HYPERLINK("http://www.gdv.de/wp-content/uploads/2016/01/Information_Verhalten-im-Brandfall_mehrsprachig.pdf","x")</f>
        <v>x</v>
      </c>
      <c r="MH130" s="112" t="str">
        <f>HYPERLINK("http://www.aha-region.de/fileadmin/Download/pdf/aha_Plakat_Muelltrennung_en.pdf","x")</f>
        <v>x</v>
      </c>
      <c r="MI130" s="112" t="str">
        <f>HYPERLINK("http://www.kindersicherheit.de/pdf/2012_poster_achtunggiftig_8sprachig.pdf","x")</f>
        <v>x</v>
      </c>
    </row>
    <row r="131" spans="1:347" x14ac:dyDescent="0.25">
      <c r="A131" s="102" t="s">
        <v>61</v>
      </c>
      <c r="B131" s="127" t="s">
        <v>1</v>
      </c>
      <c r="C131" s="102"/>
      <c r="D131" s="102"/>
      <c r="E131" s="102"/>
      <c r="F131" s="102"/>
      <c r="G131" s="102"/>
      <c r="H131" s="102"/>
      <c r="I131" s="102"/>
      <c r="J131" s="102"/>
      <c r="K131" s="103"/>
      <c r="L131" s="112" t="str">
        <f>HYPERLINK("http://sghanstedt.elbnetz.com/ueber-uns/","x")</f>
        <v>x</v>
      </c>
      <c r="M131" s="111"/>
      <c r="N131" s="112" t="str">
        <f>HYPERLINK("http://www.ag-fluechtlingshilfe-wetterau.de/uploads/infos/170.pdf","x")</f>
        <v>x</v>
      </c>
      <c r="O131" s="112" t="str">
        <f>HYPERLINK("http://www.ag-fluechtlingshilfe-wetterau.de/uploads/infos/220.pdf","x")</f>
        <v>x</v>
      </c>
      <c r="P131" s="112" t="str">
        <f>HYPERLINK("http://www.awb-ahrweiler.de/admin/data/ddownload/Abfall%20Sonderhinweise-Arabisch%202015.pdf","x")</f>
        <v>x</v>
      </c>
      <c r="Q131" s="112" t="str">
        <f>HYPERLINK("http://www.ag-fluechtlingshilfe-wetterau.de/uploads/infos/221.pdf","x")</f>
        <v>x</v>
      </c>
      <c r="R131" s="112" t="str">
        <f>HYPERLINK("http://www.konto.org/download/merkblatt-basiskonto-asylbewerber-arabisch.pdf","x")</f>
        <v>x</v>
      </c>
      <c r="S131" s="112"/>
      <c r="T131" s="112" t="str">
        <f>HYPERLINK("https://antworten.sparkasse.de/wp-content/uploads/2015/10/Arabisch.pdf","x")</f>
        <v>x</v>
      </c>
      <c r="U131" s="112" t="str">
        <f>HYPERLINK("http://www.ag-fluechtlingshilfe-wetterau.de/uploads/infos/191.pdf","x")</f>
        <v>x</v>
      </c>
      <c r="V131" s="112"/>
      <c r="W131" s="112"/>
      <c r="X131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1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1" s="112"/>
      <c r="AA131" s="112"/>
      <c r="AB131" s="112"/>
      <c r="AC131" s="112"/>
      <c r="AD131" s="112" t="str">
        <f>HYPERLINK("http://www.rundfunkbeitrag.de/e175/e1629/Informationsflyer_Buergerinnen_und_Buerger_arabisch.pdf","x")</f>
        <v>x</v>
      </c>
      <c r="AE131" s="112"/>
      <c r="AF131" s="112" t="str">
        <f>HYPERLINK("http://www.kub-berlin.org/formularprojekt/de/arabisch-antraege-und-anlagen/","x")</f>
        <v>x</v>
      </c>
      <c r="AG131" s="112" t="str">
        <f>HYPERLINK("http://asyl-in-moenchengladbach.de/wp-content/uploads/2015/11/100711-Flyer_arab.pdf","x")</f>
        <v>x</v>
      </c>
      <c r="AH131" s="111"/>
      <c r="AI131" s="112" t="str">
        <f>HYPERLINK("https://www.adac.de/sp/stiftung/_mmm/pdf/SGE_FOL_Verkehrssicherheit_Fl%C3%BCchtlinge_A3_01_16_Internet_250277.pdf","x")</f>
        <v>x</v>
      </c>
      <c r="AJ131" s="112" t="str">
        <f>HYPERLINK("http://www.stadt-koeln.de/mediaasset/content/العربية_kvb_kinderleicht_und_spielend_einfach__arabisch_.pdf","x")</f>
        <v>x</v>
      </c>
      <c r="AK131" s="112" t="str">
        <f t="shared" si="48"/>
        <v>x</v>
      </c>
      <c r="AL131" s="112" t="str">
        <f t="shared" si="49"/>
        <v>x</v>
      </c>
      <c r="AM131" s="112"/>
      <c r="AN131" s="112" t="str">
        <f>HYPERLINK("https://www.deutschebahn.com/file/de/2191748/eYdgZpqGpp5sMJ2KMKtg2r8aE4Q/10123812/data/infos_fuer_fluechtlinge.pdf","x")</f>
        <v>x</v>
      </c>
      <c r="AO131" s="112"/>
      <c r="AP131" s="112"/>
      <c r="AQ131" s="112"/>
      <c r="AR131" s="112"/>
      <c r="AS131" s="112"/>
      <c r="AT131" s="112" t="str">
        <f>HYPERLINK("http://www.koelnerkarneval.de/fileadmin/content/images/news/Festkomitee_Flyer_DE_AR.pdf","x")</f>
        <v>x</v>
      </c>
      <c r="AU131" s="112"/>
      <c r="AV131" s="114" t="str">
        <f>HYPERLINK("http://www.studentenwerke.de/de/content/illustriertes-wohnheimw%C3%B6rterbuch-1","x")</f>
        <v>x</v>
      </c>
      <c r="AW131" s="114" t="str">
        <f t="shared" si="22"/>
        <v>x</v>
      </c>
      <c r="AX131" s="114" t="str">
        <f t="shared" si="23"/>
        <v>x</v>
      </c>
      <c r="AY131" s="112" t="str">
        <f>HYPERLINK("http://fi-lohmar-siegburg.de/data/documents/Findefix_arabisch-Bildwoerterbuch.pdf","x")</f>
        <v>x</v>
      </c>
      <c r="AZ131" s="111"/>
      <c r="BA131" s="112" t="str">
        <f t="shared" si="24"/>
        <v>x</v>
      </c>
      <c r="BB131" s="112" t="str">
        <f t="shared" si="25"/>
        <v>x</v>
      </c>
      <c r="BC131" s="112"/>
      <c r="BD131" s="112" t="str">
        <f>HYPERLINK("http://www.rehavista.de/?at=Mat_Boardmaker&amp;d=1&amp;dtype=mat&amp;id=1014","x")</f>
        <v>x</v>
      </c>
      <c r="BE131" s="112" t="str">
        <f>HYPERLINK("http://fi-lohmar-siegburg.de/data/documents/communicationboard-arabic-english.pdf","x")</f>
        <v>x</v>
      </c>
      <c r="BF131" s="112" t="str">
        <f>HYPERLINK("http://fi-lohmar-siegburg.de/data/documents/communicationboard-arabic-french.pdf","x")</f>
        <v>x</v>
      </c>
      <c r="BG131" s="111"/>
      <c r="BH131" s="112" t="str">
        <f t="shared" si="50"/>
        <v>x</v>
      </c>
      <c r="BI131" s="112" t="str">
        <f>HYPERLINK("https://www.advanced-online.eu/downloads/RefugeePhrasebookCards_German-Arabic.pdf","x")</f>
        <v>x</v>
      </c>
      <c r="BJ131" s="112" t="str">
        <f>HYPERLINK("http://www.klett-sprachen.de/download/8638/W100255_Refugees_Welcome_Wortschatz.pdf","x")</f>
        <v>x</v>
      </c>
      <c r="BK131" s="112" t="str">
        <f>HYPERLINK("http://www.agf-trier.de/sites/default/files/bersetzungshilfe%20allgemein%20Arab..pdf","x")</f>
        <v>x</v>
      </c>
      <c r="BL131" s="112" t="str">
        <f>HYPERLINK("http://www.bundessprachenamt.de/deutsch/wir_ueber_uns/nachrichten/2015/20151103/Verständigungshilfe_Syrisch-Arabisch_07_12_2015.pdf","x")</f>
        <v>x</v>
      </c>
      <c r="BM131" s="112" t="str">
        <f>HYPERLINK("http://www.frnrw.de/images/Aus_den_Initiativen/Ehrenamtler/2015/Dictionary_x10_print-2.pdf","x")</f>
        <v>x</v>
      </c>
      <c r="BN131" s="112" t="str">
        <f>HYPERLINK("http://www.medbox.org/toolboxes/kleines-worterbuch-little-dictionary-deutsch-englisch-arabisch/preview","x")</f>
        <v>x</v>
      </c>
      <c r="BO131" s="111"/>
      <c r="BP131" s="111"/>
      <c r="BQ131" s="112" t="str">
        <f>HYPERLINK("https://www.friedensdorf.de/documents/Woerterbuch_Arabisch.pdf","x")</f>
        <v>x</v>
      </c>
      <c r="BR131" s="111"/>
      <c r="BS131" s="112" t="str">
        <f t="shared" si="26"/>
        <v>x</v>
      </c>
      <c r="BT131" s="112" t="str">
        <f>HYPERLINK("http://de.langenscheidt.com/doc/arabisch-deutsch-sprachfuehrer.pdf","x")</f>
        <v>x</v>
      </c>
      <c r="BU131" s="111"/>
      <c r="BV131" s="112" t="str">
        <f t="shared" si="27"/>
        <v>x</v>
      </c>
      <c r="BW131" s="112" t="str">
        <f>HYPERLINK("http://www.welcomegrooves.de/wp-content/uploads/2015/10/welcomegrooves_DE-ARABISCH.pdf","x")</f>
        <v>x</v>
      </c>
      <c r="BX131" s="112"/>
      <c r="BY131" s="112"/>
      <c r="BZ131" s="112" t="str">
        <f>HYPERLINK("http://fluechtlingshilfe-nettetal.de/ausbildung/video-sprachkurse-deutsch-fuer-fluechtlinge/video-sprachkurs-syrisch-deutsch/","x")</f>
        <v>x</v>
      </c>
      <c r="CA131" s="112" t="str">
        <f t="shared" si="28"/>
        <v>x</v>
      </c>
      <c r="CB131" s="112" t="str">
        <f t="shared" si="29"/>
        <v>x</v>
      </c>
      <c r="CC131" s="112" t="str">
        <f t="shared" si="30"/>
        <v>x</v>
      </c>
      <c r="CD131" s="112"/>
      <c r="CE131" s="112"/>
      <c r="CF131" s="112" t="str">
        <f>HYPERLINK("http://www.agf-trier.de/sites/default/files/bersetzungshilfe%20%20f%C3%BCr%20Frauen%20Arab..pdf","x")</f>
        <v>x</v>
      </c>
      <c r="CG131" s="112" t="str">
        <f>HYPERLINK("http://www.braunschweig.de/leben/frauen/hilfe/Ohne-Gewalt-leben.pdf","x")</f>
        <v>x</v>
      </c>
      <c r="CH131" s="112" t="str">
        <f>HYPERLINK("http://mifkjf.rlp.de/fileadmin/mifkjf/Frauen/Gewalt_gegen_Frauen/Downloads/Broschueren_Flyer/Flyer_Gewalt_arabisch_fuer_ANSICHT.pdf","x")</f>
        <v>x</v>
      </c>
      <c r="CI131" s="112"/>
      <c r="CJ131" s="112" t="str">
        <f>HYPERLINK("https://www.hilfetelefon.de/fileadmin/hilfetelefon_de/Materialien/weitere_werbemittel/Klappflyer_Vorder-_und_Rueckseite_opt2.pdf","x")</f>
        <v>x</v>
      </c>
      <c r="CK131" s="112" t="str">
        <f t="shared" si="31"/>
        <v>x</v>
      </c>
      <c r="CL131" s="112" t="str">
        <f>HYPERLINK("http://www.frauenberatungsstelle.de/pdf/Migrantinnen-beraten-Migrantinnen.pdf","x")</f>
        <v>x</v>
      </c>
      <c r="CM131" s="112"/>
      <c r="CN131" s="112"/>
      <c r="CO131" s="112"/>
      <c r="CP131" s="112" t="str">
        <f>HYPERLINK("http://www.schwanger-und-viele-fragen.de/ar/","x")</f>
        <v>x</v>
      </c>
      <c r="CQ131" s="112"/>
      <c r="CR131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1" s="112"/>
      <c r="CT131" s="112"/>
      <c r="CU131" s="112" t="str">
        <f>HYPERLINK("http://www.profamilia.de/fileadmin/publikationen/Erwachsene/mehrsprachig/verhuetung_arabisch.pdf","x")</f>
        <v>x</v>
      </c>
      <c r="CV131" s="112"/>
      <c r="CW131" s="112"/>
      <c r="CX131" s="112"/>
      <c r="CY131" s="112" t="str">
        <f>HYPERLINK("http://www.caritas-schwarzwald-alb-donau.de/68854.html","x")</f>
        <v>x</v>
      </c>
      <c r="CZ131" s="112"/>
      <c r="DA131" s="112" t="str">
        <f>HYPERLINK("http://sichere-orte-schaffen.de/wp-content/uploads/Minibrosch_Fluechtlinge_multilang.pdf","x")</f>
        <v>x</v>
      </c>
      <c r="DB131" s="112"/>
      <c r="DC131" s="115" t="str">
        <f>HYPERLINK("http://www.kindersicherheit.de/pdf/2012_Bilderbuch-Gift-Arabisch.pdf","x")</f>
        <v>x</v>
      </c>
      <c r="DD131" s="112"/>
      <c r="DE131" s="112"/>
      <c r="DF131" s="112" t="str">
        <f t="shared" si="32"/>
        <v>x</v>
      </c>
      <c r="DG131" s="115" t="str">
        <f t="shared" si="33"/>
        <v>x</v>
      </c>
      <c r="DH131" s="112" t="str">
        <f t="shared" si="34"/>
        <v>x</v>
      </c>
      <c r="DI131" s="112" t="str">
        <f t="shared" si="35"/>
        <v>x</v>
      </c>
      <c r="DJ131" s="112" t="str">
        <f>HYPERLINK("http://www.bibliomedia.ch/de/angebote/dokumente/Glossar_arabisch.pdf","x")</f>
        <v>x</v>
      </c>
      <c r="DK131" s="112"/>
      <c r="DL131" s="112" t="str">
        <f>HYPERLINK("http://www.carlsen.de/sites/default/files/Walter-ebook_arabisch_klein.pdf","x")</f>
        <v>x</v>
      </c>
      <c r="DM131" s="112"/>
      <c r="DN131" s="112"/>
      <c r="DO131" s="112" t="str">
        <f>HYPERLINK("http://www.wdrmaus.de/sachgeschichten/maus-international/","x")</f>
        <v>x</v>
      </c>
      <c r="DP131" s="111"/>
      <c r="DQ131" s="112" t="str">
        <f>HYPERLINK("http://tipdoc.de/bus/grafik/kinder-tip/SCHULTIP_give_didacta.pdf","x")</f>
        <v>x</v>
      </c>
      <c r="DR131" s="112" t="str">
        <f>HYPERLINK("https://broschueren.nordrheinwestfalendirekt.de/broschuerenservice/msw/ar-das-schulsystem-in-nordrhein-westfalen-einfach-und-schnell-erklaert/1901","x")</f>
        <v>x</v>
      </c>
      <c r="DS131" s="112" t="str">
        <f>HYPERLINK("http://bildung.koeln.de/materialbibliothek/download.php?idx=7479da9798519efb4e1944d46a76011b","x")</f>
        <v>x</v>
      </c>
      <c r="DT131" s="112" t="str">
        <f>HYPERLINK("http://bildung.koeln.de/materialbibliothek/download.php?idx=dd3a964c240308ea1c8e0d161e49e314","x")</f>
        <v>x</v>
      </c>
      <c r="DU131" s="112"/>
      <c r="DV131" s="112" t="str">
        <f>HYPERLINK("https://www.bmbf.de/pub/Kausa_Elternbroschuere_arabisch.pdf","x")</f>
        <v>x</v>
      </c>
      <c r="DW131" s="112"/>
      <c r="DX131" s="112" t="str">
        <f>HYPERLINK("http://www.wissenschaft.nrw.de/studium/informieren/informationen-fuer-fluechtlinge-die-in-nrw-studieren-moechten/","x")</f>
        <v>x</v>
      </c>
      <c r="DY131" s="112" t="str">
        <f>HYPERLINK("http://www.bamf.de/SharedDocs/Anlagen/DE/Publikationen/Flyer/AnerkennungBerufsabschluss/berufliche_anerkennung_akademische-heilberufe_ar.pdf?__blob=publicationFile","x")</f>
        <v>x</v>
      </c>
      <c r="DZ131" s="112" t="str">
        <f>HYPERLINK("http://www.bamf.de/SharedDocs/Anlagen/DE/Publikationen/Flyer/AnerkennungBerufsabschluss/anerkennung-berufsabschluss_ar.pdf?__blob=publicationFile","x")</f>
        <v>x</v>
      </c>
      <c r="EA131" s="112" t="str">
        <f>HYPERLINK("http://www.bamf.de/SharedDocs/Anlagen/DE/Publikationen/Flyer/AnerkennungBerufsabschluss/anerkennung-berufsabschluss_ausland_ar.pdf?__blob=publicationFile","x")</f>
        <v>x</v>
      </c>
      <c r="EB131" s="112" t="str">
        <f>HYPERLINK("http://www.bamf.de/SharedDocs/Anlagen/DE/Publikationen/Broschueren/willkommen-in-deutschland-info-blaue-karte-eu_ar.pdf?__blob=publicationFile","x")</f>
        <v>x</v>
      </c>
      <c r="EC131" s="112" t="str">
        <f>HYPERLINK("http://www.bamf.de/SharedDocs/Anlagen/DE/Publikationen/Flyer/Berufsbezsprachf-ESF-BAMF/berufsbezsprachf-esf-bamf_ar.pdf?__blob=publicationFile","x")</f>
        <v>x</v>
      </c>
      <c r="ED131" s="111"/>
      <c r="EE131" s="111"/>
      <c r="EF131" s="111"/>
      <c r="EG131" s="111"/>
      <c r="EH131" s="111"/>
      <c r="EI131" s="111"/>
      <c r="EJ131" s="112"/>
      <c r="EK131" s="112" t="str">
        <f>HYPERLINK("http://fluechtlingsrat-bw.de/files/Dateien/Dokumente/Materialbestellung/2014-12-flyer%20arbeitserlaubnis%20AR%20WEB_final.pdf","x")</f>
        <v>x</v>
      </c>
      <c r="EL131" s="112" t="str">
        <f>HYPERLINK("http://www.aponet.de/arabisch/20151019-fuer-den-notfall-wichtige-rufnummern-im-ueberblick.html","x")</f>
        <v>x</v>
      </c>
      <c r="EM131" s="112" t="str">
        <f>HYPERLINK("http://www.kvs-sachsen.de/fileadmin/img/Mitglieder/Asylbewerber/Allg-Informationen/Anlage_1_Arabisch_LEK.pdf","x")</f>
        <v>x</v>
      </c>
      <c r="EN131" s="112" t="str">
        <f>HYPERLINK("http://www.medizin-hilft-fluechtlingen.de/images/Dokumente/gSch/gSch_arab.pdf","x")</f>
        <v>x</v>
      </c>
      <c r="EO131" s="112" t="str">
        <f>HYPERLINK("http://www.aponet.de/arabisch/20151016-medizinische-leistungen-fuer-asylbewerber.html","x")</f>
        <v>x</v>
      </c>
      <c r="EP131" s="117" t="str">
        <f t="shared" si="45"/>
        <v>x</v>
      </c>
      <c r="EQ131" s="117" t="str">
        <f>HYPERLINK("http://www.armut-gesundheit.de/fileadmin/redakteur/dokumente/Anamnesebogen%20-%20Arabischnew.pdf","x")</f>
        <v>x</v>
      </c>
      <c r="ER131" s="112" t="str">
        <f>HYPERLINK("http://www.kvs-sachsen.de/fileadmin/img/Mitglieder/Asylbewerber/Allg-Informationen/Anlagen_2-1_2-2_Arabisch_LEK.pdf","x")</f>
        <v>x</v>
      </c>
      <c r="ES131" s="112"/>
      <c r="ET131" s="112" t="str">
        <f>HYPERLINK("http://www.pharmazeutische-zeitung.de/fileadmin/pdf/Fragebogen_PZ_43_2015.pdf","x")</f>
        <v>x</v>
      </c>
      <c r="EU131" s="112" t="str">
        <f>HYPERLINK("http://www.medizin-hilft-fluechtlingen.de/images/Dokumente/ein/ein_arab.pdf","x")</f>
        <v>x</v>
      </c>
      <c r="EV131" s="112" t="str">
        <f>HYPERLINK("http://www.adler-apotheke-hh.de/fileadmin/user_upload/PDF-Dateien/Dosierzettel_mehrsprachig_AUF_0_.pdf","x")</f>
        <v>x</v>
      </c>
      <c r="EW131" s="112" t="str">
        <f t="shared" si="36"/>
        <v>x</v>
      </c>
      <c r="EX131" s="112" t="str">
        <f>HYPERLINK("http://www.rki.de/DE/Content/Infekt/IfSG/Belehrungsbogen/belehrungsbogen_eltern_arabisch.pdf?__blob=publicationFile","x")</f>
        <v>x</v>
      </c>
      <c r="EY131" s="112" t="str">
        <f>HYPERLINK("http://www.bzga.de/infomaterialien/?sid=236","x")</f>
        <v>x</v>
      </c>
      <c r="EZ131" s="112" t="str">
        <f>HYPERLINK("https://www.mh-hannover.de/fileadmin/mhh/bilder/aktuelles_presse/presseinformationen_news/150921_Pilz_Vergif_Arab_3.pdf","x")</f>
        <v>x</v>
      </c>
      <c r="FA131" s="112"/>
      <c r="FB131" s="112" t="str">
        <f>HYPERLINK("http://static.apotheken-umschau.de/media/gp/article_506373/bildwoerterbuch.pdf","x")</f>
        <v>x</v>
      </c>
      <c r="FC131" s="111"/>
      <c r="FD131" s="112" t="str">
        <f t="shared" si="37"/>
        <v>x</v>
      </c>
      <c r="FE131" s="112" t="str">
        <f t="shared" si="46"/>
        <v>x</v>
      </c>
      <c r="FF131" s="112" t="str">
        <f>HYPERLINK("http://www.fuhlenhagen.com/pdf_dateien/uebertzungshilfe_aerzte_mehrsprachig.pdf","x")</f>
        <v>x</v>
      </c>
      <c r="FG131" s="112" t="str">
        <f>HYPERLINK("http://www.tipdoc.de/grafik/asyl/Gesundheitsheft_Asyl.pdf","x")</f>
        <v>x</v>
      </c>
      <c r="FH131" s="111"/>
      <c r="FI131" s="111"/>
      <c r="FJ131" s="112" t="str">
        <f>HYPERLINK("http://www.bundesgesundheitsministerium.de/fileadmin/dateien/Publikationen/Gesundheit/Broschueren/Ratgeber_Asylsuchende/Ratgeber_Asylsuchende_arab.PDF","x")</f>
        <v>x</v>
      </c>
      <c r="FK131" s="112" t="str">
        <f>HYPERLINK("http://www.rki.de/DE/Content/Infekt/Impfen/Materialien/Downloads-Impfkalender/Impfkalender_Arabisch.pdf?__blob=publicationFile","x")</f>
        <v>x</v>
      </c>
      <c r="FL131" s="112" t="str">
        <f>HYPERLINK("http://www.ethno-medizinisches-zentrum.de/images/PDF-Files/impfwegweiser_arabbisch_2013_online.pdf","x")</f>
        <v>x</v>
      </c>
      <c r="FM131" s="112"/>
      <c r="FN131" s="112" t="str">
        <f>HYPERLINK("http://www.rki.de/DE/Content/Infekt/Impfen/Materialien/Glossar-Downloads/glossar-de-arabisch.pdf?__blob=publicationFile","x")</f>
        <v>x</v>
      </c>
      <c r="FO131" s="112"/>
      <c r="FP131" s="112" t="str">
        <f>HYPERLINK("http://www.rki.de/DE/Content/Infekt/Impfen/Materialien/Downloads-MMR/MMR-Impfinfo-arabisch.pdf?__blob=publicationFile","x")</f>
        <v>x</v>
      </c>
      <c r="FQ131" s="112" t="str">
        <f>HYPERLINK("http://www.rki.de/DE/Content/InfAZ/P/Polio/Ausbruch_Syrien/Informationsblatt_Polio_Arabisch.pdf?__blob=publicationFile","x")</f>
        <v>x</v>
      </c>
      <c r="FR131" s="112" t="str">
        <f>HYPERLINK("http://www.rki.de/DE/Content/Infekt/Impfen/Materialien/Downloads_HepA/Aufklaerung_HAV-Impfung_arabisch.pdf?__blob=publicationFile","x")</f>
        <v>x</v>
      </c>
      <c r="FS131" s="112" t="str">
        <f>HYPERLINK("http://www.rki.de/DE/Content/Infekt/Impfen/Materialien/Downloads_Pneumokokken/Aufklaerung_Pneumo-Impfung_Arabisch.pdf?__blob=publicationFile","x")</f>
        <v>x</v>
      </c>
      <c r="FT131" s="112" t="str">
        <f>HYPERLINK("http://www.rki.de/DE/Content/Infekt/Impfen/Materialien/Downloads-DTaPIPVHibHepB/DTaPIPVHibHepB_arabisch.pdf?__blob=publicationFile","x")</f>
        <v>x</v>
      </c>
      <c r="FU131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1" s="112" t="str">
        <f>HYPERLINK("http://www.rki.de/DE/Content/Infekt/Impfen/Materialien/Downloads-Tdap-IPV/Tdap-IPV-arabisch.pdf?__blob=publicationFile","x")</f>
        <v>x</v>
      </c>
      <c r="FW131" s="112" t="str">
        <f>HYPERLINK("http://www.rki.de/DE/Content/Infekt/Impfen/Materialien/Downloads-Influenza_nasal/Influenza_nasal-arabisch.pdf?__blob=publicationFile","x")</f>
        <v>x</v>
      </c>
      <c r="FX131" s="112" t="str">
        <f>HYPERLINK("http://www.medical-tribune.de/fileadmin/PDF/Arthrose_arabisch.pdf","x")</f>
        <v>x</v>
      </c>
      <c r="FY131" s="112" t="str">
        <f>HYPERLINK("http://www.medical-tribune.de/fileadmin/PDF/Asthma_arabisch.pdf","x")</f>
        <v>x</v>
      </c>
      <c r="FZ131" s="112" t="str">
        <f>HYPERLINK("http://www.medical-tribune.de/fileadmin/PDF/Bluthochdruck_arabisch.pdf","x")</f>
        <v>x</v>
      </c>
      <c r="GA131" s="112"/>
      <c r="GB131" s="112" t="str">
        <f>HYPERLINK("http://www.medical-tribune.de/fileadmin/PDF/COPD_arabisch.pdf","x")</f>
        <v>x</v>
      </c>
      <c r="GC131" s="112"/>
      <c r="GD131" s="112" t="str">
        <f>HYPERLINK("http://www.ethno-medizinisches-zentrum.de/images/PDF-Files/lf_diabete_arab.pdf","x")</f>
        <v>x</v>
      </c>
      <c r="GE131" s="112"/>
      <c r="GF131" s="112"/>
      <c r="GG131" s="112"/>
      <c r="GH131" s="112"/>
      <c r="GI131" s="112" t="str">
        <f>HYPERLINK("http://www.tipdoc.de/bus/pdf/hepatitis/Hep_B_Webseite.pdf","x")</f>
        <v>x</v>
      </c>
      <c r="GJ131" s="112" t="str">
        <f>HYPERLINK("http://www.tipdoc.de/bus/pdf/hepatitis/Hep_C_Webseite.pdf","x")</f>
        <v>x</v>
      </c>
      <c r="GK131" s="111"/>
      <c r="GL131" s="111"/>
      <c r="GM131" s="112" t="str">
        <f>HYPERLINK("http://www.rki.de/DE/Content/Infekt/Impfen/Materialien/Downloads-Influenza/Influenza-arabisch.pdf?__blob=publicationFile","x")</f>
        <v>x</v>
      </c>
      <c r="GN131" s="112"/>
      <c r="GO131" s="112" t="str">
        <f>HYPERLINK("http://www.aponet.de/arabisch/20151111-so-unterscheiden-sich-grippe-und-erkaeltung.html","x")</f>
        <v>x</v>
      </c>
      <c r="GP131" s="112" t="str">
        <f>HYPERLINK("http://www.tipdoc.de/grafik/pdf/kopflaeuse/Kopflaeuse_ARAB.pdf","x")</f>
        <v>x</v>
      </c>
      <c r="GQ131" s="112"/>
      <c r="GR131" s="112" t="str">
        <f>HYPERLINK("http://www.tipdoc.com/bus/pdf/kraetze/tipdoc_Scabies_ARAB.pdf","x")</f>
        <v>x</v>
      </c>
      <c r="GS131" s="112" t="str">
        <f>HYPERLINK("http://www.tipdoc.com/bus/pdf/MagenDarmHaende/MagenDarmHaende_Arab.pdf","x")</f>
        <v>x</v>
      </c>
      <c r="GT131" s="112"/>
      <c r="GU131" s="112" t="str">
        <f>HYPERLINK("http://www.medical-tribune.de/fileadmin/PDF/Rueckenschmerzen_arabisch.pdf","x")</f>
        <v>x</v>
      </c>
      <c r="GV131" s="112"/>
      <c r="GW131" s="112"/>
      <c r="GX131" s="112" t="str">
        <f>HYPERLINK("http://www.medical-tribune.de/fileadmin/PDF/Schwindel_arabisch.pdf","x")</f>
        <v>x</v>
      </c>
      <c r="GY131" s="112"/>
      <c r="GZ131" s="112"/>
      <c r="HA131" s="112"/>
      <c r="HB131" s="112"/>
      <c r="HC131" s="112" t="str">
        <f t="shared" si="38"/>
        <v>x</v>
      </c>
      <c r="HD131" s="112" t="str">
        <f t="shared" si="51"/>
        <v>x</v>
      </c>
      <c r="HE131" s="112" t="str">
        <f>HYPERLINK("https://www.zahnaerzte-wl.de/images/_PDF-suche/KZV_ZÄK/Anschreiben_Patienten_arabisch.pdf","x")</f>
        <v>x</v>
      </c>
      <c r="HF131" s="112" t="str">
        <f>HYPERLINK("https://www.zahnaerzte-wl.de/images/_PDF-suche/KZV_ZÄK/Fragebogen_arabisch.pdf","x")</f>
        <v>x</v>
      </c>
      <c r="HG131" s="112" t="str">
        <f>HYPERLINK("https://www.zahnaerzte-wl.de/images/_PDF-suche/KZV_ZÄK/Patientenerhebungsbogen_arabisch.pdf","x")</f>
        <v>x</v>
      </c>
      <c r="HH131" s="112"/>
      <c r="HI131" s="112"/>
      <c r="HJ131" s="112" t="str">
        <f>HYPERLINK("http://www.ibbc-berlin.de/media/Bro_de-arab.pdf","x")</f>
        <v>x</v>
      </c>
      <c r="HK131" s="112"/>
      <c r="HL131" s="112" t="str">
        <f>HYPERLINK("http://www.ethno-medizinisches-zentrum.de/images/PDF-Files/lf_depression__arab.pdf","x")</f>
        <v>x</v>
      </c>
      <c r="HM131" s="112"/>
      <c r="HN131" s="112"/>
      <c r="HO131" s="112"/>
      <c r="HP131" s="112"/>
      <c r="HQ131" s="112"/>
      <c r="HR131" s="112"/>
      <c r="HS131" s="112"/>
      <c r="HT131" s="112"/>
      <c r="HU131" s="112"/>
      <c r="HV131" s="112"/>
      <c r="HW131" s="112"/>
      <c r="HX131" s="112" t="str">
        <f>HYPERLINK("http://www.bkk-psychisch-gesund.de/fileadmin/user_upload/Dokumente/Versicherte/Broschueren/Wegweiser_Psychotherapie_arabisch.pdf","x")</f>
        <v>x</v>
      </c>
      <c r="HY131" s="112" t="str">
        <f t="shared" si="39"/>
        <v>x</v>
      </c>
      <c r="HZ131" s="112" t="str">
        <f t="shared" si="40"/>
        <v>x</v>
      </c>
      <c r="IA131" s="112"/>
      <c r="IB131" s="112"/>
      <c r="IC131" s="112"/>
      <c r="ID131" s="112" t="str">
        <f>HYPERLINK("http://www.susannestein.de/VIA-online/trauma-bilderbuch-arabisch.pdf","x")</f>
        <v>x</v>
      </c>
      <c r="IE131" s="112"/>
      <c r="IF131" s="112"/>
      <c r="IG131" s="112"/>
      <c r="IH131" s="111"/>
      <c r="II131" s="112"/>
      <c r="IJ131" s="112"/>
      <c r="IK131" s="112" t="str">
        <f>HYPERLINK("http://www.bamf.de/SharedDocs/Anlagen/DE/Publikationen/Flyer/Lassen-Sie-Sich-Beraten/lassen-sie-sich-beraten_ar.pdf?__blob=publicationFile","x")</f>
        <v>x</v>
      </c>
      <c r="IL131" s="112" t="str">
        <f>HYPERLINK("http://www.bamf.de/SharedDocs/Anlagen/DE/Publikationen/Flyer/flyer-erstorientierung-asylsuchende_arabisch.pdf?__blob=publicationFile","x")</f>
        <v>x</v>
      </c>
      <c r="IM131" s="111"/>
      <c r="IN131" s="112" t="str">
        <f>HYPERLINK("https://www.bamf.de/SharedDocs/Anlagen/DE/Publikationen/Broschueren/willkommen-in-deutschland_ar.pdf?__blob=publicationFile","x")</f>
        <v>x</v>
      </c>
      <c r="IO131" s="112"/>
      <c r="IP131" s="111"/>
      <c r="IQ131" s="112" t="str">
        <f>HYPERLINK("http://www.bamf.de/SharedDocs/Anlagen/DE/Publikationen/Flyer/Lernen-Sie-Deutsch/lernen-sie-deutsch_ar.pdf?__blob=publicationFile","x")</f>
        <v>x</v>
      </c>
      <c r="IR131" s="112" t="str">
        <f>HYPERLINK("http://www.asyl.net/fileadmin/user_upload/redaktion/Dokumente/Arbeitshilfen/150910_Wie_l%C3%A4uft_ein_Asylverfahren_ab_%C3%9Cberblickstext_Arabisch.pdf","x")</f>
        <v>x</v>
      </c>
      <c r="IS131" s="111"/>
      <c r="IT131" s="111"/>
      <c r="IU131" s="111"/>
      <c r="IV131" s="112" t="str">
        <f>HYPERLINK("http://www.asyl.net/fileadmin/user_upload/infoblatt_anhoerung/Infoblatt_2015_ar_fin.pdf","x")</f>
        <v>x</v>
      </c>
      <c r="IW131" s="112" t="str">
        <f>HYPERLINK("http://efi-landsberg.de/asyl/wp-content/uploads/2014/04/Merkblatt-Asylbewerber-Fluechtlinge.pdf","x")</f>
        <v>x</v>
      </c>
      <c r="IX131" s="112"/>
      <c r="IY131" s="112" t="str">
        <f>HYPERLINK("http://www.bamf.de/SharedDocs/Anlagen/DE/Publikationen/Broschueren/broschuere-eat-a4-ar-arabisch.pdf?__blob=publicationFile","x")</f>
        <v>x</v>
      </c>
      <c r="IZ131" s="111"/>
      <c r="JA131" s="112" t="str">
        <f>HYPERLINK("http://fluechtlingsrat-bw.de/informationen-fuer-fluechtlinge.html","x")</f>
        <v>x</v>
      </c>
      <c r="JB131" s="111"/>
      <c r="JC131" s="112"/>
      <c r="JD131" s="111"/>
      <c r="JE131" s="112"/>
      <c r="JF131" s="112"/>
      <c r="JG131" s="112" t="str">
        <f>HYPERLINK("http://www.bamf.de/SharedDocs/Anlagen/DE/Publikationen/Flyer/Ehegattennachzug/ehegattennachzug-ar.pdf?__blob=publicationFile","x")</f>
        <v>x</v>
      </c>
      <c r="JH131" s="112" t="str">
        <f>HYPERLINK("https://familyreunion-syria.diplo.de/webportal/index.html#start","x")</f>
        <v>x</v>
      </c>
      <c r="JI131" s="111"/>
      <c r="JJ131" s="112"/>
      <c r="JK131" s="112" t="str">
        <f>HYPERLINK("https://www.arbeitsagentur.de/web/wcm/idc/groups/public/documents/webdatei/mdaw/mjgz/~edisp/l6019022dstbai784629.pdf?_ba.sid=L6019022DSTBAI788745","x")</f>
        <v>x</v>
      </c>
      <c r="JL131" s="112" t="str">
        <f>HYPERLINK("http://www.kub-berlin.org/formularprojekt/de/arabisch-antraege-und-anlagen/","x")</f>
        <v>x</v>
      </c>
      <c r="JM131" s="112" t="str">
        <f>HYPERLINK("https://www.arbeitsagentur.de/web/content/DE/Formulare/Detail/index.htm?dfContentId=L6019022DSTBAI485740","x")</f>
        <v>x</v>
      </c>
      <c r="JN131" s="112"/>
      <c r="JO131" s="112"/>
      <c r="JP131" s="112"/>
      <c r="JQ131" s="112"/>
      <c r="JR131" s="112" t="str">
        <f t="shared" si="52"/>
        <v>x</v>
      </c>
      <c r="JS131" s="112"/>
      <c r="JT131" s="112" t="str">
        <f>HYPERLINK("http://www.b-umf.de/images/willkommen/willkommensbroschurearabisch-web.pdf","x")</f>
        <v>x</v>
      </c>
      <c r="JU131" s="111"/>
      <c r="JV131" s="111"/>
      <c r="JW131" s="112"/>
      <c r="JX131" s="112"/>
      <c r="JY131" s="112"/>
      <c r="JZ131" s="112"/>
      <c r="KA131" s="112" t="str">
        <f>HYPERLINK("http://www.kas.de/wf/de/33.43117/","x")</f>
        <v>x</v>
      </c>
      <c r="KB131" s="112" t="str">
        <f>HYPERLINK("http://www.refugeeguide.de/dl/RefugeeGuide_ar_930.pdf","x")</f>
        <v>x</v>
      </c>
      <c r="KC131" s="112" t="str">
        <f>HYPERLINK("http://www.bpb.de/shop/buecher/grundgesetz/215136/grundgesetz-auf-arabisch","x")</f>
        <v>x</v>
      </c>
      <c r="KD131" s="112" t="str">
        <f t="shared" si="47"/>
        <v>x</v>
      </c>
      <c r="KE131" s="112" t="str">
        <f>HYPERLINK("http://www.frauenrechte.de/online/images/downloads/allgemein/TDF_Flyer_Women_Men.pdf","x")</f>
        <v>x</v>
      </c>
      <c r="KF131" s="112" t="str">
        <f>HYPERLINK("http://sab.landtag.sachsen.de/dokumente/landtagskurier/Grundwerte-A5-international_web_08012016.pdf","x")</f>
        <v>x</v>
      </c>
      <c r="KG131" s="112"/>
      <c r="KH131" s="112"/>
      <c r="KI131" s="112"/>
      <c r="KJ131" s="112"/>
      <c r="KK131" s="112"/>
      <c r="KL131" s="112"/>
      <c r="KM131" s="112"/>
      <c r="KN131" s="112"/>
      <c r="KO131" s="112"/>
      <c r="KP131" s="112"/>
      <c r="KQ131" s="112"/>
      <c r="KR131" s="112"/>
      <c r="KS131" s="112"/>
      <c r="KT131" s="112"/>
      <c r="KU131" s="112"/>
      <c r="KV131" s="112"/>
      <c r="KW131" s="112"/>
      <c r="KX131" s="112"/>
      <c r="KY131" s="112"/>
      <c r="KZ131" s="112"/>
      <c r="LA131" s="112"/>
      <c r="LB131" s="112"/>
      <c r="LC131" s="111"/>
      <c r="LD131" s="111"/>
      <c r="LE131" s="111"/>
      <c r="LF131" s="111"/>
      <c r="LG131" s="112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2"/>
      <c r="LU131" s="111"/>
      <c r="LV131" s="111"/>
      <c r="LW131" s="111"/>
      <c r="LX131" s="111"/>
      <c r="LY131" s="111"/>
      <c r="LZ131" s="112" t="str">
        <f>HYPERLINK("http://www.bjf.info/projekte/cinemanya","x")</f>
        <v>x</v>
      </c>
      <c r="MA131" s="111"/>
      <c r="MB131" s="111"/>
      <c r="MC131" s="111"/>
      <c r="MD131" s="112" t="str">
        <f>HYPERLINK("http://www.rki.de/DE/Content/Infekt/IfSG/Belehrungsbogen/belehrungsbogen_lebensmittel_arabisch.pdf?__blob=publicationFile","x")</f>
        <v>x</v>
      </c>
      <c r="ME131" s="111"/>
      <c r="MF131" s="112" t="str">
        <f>HYPERLINK("http://www.gdv.de/wp-content/uploads/2016/01/Information_Brandschutz_Fluechtlingsheim_-Sicherheit_mehrsprachig.pdf","x")</f>
        <v>x</v>
      </c>
      <c r="MG131" s="112" t="str">
        <f>HYPERLINK("http://www.gdv.de/wp-content/uploads/2016/01/Information_Verhalten-im-Brandfall_mehrsprachig.pdf","x")</f>
        <v>x</v>
      </c>
      <c r="MH131" s="112" t="str">
        <f>HYPERLINK("http://www.aha-region.de/fileadmin/Download/pdf/aha_Plakat_Muelltrennung_ar.pdf","x")</f>
        <v>x</v>
      </c>
      <c r="MI131" s="112" t="str">
        <f>HYPERLINK("http://www.kindersicherheit.de/pdf/2012_poster_achtunggiftig_8sprachig.pdf","x")</f>
        <v>x</v>
      </c>
    </row>
    <row r="132" spans="1:347" x14ac:dyDescent="0.25">
      <c r="A132" s="102" t="s">
        <v>387</v>
      </c>
      <c r="B132" s="127" t="s">
        <v>4</v>
      </c>
      <c r="C132" s="102"/>
      <c r="D132" s="102"/>
      <c r="E132" s="102"/>
      <c r="F132" s="102"/>
      <c r="G132" s="102"/>
      <c r="H132" s="102"/>
      <c r="I132" s="102"/>
      <c r="J132" s="102"/>
      <c r="K132" s="103"/>
      <c r="L132" s="111"/>
      <c r="M132" s="111"/>
      <c r="N132" s="112" t="str">
        <f>HYPERLINK("http://www.ag-fluechtlingshilfe-wetterau.de/uploads/infos/170.pdf","x")</f>
        <v>x</v>
      </c>
      <c r="O132" s="112" t="str">
        <f>HYPERLINK("http://www.ag-fluechtlingshilfe-wetterau.de/uploads/infos/220.pdf","x")</f>
        <v>x</v>
      </c>
      <c r="P132" s="112" t="str">
        <f>HYPERLINK("http://www.awb-ahrweiler.de/admin/data/ddownload/Abfall%20Sonderhinweise-englisch_2014.pdf","x")</f>
        <v>x</v>
      </c>
      <c r="Q132" s="112" t="str">
        <f>HYPERLINK("http://www.ag-fluechtlingshilfe-wetterau.de/uploads/infos/221.pdf","x")</f>
        <v>x</v>
      </c>
      <c r="R132" s="112" t="str">
        <f>HYPERLINK("http://www.konto.org/download/merkblatt-basiskonto-asylbewerber-english.pdf","x")</f>
        <v>x</v>
      </c>
      <c r="S132" s="112"/>
      <c r="T132" s="112" t="str">
        <f>HYPERLINK("https://antworten.sparkasse.de/wp-content/uploads/2015/10/English.pdf","x")</f>
        <v>x</v>
      </c>
      <c r="U132" s="112" t="str">
        <f>HYPERLINK("http://www.ag-fluechtlingshilfe-wetterau.de/uploads/infos/191.pdf","x")</f>
        <v>x</v>
      </c>
      <c r="V132" s="112"/>
      <c r="W132" s="112"/>
      <c r="X13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3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32" s="112"/>
      <c r="AA132" s="112"/>
      <c r="AB132" s="112"/>
      <c r="AC132" s="112" t="str">
        <f>HYPERLINK("http://www.vzhh.de/vzhh/409638/vzhh_refugees_telephone_internet.pdf","x")</f>
        <v>x</v>
      </c>
      <c r="AD132" s="112" t="str">
        <f>HYPERLINK("http://www.vzhh.de/vzhh/410647/vzhh_refugees_rundfunk.pdf","x")</f>
        <v>x</v>
      </c>
      <c r="AE132" s="112" t="str">
        <f>HYPERLINK("http://www.vzhh.de/vzhh/411476/vzhh_refugees_rundfunk_befreiung.pdf","x")</f>
        <v>x</v>
      </c>
      <c r="AF132" s="112" t="str">
        <f>HYPERLINK("http://www.kub-berlin.org/formularprojekt/de/englisch-antraege-und-anlagen-uebersetzungshilfen/","x")</f>
        <v>x</v>
      </c>
      <c r="AG132" s="112" t="str">
        <f>HYPERLINK("http://asyl-in-moenchengladbach.de/wp-content/uploads/2015/11/100711-Flyer_GB.pdf","x")</f>
        <v>x</v>
      </c>
      <c r="AH132" s="112" t="str">
        <f>HYPERLINK("http://sghanstedt.elbnetz.com/ueber-uns/","x")</f>
        <v>x</v>
      </c>
      <c r="AI132" s="112" t="str">
        <f>HYPERLINK("https://www.adac.de/sp/stiftung/_mmm/pdf/SGE_FOL_Verkehrssicherheit_Fl%C3%BCchtlinge_A3_01_16_Internet_250277.pdf","x")</f>
        <v>x</v>
      </c>
      <c r="AJ132" s="112" t="str">
        <f>HYPERLINK("http://www.stadt-koeln.de/mediaasset/content/kvb_kinderleicht_und_spielend_einfach__englisch_.pdf","x")</f>
        <v>x</v>
      </c>
      <c r="AK132" s="112" t="str">
        <f t="shared" si="48"/>
        <v>x</v>
      </c>
      <c r="AL132" s="112" t="str">
        <f t="shared" si="49"/>
        <v>x</v>
      </c>
      <c r="AM132" s="112"/>
      <c r="AN132" s="112" t="str">
        <f>HYPERLINK("https://www.deutschebahn.com/file/de/2191748/eYdgZpqGpp5sMJ2KMKtg2r8aE4Q/10123812/data/infos_fuer_fluechtlinge.pdf","x")</f>
        <v>x</v>
      </c>
      <c r="AO132" s="112"/>
      <c r="AP132" s="112"/>
      <c r="AQ132" s="112"/>
      <c r="AR132" s="112"/>
      <c r="AS132" s="112"/>
      <c r="AT132" s="112"/>
      <c r="AU132" s="112" t="str">
        <f>HYPERLINK("http://www.stadt-koeln.de/mediaasset/content/festkomitee_flyer_2016_d_gb.pdf","x")</f>
        <v>x</v>
      </c>
      <c r="AV132" s="113"/>
      <c r="AW132" s="114" t="str">
        <f t="shared" si="22"/>
        <v>x</v>
      </c>
      <c r="AX132" s="114" t="str">
        <f t="shared" si="23"/>
        <v>x</v>
      </c>
      <c r="AY132" s="112" t="str">
        <f>HYPERLINK("http://fi-lohmar-siegburg.de/data/documents/Findefix_arabisch-Bildwoerterbuch.pdf","x")</f>
        <v>x</v>
      </c>
      <c r="AZ132" s="111"/>
      <c r="BA132" s="112" t="str">
        <f t="shared" si="24"/>
        <v>x</v>
      </c>
      <c r="BB132" s="112" t="str">
        <f t="shared" si="25"/>
        <v>x</v>
      </c>
      <c r="BC132" s="111"/>
      <c r="BD132" s="111"/>
      <c r="BE132" s="112" t="str">
        <f>HYPERLINK("http://fi-lohmar-siegburg.de/data/documents/communicationboard-arabic-english.pdf","x")</f>
        <v>x</v>
      </c>
      <c r="BF132" s="112"/>
      <c r="BG132" s="111"/>
      <c r="BH132" s="112" t="str">
        <f t="shared" si="50"/>
        <v>x</v>
      </c>
      <c r="BI132" s="112" t="str">
        <f>HYPERLINK("https://www.advanced-online.eu/downloads/RefugeePhrasebookCards_German-English.pdf","x")</f>
        <v>x</v>
      </c>
      <c r="BJ132" s="112" t="str">
        <f>HYPERLINK("http://www.klett-sprachen.de/download/8638/W100255_Refugees_Welcome_Wortschatz.pdf","x")</f>
        <v>x</v>
      </c>
      <c r="BK132" s="111"/>
      <c r="BL132" s="112" t="str">
        <f>HYPERLINK("http://www.bundessprachenamt.de/deutsch/wir_ueber_uns/nachrichten/2015/20151103/Verständigungshilfe_Englisch_26_11_2015.pdf","x")</f>
        <v>x</v>
      </c>
      <c r="BM132" s="112" t="str">
        <f>HYPERLINK("http://www.frnrw.de/images/Aus_den_Initiativen/Ehrenamtler/2015/Dictionary_x10_print-2.pdf","x")</f>
        <v>x</v>
      </c>
      <c r="BN132" s="112" t="str">
        <f>HYPERLINK("http://www.medbox.org/toolboxes/kleines-worterbuch-little-dictionary-deutsch-englisch-arabisch/preview","x")</f>
        <v>x</v>
      </c>
      <c r="BO132" s="112" t="str">
        <f>HYPERLINK("http://mylanguages.org/dari_phrases.php","x")</f>
        <v>x</v>
      </c>
      <c r="BP132" s="111"/>
      <c r="BQ132" s="111"/>
      <c r="BR132" s="111"/>
      <c r="BS132" s="112" t="str">
        <f t="shared" si="26"/>
        <v>x</v>
      </c>
      <c r="BT132" s="112"/>
      <c r="BU132" s="111"/>
      <c r="BV132" s="112" t="str">
        <f t="shared" si="27"/>
        <v>x</v>
      </c>
      <c r="BW132" s="112" t="str">
        <f>HYPERLINK("http://www.welcomegrooves.de/wp-content/uploads/2015/10/welcomegrooves_DE-ENGLISH1.pdf","x")</f>
        <v>x</v>
      </c>
      <c r="BX132" s="112"/>
      <c r="BY132" s="112"/>
      <c r="BZ132" s="112"/>
      <c r="CA132" s="112" t="str">
        <f t="shared" si="28"/>
        <v>x</v>
      </c>
      <c r="CB132" s="112" t="str">
        <f t="shared" si="29"/>
        <v>x</v>
      </c>
      <c r="CC132" s="112" t="str">
        <f t="shared" si="30"/>
        <v>x</v>
      </c>
      <c r="CD132" s="112"/>
      <c r="CE132" s="112"/>
      <c r="CF132" s="111"/>
      <c r="CG132" s="112" t="str">
        <f>HYPERLINK("http://www.braunschweig.de/leben/frauen/hilfe/Ohne-Gewalt-leben.pdf","x")</f>
        <v>x</v>
      </c>
      <c r="CH132" s="112" t="str">
        <f>HYPERLINK("http://mifkjf.rlp.de/fileadmin/mifkjf/Frauen/Gewalt_gegen_Frauen/Downloads/Broschueren_Flyer/Flyer_Gewalt_englisch.pdf","x")</f>
        <v>x</v>
      </c>
      <c r="CI132" s="112" t="str">
        <f>HYPERLINK("https://www.hilfetelefon.de/fileadmin/hilfetelefon_de/Materialien/Flyer/Infoflyer_Hilfetelefon_Gewalt_gegen_Frauen141105_b2.pdf","x")</f>
        <v>x</v>
      </c>
      <c r="CJ132" s="112" t="str">
        <f>HYPERLINK("https://www.hilfetelefon.de/fileadmin/hilfetelefon_de/Materialien/weitere_werbemittel/Klappflyer_Vorder-_und_Rueckseite_opt2.pdf","x")</f>
        <v>x</v>
      </c>
      <c r="CK132" s="112" t="str">
        <f t="shared" si="31"/>
        <v>x</v>
      </c>
      <c r="CL132" s="112" t="str">
        <f>HYPERLINK("http://www.frauenberatungsstelle.de/pdf/Migrantinnen-beraten-Migrantinnen.pdf","x")</f>
        <v>x</v>
      </c>
      <c r="CM132" s="112" t="str">
        <f>HYPERLINK("http://www.frauenleben.org/spezielle_beratungsangebote/sexualisierte_gewalt.htm","x")</f>
        <v>x</v>
      </c>
      <c r="CN132" s="112"/>
      <c r="CO132" s="112"/>
      <c r="CP132" s="112" t="str">
        <f>HYPERLINK("http://www.schwanger-und-viele-fragen.de/en/","x")</f>
        <v>x</v>
      </c>
      <c r="CQ132" s="112"/>
      <c r="CR13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32" s="112" t="str">
        <f>HYPERLINK("http://en.beststart.org/for_parents/are-you-looking-resources-languages-other-english-and-french","x")</f>
        <v>x</v>
      </c>
      <c r="CT132" s="112"/>
      <c r="CU132" s="112" t="str">
        <f>HYPERLINK("http://www.profamilia.de/fileadmin/publikationen/Erwachsene/mehrsprachig/Bro_Verhuetung_engl_2013.pdf","x")</f>
        <v>x</v>
      </c>
      <c r="CV132" s="112" t="str">
        <f>HYPERLINK("http://www.profamilia.de/fileadmin/publikationen/Erwachsene/mehrsprachig/Bro_Pille_danach_Faltblatt_140122_RZ.pdf","x")</f>
        <v>x</v>
      </c>
      <c r="CW132" s="112" t="str">
        <f>HYPERLINK("http://www.profamilia.de/fileadmin/publikationen/Reihe_Verhuetungsmethoden/Einleger_englisch.pdf","x")</f>
        <v>x</v>
      </c>
      <c r="CX132" s="112" t="str">
        <f>HYPERLINK("http://www.profamilia.de/fileadmin/publikationen/Reihe_Koerper_und_Sexualtitaet/Schwangerschaftsabbruch_englisch_2010.pdf","x")</f>
        <v>x</v>
      </c>
      <c r="CY132" s="112" t="str">
        <f>HYPERLINK("http://www.caritas-schwarzwald-alb-donau.de/68854.html","x")</f>
        <v>x</v>
      </c>
      <c r="CZ132" s="112" t="str">
        <f>HYPERLINK("http://www.dgfpi.de/tl_files/download/medien/unwissen-macht-en.pdf","x")</f>
        <v>x</v>
      </c>
      <c r="DA132" s="112"/>
      <c r="DB132" s="112"/>
      <c r="DC132" s="115" t="str">
        <f>HYPERLINK("http://www.kindersicherheit.de/pdf/2013_BAG_Tomi_and_Mila_Deutsch_English.pdf","x")</f>
        <v>x</v>
      </c>
      <c r="DD132" s="112"/>
      <c r="DE132" s="112"/>
      <c r="DF132" s="112" t="str">
        <f t="shared" si="32"/>
        <v>x</v>
      </c>
      <c r="DG132" s="115" t="str">
        <f t="shared" si="33"/>
        <v>x</v>
      </c>
      <c r="DH132" s="112" t="str">
        <f t="shared" si="34"/>
        <v>x</v>
      </c>
      <c r="DI132" s="112" t="str">
        <f t="shared" si="35"/>
        <v>x</v>
      </c>
      <c r="DJ132" s="112"/>
      <c r="DK132" s="112"/>
      <c r="DL132" s="112"/>
      <c r="DM132" s="112"/>
      <c r="DN132" s="112"/>
      <c r="DO132" s="112" t="str">
        <f>HYPERLINK("http://www.wdrmaus.de/sachgeschichten/maus-international/","x")</f>
        <v>x</v>
      </c>
      <c r="DP132" s="111"/>
      <c r="DQ132" s="111"/>
      <c r="DR132" s="112" t="str">
        <f>HYPERLINK("https://broschueren.nordrheinwestfalendirekt.de/broschuerenservice/msw/eng-das-schulsystem-in-nordrhein-westfalen-einfach-und-schnell-erklaert/1902","x")</f>
        <v>x</v>
      </c>
      <c r="DS132" s="112" t="str">
        <f>HYPERLINK("http://bildung.koeln.de/materialbibliothek/download.php?idx=8e2a9f658e9fa830ce17dc18f0fb0268","x")</f>
        <v>x</v>
      </c>
      <c r="DT132" s="112" t="str">
        <f>HYPERLINK("http://bildung.koeln.de/materialbibliothek/download.php?idx=90aff7e7259385cadb46c517317f1446","x")</f>
        <v>x</v>
      </c>
      <c r="DU132" s="112"/>
      <c r="DV132" s="112" t="str">
        <f>HYPERLINK("https://www.bmbf.de/pub/Kausa_Elternbroschuere_englisch.pdf","x")</f>
        <v>x</v>
      </c>
      <c r="DW132" s="112"/>
      <c r="DX132" s="112" t="str">
        <f>HYPERLINK("http://www.wissenschaft.nrw.de/studium/informieren/informationen-fuer-fluechtlinge-die-in-nrw-studieren-moechten/","x")</f>
        <v>x</v>
      </c>
      <c r="DY132" s="112" t="str">
        <f>HYPERLINK("http://www.bamf.de/SharedDocs/Anlagen/DE/Publikationen/Flyer/AnerkennungBerufsabschluss/berufliche_anerkennung_akademische-heilberufe_en.pdf?__blob=publicationFile","x")</f>
        <v>x</v>
      </c>
      <c r="DZ132" s="112" t="str">
        <f>HYPERLINK("http://www.bamf.de/SharedDocs/Anlagen/EN/Publikationen/Flyer/AnerkennungBerufsabschluss/anerkennung-berufsabschluss.pdf?__blob=publicationFile","x")</f>
        <v>x</v>
      </c>
      <c r="EA132" s="112" t="str">
        <f>HYPERLINK("http://www.bamf.de/SharedDocs/Anlagen/EN/Publikationen/Flyer/AnerkennungBerufsabschluss/anerkennung-berufsabschluss_ausland.pdf?__blob=publicationFile","x")</f>
        <v>x</v>
      </c>
      <c r="EB132" s="112" t="str">
        <f>HYPERLINK("http://www.bamf.de/SharedDocs/Anlagen/EN/Publikationen/Broschueren/willkommen-in-deutschland-info-blaue-karte-eu_en.pdf?__blob=publicationFile","x")</f>
        <v>x</v>
      </c>
      <c r="EC132" s="112" t="str">
        <f>HYPERLINK("http://www.bamf.de/SharedDocs/Anlagen/EN/Publikationen/Flyer/Berufsbezsprachf-ESF-BAMF/berufsbezsprachf-esf-bamf.pdf?__blob=publicationFile","x")</f>
        <v>x</v>
      </c>
      <c r="ED132" s="111"/>
      <c r="EE132" s="111"/>
      <c r="EF132" s="111"/>
      <c r="EG132" s="111"/>
      <c r="EH132" s="111"/>
      <c r="EI132" s="111"/>
      <c r="EJ132" s="112"/>
      <c r="EK132" s="112" t="str">
        <f>HYPERLINK("http://fluechtlingsrat-bw.de/files/Dateien/Dokumente/Materialbestellung/2014-12-flyer%20arbeitserlaubnis%20EN%20WEB.pdf","x")</f>
        <v>x</v>
      </c>
      <c r="EL132" s="112" t="str">
        <f>HYPERLINK("http://www.aponet.de/englisch/20151019-fuer-den-notfall-wichtige-rufnummern-im-ueberblick.html","x")</f>
        <v>x</v>
      </c>
      <c r="EM132" s="112" t="str">
        <f>HYPERLINK("http://www.kvs-sachsen.de/fileadmin/img/Mitglieder/Asylbewerber/Allg-Informationen/Anlage_1_Englisch_LEK.pdf","x")</f>
        <v>x</v>
      </c>
      <c r="EN132" s="112" t="str">
        <f>HYPERLINK("http://www.medizin-hilft-fluechtlingen.de/images/Dokumente/gSch/gSch_eng.pdf","x")</f>
        <v>x</v>
      </c>
      <c r="EO132" s="112" t="str">
        <f>HYPERLINK("http://www.aponet.de/englisch/medical-care-for-asylum-seekers.html","x")</f>
        <v>x</v>
      </c>
      <c r="EP132" s="117" t="str">
        <f t="shared" si="45"/>
        <v>x</v>
      </c>
      <c r="EQ132" s="117" t="str">
        <f>HYPERLINK("http://www.armut-gesundheit.de/fileadmin/redakteur/dokumente/Anamnesebogen%20-%20englischnew.pdf","x")</f>
        <v>x</v>
      </c>
      <c r="ER132" s="112" t="str">
        <f>HYPERLINK("http://www.kvs-sachsen.de/fileadmin/img/Mitglieder/Asylbewerber/Allg-Informationen/Anlagen_2-1_2-2_Englisch_LEK.pdf","x")</f>
        <v>x</v>
      </c>
      <c r="ES132" s="111"/>
      <c r="ET132" s="111"/>
      <c r="EU132" s="112" t="str">
        <f>HYPERLINK("http://www.medizin-hilft-fluechtlingen.de/images/Dokumente/ein/ein_engl.pdf","x")</f>
        <v>x</v>
      </c>
      <c r="EV132" s="112" t="str">
        <f>HYPERLINK("http://www.adler-apotheke-hh.de/fileadmin/user_upload/PDF-Dateien/Dosierzettel_mehrsprachig_AUF_0_.pdf","x")</f>
        <v>x</v>
      </c>
      <c r="EW132" s="112" t="str">
        <f t="shared" si="36"/>
        <v>x</v>
      </c>
      <c r="EX132" s="112" t="str">
        <f>HYPERLINK("http://www.rki.de/DE/Content/Infekt/IfSG/Belehrungsbogen/belehrungsbogen_eltern_englisch.pdf?__blob=publicationFile","x")</f>
        <v>x</v>
      </c>
      <c r="EY132" s="112" t="str">
        <f>HYPERLINK("http://www.bzga.de/infomaterialien/?sid=236","x")</f>
        <v>x</v>
      </c>
      <c r="EZ132" s="112" t="str">
        <f>HYPERLINK("https://www.mh-hannover.de/fileadmin/mhh/bilder/aktuelles_presse/pressestelle/bilder/Pilzvergif_English.pdf","x")</f>
        <v>x</v>
      </c>
      <c r="FA132" s="112"/>
      <c r="FB132" s="112" t="str">
        <f>HYPERLINK("http://static.apotheken-umschau.de/media/gp/article_506373/bildwoerterbuch.pdf","x")</f>
        <v>x</v>
      </c>
      <c r="FC132" s="112" t="str">
        <f>HYPERLINK("https://www.studentenwerke.de/sites/default/files/gesundheitswoerterbuch.pdf","x")</f>
        <v>x</v>
      </c>
      <c r="FD132" s="112" t="str">
        <f t="shared" si="37"/>
        <v>x</v>
      </c>
      <c r="FE132" s="112" t="str">
        <f t="shared" si="46"/>
        <v>x</v>
      </c>
      <c r="FF132" s="112" t="str">
        <f>HYPERLINK("http://www.fuhlenhagen.com/pdf_dateien/uebertzungshilfe_aerzte_mehrsprachig.pdf","x")</f>
        <v>x</v>
      </c>
      <c r="FG132" s="112" t="str">
        <f>HYPERLINK("http://www.tipdoc.de/grafik/asyl/Gesundheitsheft_Asyl.pdf","x")</f>
        <v>x</v>
      </c>
      <c r="FH132" s="111"/>
      <c r="FI132" s="111"/>
      <c r="FJ132" s="112" t="str">
        <f>HYPERLINK("http://www.bundesgesundheitsministerium.de/fileadmin/dateien/Publikationen/Gesundheit/Broschueren/Ratgeber_Asylsuchende/Ratgeber_Asylsuchende_engl.pdf","x")</f>
        <v>x</v>
      </c>
      <c r="FK132" s="112" t="str">
        <f>HYPERLINK("http://www.rki.de/DE/Content/Infekt/Impfen/Materialien/Downloads-Impfkalender/Impfkalender_Englisch.pdf?__blob=publicationFile","x")</f>
        <v>x</v>
      </c>
      <c r="FL132" s="112" t="str">
        <f>HYPERLINK("http://www.ethno-medizinisches-zentrum.de/images/PDF-Files/impfwegweiser_englisch_2013_online.pdf","x")</f>
        <v>x</v>
      </c>
      <c r="FM132" s="112"/>
      <c r="FN132" s="112" t="str">
        <f>HYPERLINK("http://www.rki.de/DE/Content/Infekt/Impfen/Materialien/Glossar-Downloads/glossar-de-englisch.pdf?__blob=publicationFile","x")</f>
        <v>x</v>
      </c>
      <c r="FO132" s="112" t="str">
        <f>HYPERLINK("http://www.euro.who.int/__data/assets/pdf_file/0005/160754/VPDs_Signs-symptoms-complications.pdf?ua=1","x")</f>
        <v>x</v>
      </c>
      <c r="FP132" s="112" t="str">
        <f>HYPERLINK("http://www.rki.de/DE/Content/Infekt/Impfen/Materialien/Downloads-MMR/MMR-Impfinfo-englisch.pdf?__blob=publicationFile","x")</f>
        <v>x</v>
      </c>
      <c r="FQ132" s="112" t="str">
        <f>HYPERLINK("http://www.rki.de/DE/Content/InfAZ/P/Polio/Ausbruch_Syrien/Informationsblatt_Polio_Englisch.pdf?__blob=publicationFile","x")</f>
        <v>x</v>
      </c>
      <c r="FR132" s="112" t="str">
        <f>HYPERLINK("http://www.rki.de/DE/Content/Infekt/Impfen/Materialien/Downloads_HepA/Aufklaerung_HAV-Impfung_Englisch.pdf?__blob=publicationFile","x")</f>
        <v>x</v>
      </c>
      <c r="FS132" s="112" t="str">
        <f>HYPERLINK("http://www.rki.de/DE/Content/Infekt/Impfen/Materialien/Downloads_Pneumokokken/Aufklaerung_Pneumo-Impfung_Englisch.pdf?__blob=publicationFile","x")</f>
        <v>x</v>
      </c>
      <c r="FT132" s="112" t="str">
        <f>HYPERLINK("http://www.rki.de/DE/Content/Infekt/Impfen/Materialien/Downloads-DTaPIPVHibHepB/DTaPIPVHibHepB-englisch.pdf?__blob=publicationFile","x")</f>
        <v>x</v>
      </c>
      <c r="FU13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32" s="112" t="str">
        <f>HYPERLINK("http://www.rki.de/DE/Content/Infekt/Impfen/Materialien/Downloads-Tdap-IPV/Tdap-IPV-englisch.pdf?__blob=publicationFile","x")</f>
        <v>x</v>
      </c>
      <c r="FW132" s="112" t="str">
        <f>HYPERLINK("http://www.rki.de/DE/Content/Infekt/Impfen/Materialien/Downloads-Influenza_nasal/Influenza_nasal-englisch.pdf?__blob=publicationFile","x")</f>
        <v>x</v>
      </c>
      <c r="FX132" s="111"/>
      <c r="FY132" s="112"/>
      <c r="FZ132" s="112"/>
      <c r="GA132" s="111"/>
      <c r="GB132" s="111"/>
      <c r="GC132" s="111"/>
      <c r="GD132" s="112" t="str">
        <f>HYPERLINK("http://www.ethno-medizinisches-zentrum.de/images/PDF-Files/lf_diabete_englisch.pdf","x")</f>
        <v>x</v>
      </c>
      <c r="GE132" s="111"/>
      <c r="GF132" s="111"/>
      <c r="GG132" s="111"/>
      <c r="GH132" s="112"/>
      <c r="GI132" s="111"/>
      <c r="GJ132" s="111"/>
      <c r="GK132" s="112" t="str">
        <f>HYPERLINK("http://www.tipdoc.de/bus/pdf/hiv/HIV%20ESP_Webseite.pdf","x")</f>
        <v>x</v>
      </c>
      <c r="GL132" s="111"/>
      <c r="GM132" s="112" t="str">
        <f>HYPERLINK("http://www.rki.de/DE/Content/Infekt/Impfen/Materialien/Downloads-Influenza/Influenza-englisch.pdf?__blob=publicationFile","x")</f>
        <v>x</v>
      </c>
      <c r="GN132" s="111"/>
      <c r="GO132" s="112" t="str">
        <f>HYPERLINK("http://www.aponet.de/englisch/20151111-so-unterscheiden-sich-grippe-und-erkaeltung.html","x")</f>
        <v>x</v>
      </c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2" t="str">
        <f t="shared" si="38"/>
        <v>x</v>
      </c>
      <c r="HD132" s="112" t="str">
        <f t="shared" si="51"/>
        <v>x</v>
      </c>
      <c r="HE132" s="112" t="str">
        <f>HYPERLINK("https://www.zahnaerzte-wl.de/images/_PDF-suche/KZV_ZÄK/Anschreiben_Patienten_englisch.pdf","x")</f>
        <v>x</v>
      </c>
      <c r="HF132" s="112" t="str">
        <f>HYPERLINK("https://www.zahnaerzte-wl.de/images/_PDF-suche/KZV_ZÄK/Fragebogen_englisch.pdf","x")</f>
        <v>x</v>
      </c>
      <c r="HG132" s="112" t="str">
        <f>HYPERLINK("https://www.zahnaerzte-wl.de/images/_PDF-suche/KZV_ZÄK/Patientenerhebungsbogen_englisch.pdf","x")</f>
        <v>x</v>
      </c>
      <c r="HH132" s="112"/>
      <c r="HI132" s="112" t="str">
        <f>HYPERLINK("http://www.bvkm.de/fileadmin/web_data/Behinderung_und_Migration_englisch_2014.pdf","x")</f>
        <v>x</v>
      </c>
      <c r="HJ132" s="112"/>
      <c r="HK132" s="112" t="str">
        <f>HYPERLINK("http://www.psychenet.de/en/mental-health/knowledge/depression.html","x")</f>
        <v>x</v>
      </c>
      <c r="HL132" s="111"/>
      <c r="HM132" s="112" t="str">
        <f>HYPERLINK("http://www.psychenet.de/en/mental-health/knowledge/psychoses.html","x")</f>
        <v>x</v>
      </c>
      <c r="HN132" s="112" t="str">
        <f>HYPERLINK("http://www.psychenet.de/en/mental-health/knowledge/somatoform-disorders.html","x")</f>
        <v>x</v>
      </c>
      <c r="HO132" s="112" t="str">
        <f>HYPERLINK("http://www.psychenet.de/en/mental-health/knowledge/anorexia.html","x")</f>
        <v>x</v>
      </c>
      <c r="HP132" s="112" t="str">
        <f>HYPERLINK("http://www.psychenet.de/en/mental-health/knowledge/bulimia.html","x")</f>
        <v>x</v>
      </c>
      <c r="HQ132" s="112" t="str">
        <f>HYPERLINK("http://www.psychenet.de/en/mental-health/knowledge/bipolar-disorder.html","x")</f>
        <v>x</v>
      </c>
      <c r="HR132" s="112" t="str">
        <f>HYPERLINK("http://www.psychenet.de/en/mental-health/knowledge/panic-and-agoraphobia.html","x")</f>
        <v>x</v>
      </c>
      <c r="HS132" s="112" t="str">
        <f>HYPERLINK("http://www.psychenet.de/en/mental-health/knowledge/social-phobia.html","x")</f>
        <v>x</v>
      </c>
      <c r="HT132" s="112" t="str">
        <f>HYPERLINK("http://www.psychenet.de/en/mental-health/knowledge/generalized-anxiety-disorder.html","x")</f>
        <v>x</v>
      </c>
      <c r="HU132" s="112"/>
      <c r="HV132" s="112" t="str">
        <f>HYPERLINK("http://www.psychenet.de/en/mental-health/knowledge/information-and-support.html","x")</f>
        <v>x</v>
      </c>
      <c r="HW132" s="112"/>
      <c r="HX132" s="112" t="str">
        <f>HYPERLINK("http://www.bkk-psychisch-gesund.de/fileadmin/user_upload/Dokumente/Versicherte/Broschueren/Wegweiser_Psychotherapie_englisch.pdf","x")</f>
        <v>x</v>
      </c>
      <c r="HY132" s="112" t="str">
        <f t="shared" si="39"/>
        <v>x</v>
      </c>
      <c r="HZ132" s="112" t="str">
        <f t="shared" si="40"/>
        <v>x</v>
      </c>
      <c r="IA132" s="112" t="str">
        <f>HYPERLINK("http://peacefulheart.se/wp-content/uploads/2012/02/TTT_English_2013.pdf","x")</f>
        <v>x</v>
      </c>
      <c r="IB132" s="112"/>
      <c r="IC132" s="112"/>
      <c r="ID132" s="112" t="str">
        <f>HYPERLINK("http://www.susannestein.de/VIA-online/trauma-picture-book.pdf","x")</f>
        <v>x</v>
      </c>
      <c r="IE132" s="112" t="str">
        <f>HYPERLINK("http://www.psychenet.de/en/mental-health/knowledge/alcohol-in-adolescence.html","x")</f>
        <v>x</v>
      </c>
      <c r="IF132" s="112"/>
      <c r="IG132" s="112"/>
      <c r="IH132" s="111"/>
      <c r="II132" s="112" t="str">
        <f>HYPERLINK("http://www.caritas.de/hilfeundberatung/onlineberatung/suchtberatung/haeufiggestelltefragensucht/haeufiggestelltefragen-sucht","x")</f>
        <v>x</v>
      </c>
      <c r="IJ132" s="112" t="str">
        <f>HYPERLINK("http://www.dhs.de/fileadmin/user_upload/pdf/Broschueren/Ein_Angebot_an_alle-Englisch.pdf","x")</f>
        <v>x</v>
      </c>
      <c r="IK132" s="112" t="str">
        <f>HYPERLINK("http://www.bamf.de/SharedDocs/Anlagen/EN/Publikationen/Flyer/Lassen-Sie-Sich-Beraten/lassen-sie-sich-beraten.pdf?__blob=publicationFile","x")</f>
        <v>x</v>
      </c>
      <c r="IL132" s="115" t="str">
        <f>HYPERLINK("http://www.bamf.de/SharedDocs/Anlagen/EN/Publikationen/Flyer/flyer-erstorientierung-asylsuchende.pdf?__blob=publicationFile","x")</f>
        <v>x</v>
      </c>
      <c r="IM132" s="112" t="str">
        <f>HYPERLINK("http://www.frnrw.de/index.php/inhaltliche-themen/arbeitshilfen/item/3710-erstinfos-fuer-asylsuchende","x")</f>
        <v>x</v>
      </c>
      <c r="IN132" s="112" t="str">
        <f>HYPERLINK("http://www.bamf.de/SharedDocs/Anlagen/EN/Publikationen/Broschueren/willkommen-in-deutschland.pdf;jsessionid=2D72CB108E4AC02BBB9659E7D9A589B2.1_cid368?__blob=publicationFile","x")</f>
        <v>x</v>
      </c>
      <c r="IO132" s="112"/>
      <c r="IP132" s="112"/>
      <c r="IQ132" s="112" t="str">
        <f>HYPERLINK("http://www.bamf.de/SharedDocs/Anlagen/EN/Publikationen/Flyer/Lernen-Sie-Deutsch/lernen-sie-deutsch.pdf?__blob=publicationFile","x")</f>
        <v>x</v>
      </c>
      <c r="IR132" s="112" t="str">
        <f>HYPERLINK("http://www.asyl.net/fileadmin/user_upload/redaktion/Dokumente/Arbeitshilfen/150910_Wie_l%C3%A4uft_ein_Asylverfahren_ab_%C3%9Cberblickstext_Englisch.pdf","x")</f>
        <v>x</v>
      </c>
      <c r="IS132" s="111"/>
      <c r="IT132" s="112" t="str">
        <f>HYPERLINK("http://www.bamf.de/SharedDocs/Anlagen/EN/Publikationen/Flyer/ablauf-asylverfahren.pdf;jsessionid=DBD4307960D761935FCC3E0325D459A1.1_cid294?__blob=publicationFile","x")</f>
        <v>x</v>
      </c>
      <c r="IU132" s="111"/>
      <c r="IV132" s="112" t="str">
        <f>HYPERLINK("http://www.asyl.net/fileadmin/user_upload/infoblatt_anhoerung/Infoblatt_2015_en_fin.pdf","x")</f>
        <v>x</v>
      </c>
      <c r="IW132" s="112"/>
      <c r="IX132" s="112" t="str">
        <f>HYPERLINK("http://www.berlin.de/labo/willkommen-in-berlin/service/downloads/artikel.273193.php","x")</f>
        <v>x</v>
      </c>
      <c r="IY132" s="112" t="str">
        <f>HYPERLINK("http://www.bamf.de/SharedDocs/Anlagen/EN/Publikationen/Broschueren/broschuere-eat-a4.pdf?__blob=publicationFile","x")</f>
        <v>x</v>
      </c>
      <c r="IZ132" s="111"/>
      <c r="JA132" s="112" t="str">
        <f>HYPERLINK("http://fluechtlingsrat-bw.de/informationen-fuer-fluechtlinge.html","x")</f>
        <v>x</v>
      </c>
      <c r="JB132" s="111"/>
      <c r="JC132" s="112" t="str">
        <f>HYPERLINK("http://www.bamf.de/SharedDocs/Anlagen/EN/Publikationen/Flyer/20150223_ura2_en.pdf?__blob=publicationFile","x")</f>
        <v>x</v>
      </c>
      <c r="JD132" s="111"/>
      <c r="JE132" s="112"/>
      <c r="JF132" s="112"/>
      <c r="JG132" s="112" t="str">
        <f>HYPERLINK("http://www.bamf.de/SharedDocs/Anlagen/EN/Publikationen/Flyer/Ehegattennachzug/ehegattennachzug.pdf?__blob=publicationFile","x")</f>
        <v>x</v>
      </c>
      <c r="JH132" s="112" t="str">
        <f>HYPERLINK("https://familyreunion-syria.diplo.de/webportal/index.html#start","x")</f>
        <v>x</v>
      </c>
      <c r="JI132" s="112" t="str">
        <f>HYPERLINK("http://ec.europa.eu/dgs/home-affairs/what-we-do/networks/european_migration_network/docs/emn-glossary-en-version.pdf","x")</f>
        <v>x</v>
      </c>
      <c r="JJ132" s="112"/>
      <c r="JK132" s="112" t="str">
        <f>HYPERLINK("https://www.arbeitsagentur.de/web/wcm/idc/groups/public/documents/webdatei/mdaw/mjgz/~edisp/l6019022dstbai784628.pdf?_ba.sid=L6019022DSTBAI784625","x")</f>
        <v>x</v>
      </c>
      <c r="JL132" s="112" t="str">
        <f>HYPERLINK("http://www.kub-berlin.org/formularprojekt/de/englisch-antraege-und-anlagen-uebersetzungshilfen/","x")</f>
        <v>x</v>
      </c>
      <c r="JM132" s="112" t="str">
        <f>HYPERLINK("https://www.arbeitsagentur.de/web/content/DE/Formulare/Detail/index.htm?dfContentId=L6019022DSTBAI485740","x")</f>
        <v>x</v>
      </c>
      <c r="JN132" s="112"/>
      <c r="JO132" s="112"/>
      <c r="JP132" s="112"/>
      <c r="JQ132" s="112"/>
      <c r="JR132" s="112" t="str">
        <f t="shared" si="52"/>
        <v>x</v>
      </c>
      <c r="JS132" s="112"/>
      <c r="JT132" s="112" t="str">
        <f>HYPERLINK("http://www.b-umf.de/images/willkommen/willkommensbroschureenglisch-web.pdf","x")</f>
        <v>x</v>
      </c>
      <c r="JU132" s="111"/>
      <c r="JV132" s="111"/>
      <c r="JW132" s="112"/>
      <c r="JX132" s="112" t="str">
        <f>HYPERLINK("https://www.arbeitsagentur.de/web/wcm/idc/groups/public/documents/webdatei/mdaw/mjgz/~edisp/l6019022dstbai784636.pdf?_ba.sid=L6019022DSTBAI784633","x")</f>
        <v>x</v>
      </c>
      <c r="JY132" s="112"/>
      <c r="JZ132" s="112"/>
      <c r="KA132" s="112"/>
      <c r="KB132" s="112" t="str">
        <f>HYPERLINK("http://www.refugeeguide.de/dl/RefugeeGuide_en_925.pdf","x")</f>
        <v>x</v>
      </c>
      <c r="KC132" s="112" t="str">
        <f>HYPERLINK("http://www.gesetze-im-internet.de/englisch_gg/basic_law_for_the_federal_republic_of_germany.pdf","x")</f>
        <v>x</v>
      </c>
      <c r="KD132" s="112" t="str">
        <f t="shared" si="47"/>
        <v>x</v>
      </c>
      <c r="KE132" s="112" t="str">
        <f>HYPERLINK("http://www.frauenrechte.de/online/images/downloads/allgemein/TDF_Flyer_Women_Men.pdf","x")</f>
        <v>x</v>
      </c>
      <c r="KF132" s="112" t="str">
        <f>HYPERLINK("http://sab.landtag.sachsen.de/dokumente/landtagskurier/Grundwerte-A5-international_web_08012016.pdf","x")</f>
        <v>x</v>
      </c>
      <c r="KG132" s="112"/>
      <c r="KH132" s="112"/>
      <c r="KI132" s="112"/>
      <c r="KJ132" s="112"/>
      <c r="KK132" s="112"/>
      <c r="KL132" s="112"/>
      <c r="KM132" s="112"/>
      <c r="KN132" s="112"/>
      <c r="KO132" s="112"/>
      <c r="KP132" s="112"/>
      <c r="KQ132" s="112"/>
      <c r="KR132" s="112"/>
      <c r="KS132" s="112"/>
      <c r="KT132" s="112"/>
      <c r="KU132" s="112"/>
      <c r="KV132" s="112"/>
      <c r="KW132" s="112"/>
      <c r="KX132" s="112"/>
      <c r="KY132" s="112"/>
      <c r="KZ132" s="112"/>
      <c r="LA132" s="112"/>
      <c r="LB132" s="112"/>
      <c r="LC132" s="111"/>
      <c r="LD132" s="112"/>
      <c r="LE132" s="112"/>
      <c r="LF132" s="112"/>
      <c r="LG132" s="112"/>
      <c r="LH132" s="112"/>
      <c r="LI132" s="112"/>
      <c r="LJ132" s="112"/>
      <c r="LK132" s="112"/>
      <c r="LL132" s="112"/>
      <c r="LM132" s="112"/>
      <c r="LN132" s="112"/>
      <c r="LO132" s="112"/>
      <c r="LP132" s="112"/>
      <c r="LQ132" s="112"/>
      <c r="LR132" s="112"/>
      <c r="LS132" s="112"/>
      <c r="LT132" s="112"/>
      <c r="LU132" s="112"/>
      <c r="LV132" s="112"/>
      <c r="LW132" s="112"/>
      <c r="LX132" s="112"/>
      <c r="LY132" s="112"/>
      <c r="LZ132" s="112"/>
      <c r="MA132" s="112"/>
      <c r="MB132" s="112"/>
      <c r="MC132" s="111"/>
      <c r="MD132" s="112" t="str">
        <f>HYPERLINK("http://www.rki.de/DE/Content/Infekt/IfSG/Belehrungsbogen/belehrungsbogen_lebensmittel_englisch.pdf?__blob=publicationFile","x")</f>
        <v>x</v>
      </c>
      <c r="ME132" s="112"/>
      <c r="MF132" s="112" t="str">
        <f>HYPERLINK("http://www.gdv.de/wp-content/uploads/2016/01/Information_Brandschutz_Fluechtlingsheim_-Sicherheit_mehrsprachig.pdf","x")</f>
        <v>x</v>
      </c>
      <c r="MG132" s="112" t="str">
        <f>HYPERLINK("http://www.gdv.de/wp-content/uploads/2016/01/Information_Verhalten-im-Brandfall_mehrsprachig.pdf","x")</f>
        <v>x</v>
      </c>
      <c r="MH132" s="112" t="str">
        <f>HYPERLINK("http://www.aha-region.de/fileadmin/Download/pdf/aha_Plakat_Muelltrennung_en.pdf","x")</f>
        <v>x</v>
      </c>
      <c r="MI132" s="112" t="str">
        <f>HYPERLINK("http://www.kindersicherheit.de/pdf/2012_poster_achtunggiftig_8sprachig.pdf","x")</f>
        <v>x</v>
      </c>
    </row>
    <row r="133" spans="1:347" x14ac:dyDescent="0.25">
      <c r="A133" s="102" t="s">
        <v>140</v>
      </c>
      <c r="B133" s="127" t="s">
        <v>135</v>
      </c>
      <c r="C133" s="102"/>
      <c r="D133" s="102"/>
      <c r="E133" s="102"/>
      <c r="F133" s="102"/>
      <c r="G133" s="102"/>
      <c r="H133" s="102"/>
      <c r="I133" s="102"/>
      <c r="J133" s="102"/>
      <c r="K133" s="103"/>
      <c r="L133" s="111"/>
      <c r="M133" s="111"/>
      <c r="N133" s="112" t="str">
        <f>HYPERLINK("http://www.ag-fluechtlingshilfe-wetterau.de/uploads/infos/170.pdf","x")</f>
        <v>x</v>
      </c>
      <c r="O133" s="112"/>
      <c r="P133" s="112"/>
      <c r="Q133" s="112"/>
      <c r="R133" s="112"/>
      <c r="S133" s="112"/>
      <c r="T133" s="112"/>
      <c r="U133" s="112"/>
      <c r="V133" s="112"/>
      <c r="W133" s="111"/>
      <c r="X133" s="112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2"/>
      <c r="AP133" s="112"/>
      <c r="AQ133" s="112"/>
      <c r="AR133" s="112"/>
      <c r="AS133" s="112"/>
      <c r="AT133" s="112"/>
      <c r="AU133" s="112"/>
      <c r="AV133" s="113"/>
      <c r="AW133" s="114" t="str">
        <f t="shared" si="22"/>
        <v>x</v>
      </c>
      <c r="AX133" s="114" t="str">
        <f t="shared" si="23"/>
        <v>x</v>
      </c>
      <c r="AY133" s="111"/>
      <c r="AZ133" s="111"/>
      <c r="BA133" s="112" t="str">
        <f t="shared" si="24"/>
        <v>x</v>
      </c>
      <c r="BB133" s="112" t="str">
        <f t="shared" si="25"/>
        <v>x</v>
      </c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2" t="str">
        <f t="shared" si="26"/>
        <v>x</v>
      </c>
      <c r="BT133" s="112"/>
      <c r="BU133" s="111"/>
      <c r="BV133" s="112" t="str">
        <f t="shared" si="27"/>
        <v>x</v>
      </c>
      <c r="BW133" s="112"/>
      <c r="BX133" s="112"/>
      <c r="BY133" s="112"/>
      <c r="BZ133" s="112"/>
      <c r="CA133" s="112" t="str">
        <f t="shared" si="28"/>
        <v>x</v>
      </c>
      <c r="CB133" s="112" t="str">
        <f t="shared" si="29"/>
        <v>x</v>
      </c>
      <c r="CC133" s="112" t="str">
        <f t="shared" si="30"/>
        <v>x</v>
      </c>
      <c r="CD133" s="112"/>
      <c r="CE133" s="112"/>
      <c r="CF133" s="111"/>
      <c r="CG133" s="111"/>
      <c r="CH133" s="111"/>
      <c r="CI133" s="111"/>
      <c r="CJ133" s="112" t="str">
        <f>HYPERLINK("https://www.hilfetelefon.de/fileadmin/hilfetelefon_de/Materialien/weitere_werbemittel/Klappflyer_Vorder-_und_Rueckseite_opt2.pdf","x")</f>
        <v>x</v>
      </c>
      <c r="CK133" s="112" t="str">
        <f t="shared" si="31"/>
        <v>x</v>
      </c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5"/>
      <c r="DD133" s="112"/>
      <c r="DE133" s="112"/>
      <c r="DF133" s="112" t="str">
        <f t="shared" si="32"/>
        <v>x</v>
      </c>
      <c r="DG133" s="115" t="str">
        <f t="shared" si="33"/>
        <v>x</v>
      </c>
      <c r="DH133" s="112" t="str">
        <f t="shared" si="34"/>
        <v>x</v>
      </c>
      <c r="DI133" s="112" t="str">
        <f t="shared" si="35"/>
        <v>x</v>
      </c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2"/>
      <c r="DV133" s="112" t="str">
        <f>HYPERLINK("https://www.bmbf.de/pub/KAUSA_Elternratgeber_deutsch_chinesisch_bf.pdf","x")</f>
        <v>x</v>
      </c>
      <c r="DW133" s="111"/>
      <c r="DX133" s="111"/>
      <c r="DY133" s="111"/>
      <c r="DZ133" s="111"/>
      <c r="EA133" s="111"/>
      <c r="EB133" s="112"/>
      <c r="EC133" s="111"/>
      <c r="ED133" s="111"/>
      <c r="EE133" s="111"/>
      <c r="EF133" s="111"/>
      <c r="EG133" s="111"/>
      <c r="EH133" s="111"/>
      <c r="EI133" s="111"/>
      <c r="EJ133" s="112"/>
      <c r="EK133" s="112"/>
      <c r="EL133" s="111"/>
      <c r="EM133" s="112" t="str">
        <f>HYPERLINK("http://www.kvs-sachsen.de/fileadmin/img/Mitglieder/Asylbewerber/Allg-Informationen/Anlage_1_Chinesisch_LEK.pdf","x")</f>
        <v>x</v>
      </c>
      <c r="EN133" s="111"/>
      <c r="EO133" s="111"/>
      <c r="EP133" s="117" t="str">
        <f t="shared" si="45"/>
        <v>x</v>
      </c>
      <c r="EQ133" s="117" t="str">
        <f>HYPERLINK("http://www.medknowledge.de/migration/tipdoc/anamnesebogen/tipdoc_Anamnese_chin.pdf","x")</f>
        <v>x</v>
      </c>
      <c r="ER133" s="112" t="str">
        <f>HYPERLINK("http://www.kvs-sachsen.de/fileadmin/img/Mitglieder/Asylbewerber/Allg-Informationen/Anlagen_2-1_2-2_Chinesisch_LEK.pdf","x")</f>
        <v>x</v>
      </c>
      <c r="ES133" s="112"/>
      <c r="ET133" s="112"/>
      <c r="EU133" s="111"/>
      <c r="EV133" s="111"/>
      <c r="EW133" s="112" t="str">
        <f t="shared" si="36"/>
        <v>x</v>
      </c>
      <c r="EX133" s="111"/>
      <c r="EY133" s="111"/>
      <c r="EZ133" s="111"/>
      <c r="FA133" s="111"/>
      <c r="FB133" s="111"/>
      <c r="FC133" s="111"/>
      <c r="FD133" s="112" t="str">
        <f t="shared" si="37"/>
        <v>x</v>
      </c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2" t="str">
        <f t="shared" si="38"/>
        <v>x</v>
      </c>
      <c r="HD133" s="111"/>
      <c r="HE133" s="111"/>
      <c r="HF133" s="111"/>
      <c r="HG133" s="111"/>
      <c r="HH133" s="111"/>
      <c r="HI133" s="111"/>
      <c r="HJ133" s="111"/>
      <c r="HK133" s="112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2" t="str">
        <f t="shared" si="39"/>
        <v>x</v>
      </c>
      <c r="HZ133" s="112" t="str">
        <f t="shared" si="40"/>
        <v>x</v>
      </c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2"/>
      <c r="IL133" s="111"/>
      <c r="IM133" s="111"/>
      <c r="IN133" s="111"/>
      <c r="IO133" s="111"/>
      <c r="IP133" s="111"/>
      <c r="IQ133" s="112"/>
      <c r="IR133" s="112"/>
      <c r="IS133" s="111"/>
      <c r="IT133" s="111"/>
      <c r="IU133" s="111"/>
      <c r="IV133" s="112" t="str">
        <f>HYPERLINK("http://www.asyl.net/fileadmin/user_upload/infoblatt_anhoerung/Chin_final.pdf","x")</f>
        <v>x</v>
      </c>
      <c r="IW133" s="112"/>
      <c r="IX133" s="112"/>
      <c r="IY133" s="112" t="str">
        <f>HYPERLINK("http://www.bamf.de/SharedDocs/Anlagen/DE/Publikationen/Broschueren/broschuere-eat-a4-zh-chinesisch.pdf?__blob=publicationFile","x")</f>
        <v>x</v>
      </c>
      <c r="IZ133" s="111"/>
      <c r="JA133" s="111"/>
      <c r="JB133" s="111"/>
      <c r="JC133" s="112"/>
      <c r="JD133" s="111"/>
      <c r="JE133" s="112"/>
      <c r="JF133" s="112"/>
      <c r="JG133" s="111"/>
      <c r="JH133" s="111"/>
      <c r="JI133" s="111"/>
      <c r="JJ133" s="112"/>
      <c r="JK133" s="112"/>
      <c r="JL133" s="112"/>
      <c r="JM133" s="112"/>
      <c r="JN133" s="112"/>
      <c r="JO133" s="112"/>
      <c r="JP133" s="112"/>
      <c r="JQ133" s="112"/>
      <c r="JR133" s="112" t="str">
        <f t="shared" si="52"/>
        <v>x</v>
      </c>
      <c r="JS133" s="112"/>
      <c r="JT133" s="111"/>
      <c r="JU133" s="111"/>
      <c r="JV133" s="111"/>
      <c r="JW133" s="112"/>
      <c r="JX133" s="112"/>
      <c r="JY133" s="111"/>
      <c r="JZ133" s="111"/>
      <c r="KA133" s="111"/>
      <c r="KB133" s="111"/>
      <c r="KC133" s="111"/>
      <c r="KD133" s="111"/>
      <c r="KE133" s="111"/>
      <c r="KF133" s="111"/>
      <c r="KG133" s="111"/>
      <c r="KH133" s="111"/>
      <c r="KI133" s="111"/>
      <c r="KJ133" s="111"/>
      <c r="KK133" s="111"/>
      <c r="KL133" s="111"/>
      <c r="KM133" s="111"/>
      <c r="KN133" s="111"/>
      <c r="KO133" s="111"/>
      <c r="KP133" s="111"/>
      <c r="KQ133" s="111"/>
      <c r="KR133" s="111"/>
      <c r="KS133" s="111"/>
      <c r="KT133" s="111"/>
      <c r="KU133" s="111"/>
      <c r="KV133" s="111"/>
      <c r="KW133" s="111"/>
      <c r="KX133" s="111"/>
      <c r="KY133" s="111"/>
      <c r="KZ133" s="111"/>
      <c r="LA133" s="111"/>
      <c r="LB133" s="111"/>
      <c r="LC133" s="111"/>
      <c r="LD133" s="111"/>
      <c r="LE133" s="111"/>
      <c r="LF133" s="111"/>
      <c r="LG133" s="111"/>
      <c r="LH133" s="111"/>
      <c r="LI133" s="111"/>
      <c r="LJ133" s="111"/>
      <c r="LK133" s="111"/>
      <c r="LL133" s="111"/>
      <c r="LM133" s="111"/>
      <c r="LN133" s="111"/>
      <c r="LO133" s="111"/>
      <c r="LP133" s="111"/>
      <c r="LQ133" s="111"/>
      <c r="LR133" s="111"/>
      <c r="LS133" s="111"/>
      <c r="LT133" s="111"/>
      <c r="LU133" s="111"/>
      <c r="LV133" s="111"/>
      <c r="LW133" s="111"/>
      <c r="LX133" s="111"/>
      <c r="LY133" s="111"/>
      <c r="LZ133" s="111"/>
      <c r="MA133" s="111"/>
      <c r="MB133" s="111"/>
      <c r="MC133" s="111"/>
      <c r="MD133" s="111"/>
      <c r="ME133" s="111"/>
      <c r="MF133" s="111"/>
      <c r="MG133" s="111"/>
      <c r="MH133" s="111"/>
      <c r="MI133" s="111"/>
    </row>
    <row r="134" spans="1:347" x14ac:dyDescent="0.25">
      <c r="A134" s="102" t="s">
        <v>140</v>
      </c>
      <c r="B134" s="127" t="s">
        <v>476</v>
      </c>
      <c r="C134" s="102"/>
      <c r="D134" s="102"/>
      <c r="E134" s="102"/>
      <c r="F134" s="102"/>
      <c r="G134" s="102"/>
      <c r="H134" s="102"/>
      <c r="I134" s="102"/>
      <c r="J134" s="102"/>
      <c r="K134" s="103"/>
      <c r="L134" s="111"/>
      <c r="M134" s="111"/>
      <c r="N134" s="112"/>
      <c r="O134" s="112"/>
      <c r="P134" s="112"/>
      <c r="Q134" s="112"/>
      <c r="R134" s="112"/>
      <c r="S134" s="112"/>
      <c r="T134" s="112"/>
      <c r="U134" s="112"/>
      <c r="V134" s="112"/>
      <c r="W134" s="111"/>
      <c r="X134" s="112"/>
      <c r="Y134" s="111"/>
      <c r="Z134" s="111"/>
      <c r="AA134" s="111"/>
      <c r="AB134" s="111"/>
      <c r="AC134" s="111"/>
      <c r="AD134" s="112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2"/>
      <c r="AP134" s="112"/>
      <c r="AQ134" s="112"/>
      <c r="AR134" s="112"/>
      <c r="AS134" s="112"/>
      <c r="AT134" s="112"/>
      <c r="AU134" s="112"/>
      <c r="AV134" s="113"/>
      <c r="AW134" s="114" t="str">
        <f t="shared" si="22"/>
        <v>x</v>
      </c>
      <c r="AX134" s="114" t="str">
        <f t="shared" si="23"/>
        <v>x</v>
      </c>
      <c r="AY134" s="111"/>
      <c r="AZ134" s="111"/>
      <c r="BA134" s="112" t="str">
        <f t="shared" si="24"/>
        <v>x</v>
      </c>
      <c r="BB134" s="112" t="str">
        <f t="shared" si="25"/>
        <v>x</v>
      </c>
      <c r="BC134" s="111"/>
      <c r="BD134" s="111"/>
      <c r="BE134" s="111"/>
      <c r="BF134" s="111"/>
      <c r="BG134" s="111"/>
      <c r="BH134" s="112"/>
      <c r="BI134" s="112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2" t="str">
        <f t="shared" si="26"/>
        <v>x</v>
      </c>
      <c r="BT134" s="112"/>
      <c r="BU134" s="111"/>
      <c r="BV134" s="112" t="str">
        <f t="shared" si="27"/>
        <v>x</v>
      </c>
      <c r="BW134" s="112"/>
      <c r="BX134" s="112"/>
      <c r="BY134" s="112"/>
      <c r="BZ134" s="112"/>
      <c r="CA134" s="112" t="str">
        <f t="shared" si="28"/>
        <v>x</v>
      </c>
      <c r="CB134" s="112" t="str">
        <f t="shared" si="29"/>
        <v>x</v>
      </c>
      <c r="CC134" s="112" t="str">
        <f t="shared" si="30"/>
        <v>x</v>
      </c>
      <c r="CD134" s="112"/>
      <c r="CE134" s="112"/>
      <c r="CF134" s="111"/>
      <c r="CG134" s="112"/>
      <c r="CH134" s="112"/>
      <c r="CI134" s="112"/>
      <c r="CJ134" s="112"/>
      <c r="CK134" s="112" t="str">
        <f t="shared" si="31"/>
        <v>x</v>
      </c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5"/>
      <c r="DD134" s="112"/>
      <c r="DE134" s="112"/>
      <c r="DF134" s="112" t="str">
        <f t="shared" si="32"/>
        <v>x</v>
      </c>
      <c r="DG134" s="115" t="str">
        <f t="shared" si="33"/>
        <v>x</v>
      </c>
      <c r="DH134" s="112" t="str">
        <f t="shared" si="34"/>
        <v>x</v>
      </c>
      <c r="DI134" s="112" t="str">
        <f t="shared" si="35"/>
        <v>x</v>
      </c>
      <c r="DJ134" s="112" t="str">
        <f>HYPERLINK("http://www.bibliomedia.ch/de/angebote/dokumente/Glossar_tamil.pdf","x")</f>
        <v>x</v>
      </c>
      <c r="DK134" s="112"/>
      <c r="DL134" s="112"/>
      <c r="DM134" s="112"/>
      <c r="DN134" s="112"/>
      <c r="DO134" s="112"/>
      <c r="DP134" s="111"/>
      <c r="DQ134" s="112"/>
      <c r="DR134" s="112"/>
      <c r="DS134" s="112"/>
      <c r="DT134" s="112"/>
      <c r="DU134" s="112"/>
      <c r="DV134" s="112"/>
      <c r="DW134" s="111"/>
      <c r="DX134" s="111"/>
      <c r="DY134" s="111"/>
      <c r="DZ134" s="112"/>
      <c r="EA134" s="112"/>
      <c r="EB134" s="112"/>
      <c r="EC134" s="112"/>
      <c r="ED134" s="111"/>
      <c r="EE134" s="111"/>
      <c r="EF134" s="111"/>
      <c r="EG134" s="111"/>
      <c r="EH134" s="111"/>
      <c r="EI134" s="111"/>
      <c r="EJ134" s="112"/>
      <c r="EK134" s="112"/>
      <c r="EL134" s="115"/>
      <c r="EM134" s="112"/>
      <c r="EN134" s="112"/>
      <c r="EO134" s="111"/>
      <c r="EP134" s="117"/>
      <c r="EQ134" s="117"/>
      <c r="ER134" s="112"/>
      <c r="ES134" s="111"/>
      <c r="ET134" s="111"/>
      <c r="EU134" s="111"/>
      <c r="EV134" s="112"/>
      <c r="EW134" s="112" t="str">
        <f t="shared" si="36"/>
        <v>x</v>
      </c>
      <c r="EX134" s="112"/>
      <c r="EY134" s="112"/>
      <c r="EZ134" s="112"/>
      <c r="FA134" s="112"/>
      <c r="FB134" s="116"/>
      <c r="FC134" s="111"/>
      <c r="FD134" s="112" t="str">
        <f t="shared" si="37"/>
        <v>x</v>
      </c>
      <c r="FE134" s="112"/>
      <c r="FF134" s="112"/>
      <c r="FG134" s="111"/>
      <c r="FH134" s="111"/>
      <c r="FI134" s="111"/>
      <c r="FJ134" s="112"/>
      <c r="FK134" s="112"/>
      <c r="FL134" s="112"/>
      <c r="FM134" s="112"/>
      <c r="FN134" s="112"/>
      <c r="FO134" s="112"/>
      <c r="FP134" s="112"/>
      <c r="FQ134" s="112"/>
      <c r="FR134" s="112"/>
      <c r="FS134" s="112"/>
      <c r="FT134" s="112"/>
      <c r="FU134" s="112"/>
      <c r="FV134" s="112"/>
      <c r="FW134" s="112"/>
      <c r="FX134" s="112"/>
      <c r="FY134" s="112"/>
      <c r="FZ134" s="112"/>
      <c r="GA134" s="112"/>
      <c r="GB134" s="112"/>
      <c r="GC134" s="112"/>
      <c r="GD134" s="115"/>
      <c r="GE134" s="112"/>
      <c r="GF134" s="112"/>
      <c r="GG134" s="112"/>
      <c r="GH134" s="112"/>
      <c r="GI134" s="112"/>
      <c r="GJ134" s="112"/>
      <c r="GK134" s="111"/>
      <c r="GL134" s="111"/>
      <c r="GM134" s="112"/>
      <c r="GN134" s="112"/>
      <c r="GO134" s="112"/>
      <c r="GP134" s="112"/>
      <c r="GQ134" s="112"/>
      <c r="GR134" s="111"/>
      <c r="GS134" s="111"/>
      <c r="GT134" s="115"/>
      <c r="GU134" s="112"/>
      <c r="GV134" s="112"/>
      <c r="GW134" s="112"/>
      <c r="GX134" s="112"/>
      <c r="GY134" s="112"/>
      <c r="GZ134" s="112"/>
      <c r="HA134" s="112"/>
      <c r="HB134" s="112"/>
      <c r="HC134" s="112" t="str">
        <f t="shared" si="38"/>
        <v>x</v>
      </c>
      <c r="HD134" s="112"/>
      <c r="HE134" s="112"/>
      <c r="HF134" s="112"/>
      <c r="HG134" s="112"/>
      <c r="HH134" s="112"/>
      <c r="HI134" s="112"/>
      <c r="HJ134" s="112"/>
      <c r="HK134" s="112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2" t="str">
        <f t="shared" si="39"/>
        <v>x</v>
      </c>
      <c r="HZ134" s="112" t="str">
        <f t="shared" si="40"/>
        <v>x</v>
      </c>
      <c r="IA134" s="115"/>
      <c r="IB134" s="115"/>
      <c r="IC134" s="115"/>
      <c r="ID134" s="115"/>
      <c r="IE134" s="115"/>
      <c r="IF134" s="115"/>
      <c r="IG134" s="115"/>
      <c r="IH134" s="112"/>
      <c r="II134" s="115"/>
      <c r="IJ134" s="115"/>
      <c r="IK134" s="112"/>
      <c r="IL134" s="111"/>
      <c r="IM134" s="111"/>
      <c r="IN134" s="112"/>
      <c r="IO134" s="112"/>
      <c r="IP134" s="111"/>
      <c r="IQ134" s="112"/>
      <c r="IR134" s="112"/>
      <c r="IS134" s="111"/>
      <c r="IT134" s="111"/>
      <c r="IU134" s="111"/>
      <c r="IV134" s="112"/>
      <c r="IW134" s="112"/>
      <c r="IX134" s="112"/>
      <c r="IY134" s="112" t="str">
        <f>HYPERLINK("http://www.bamf.de/SharedDocs/Anlagen/DE/Publikationen/Broschueren/broschuere-eat-a4-ta-tamilisch.pdf?__blob=publicationFile","x")</f>
        <v>x</v>
      </c>
      <c r="IZ134" s="111"/>
      <c r="JA134" s="111"/>
      <c r="JB134" s="111"/>
      <c r="JC134" s="112"/>
      <c r="JD134" s="111"/>
      <c r="JE134" s="112"/>
      <c r="JF134" s="112"/>
      <c r="JG134" s="112"/>
      <c r="JH134" s="112"/>
      <c r="JI134" s="111"/>
      <c r="JJ134" s="112"/>
      <c r="JK134" s="112"/>
      <c r="JL134" s="112"/>
      <c r="JM134" s="112"/>
      <c r="JN134" s="112"/>
      <c r="JO134" s="112"/>
      <c r="JP134" s="112"/>
      <c r="JQ134" s="112"/>
      <c r="JR134" s="112" t="str">
        <f t="shared" si="52"/>
        <v>x</v>
      </c>
      <c r="JS134" s="112"/>
      <c r="JT134" s="111"/>
      <c r="JU134" s="111"/>
      <c r="JV134" s="111"/>
      <c r="JW134" s="112"/>
      <c r="JX134" s="112"/>
      <c r="JY134" s="112"/>
      <c r="JZ134" s="112"/>
      <c r="KA134" s="112"/>
      <c r="KB134" s="112"/>
      <c r="KC134" s="112"/>
      <c r="KD134" s="112"/>
      <c r="KE134" s="112"/>
      <c r="KF134" s="111"/>
      <c r="KG134" s="112"/>
      <c r="KH134" s="112"/>
      <c r="KI134" s="112"/>
      <c r="KJ134" s="112"/>
      <c r="KK134" s="112"/>
      <c r="KL134" s="112"/>
      <c r="KM134" s="112"/>
      <c r="KN134" s="112"/>
      <c r="KO134" s="112"/>
      <c r="KP134" s="112"/>
      <c r="KQ134" s="112"/>
      <c r="KR134" s="112"/>
      <c r="KS134" s="112"/>
      <c r="KT134" s="112"/>
      <c r="KU134" s="112"/>
      <c r="KV134" s="112"/>
      <c r="KW134" s="112"/>
      <c r="KX134" s="112"/>
      <c r="KY134" s="112"/>
      <c r="KZ134" s="112"/>
      <c r="LA134" s="112"/>
      <c r="LB134" s="112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2"/>
      <c r="ME134" s="111"/>
      <c r="MF134" s="111"/>
      <c r="MG134" s="111"/>
      <c r="MH134" s="111"/>
      <c r="MI134" s="112"/>
    </row>
    <row r="135" spans="1:347" x14ac:dyDescent="0.25">
      <c r="A135" s="102" t="s">
        <v>407</v>
      </c>
      <c r="B135" s="127" t="s">
        <v>5</v>
      </c>
      <c r="C135" s="102"/>
      <c r="D135" s="102"/>
      <c r="E135" s="102"/>
      <c r="F135" s="102"/>
      <c r="G135" s="102"/>
      <c r="H135" s="102"/>
      <c r="I135" s="102"/>
      <c r="J135" s="102"/>
      <c r="K135" s="103"/>
      <c r="L135" s="111"/>
      <c r="M135" s="111"/>
      <c r="N135" s="111"/>
      <c r="O135" s="111"/>
      <c r="P135" s="112" t="str">
        <f>HYPERLINK("http://www.awb-ahrweiler.de/admin/data/ddownload/Abfall%20Sonderhinweise-Franzoesisch%202015.pdf","x")</f>
        <v>x</v>
      </c>
      <c r="Q135" s="111"/>
      <c r="R135" s="111"/>
      <c r="S135" s="111"/>
      <c r="T135" s="111"/>
      <c r="U135" s="112" t="str">
        <f>HYPERLINK("http://www.ag-fluechtlingshilfe-wetterau.de/uploads/infos/191.pdf","x")</f>
        <v>x</v>
      </c>
      <c r="V135" s="112"/>
      <c r="W135" s="112"/>
      <c r="X135" s="111"/>
      <c r="Y135" s="112"/>
      <c r="Z135" s="112"/>
      <c r="AA135" s="112"/>
      <c r="AB135" s="112"/>
      <c r="AC135" s="112"/>
      <c r="AD135" s="112" t="str">
        <f>HYPERLINK("http://www.rundfunkbeitrag.de/e175/e1632/Informationsflyer_Buergerinnen_und_Buerger_franzoesisch.pdf","x")</f>
        <v>x</v>
      </c>
      <c r="AE135" s="112"/>
      <c r="AF135" s="112" t="str">
        <f>HYPERLINK("http://www.kub-berlin.org/formularprojekt/franzoesisch-antraege-und-anlagen-uebersetzungshilfen/","x")</f>
        <v>x</v>
      </c>
      <c r="AG135" s="112" t="str">
        <f>HYPERLINK("http://asyl-in-moenchengladbach.de/wp-content/uploads/2015/11/100711-Flyer_FR.pdf","x")</f>
        <v>x</v>
      </c>
      <c r="AH135" s="112" t="str">
        <f>HYPERLINK("http://sghanstedt.elbnetz.com/ueber-uns/","x")</f>
        <v>x</v>
      </c>
      <c r="AI135" s="111"/>
      <c r="AJ135" s="111"/>
      <c r="AK135" s="112" t="str">
        <f>HYPERLINK("https://www.vrsinfo.de/fileadmin/Dateien/downloadcenter/Folder_MobilPassTicket_Refugees01012016.pdf","x")</f>
        <v>x</v>
      </c>
      <c r="AL135" s="112" t="str">
        <f>HYPERLINK("https://www.vrsinfo.de/fileadmin/Dateien/downloadcenter/Willkommen_im_VRS2016_Druck.pdf","x")</f>
        <v>x</v>
      </c>
      <c r="AM135" s="112"/>
      <c r="AN135" s="112" t="str">
        <f>HYPERLINK("https://www.deutschebahn.com/file/de/2191748/eYdgZpqGpp5sMJ2KMKtg2r8aE4Q/10123812/data/infos_fuer_fluechtlinge.pdf","x")</f>
        <v>x</v>
      </c>
      <c r="AO135" s="112"/>
      <c r="AP135" s="112"/>
      <c r="AQ135" s="112"/>
      <c r="AR135" s="112"/>
      <c r="AS135" s="112"/>
      <c r="AT135" s="112"/>
      <c r="AU135" s="112"/>
      <c r="AV135" s="114" t="str">
        <f>HYPERLINK("http://www.studentenwerke.de/de/content/illustriertes-wohnheimw%C3%B6rterbuch-1","x")</f>
        <v>x</v>
      </c>
      <c r="AW135" s="114" t="str">
        <f t="shared" si="22"/>
        <v>x</v>
      </c>
      <c r="AX135" s="114" t="str">
        <f t="shared" si="23"/>
        <v>x</v>
      </c>
      <c r="AY135" s="111"/>
      <c r="AZ135" s="111"/>
      <c r="BA135" s="112" t="str">
        <f t="shared" si="24"/>
        <v>x</v>
      </c>
      <c r="BB135" s="112" t="str">
        <f t="shared" si="25"/>
        <v>x</v>
      </c>
      <c r="BC135" s="111"/>
      <c r="BD135" s="111"/>
      <c r="BE135" s="111"/>
      <c r="BF135" s="112" t="str">
        <f>HYPERLINK("http://fi-lohmar-siegburg.de/data/documents/communicationboard-arabic-french.pdf","x")</f>
        <v>x</v>
      </c>
      <c r="BG135" s="111"/>
      <c r="BH135" s="112" t="str">
        <f>HYPERLINK("http://www.refugeephrasebook.de/pdf/germany150920.pdf","x")</f>
        <v>x</v>
      </c>
      <c r="BI135" s="112" t="str">
        <f>HYPERLINK("https://www.advanced-online.eu/downloads/RefugeePhrasebookCards_German-French.pdf","x")</f>
        <v>x</v>
      </c>
      <c r="BJ135" s="112" t="str">
        <f>HYPERLINK("http://www.klett-sprachen.de/download/8638/W100255_Refugees_Welcome_Wortschatz.pdf","x")</f>
        <v>x</v>
      </c>
      <c r="BK135" s="111"/>
      <c r="BL135" s="112" t="str">
        <f>HYPERLINK("http://www.bundessprachenamt.de/deutsch/wir_ueber_uns/nachrichten/2015/20151103/Verständigungshilfe_Französisch_26_11_2015.pdf","x")</f>
        <v>x</v>
      </c>
      <c r="BM135" s="111"/>
      <c r="BN135" s="111"/>
      <c r="BO135" s="111"/>
      <c r="BP135" s="111"/>
      <c r="BQ135" s="111"/>
      <c r="BR135" s="111"/>
      <c r="BS135" s="112" t="str">
        <f t="shared" si="26"/>
        <v>x</v>
      </c>
      <c r="BT135" s="112"/>
      <c r="BU135" s="111"/>
      <c r="BV135" s="112" t="str">
        <f t="shared" si="27"/>
        <v>x</v>
      </c>
      <c r="BW135" s="112" t="str">
        <f>HYPERLINK("http://www.welcomegrooves.de/wp-content/uploads/2015/11/welcomegrooves-de-franzoesisch.pdf","x")</f>
        <v>x</v>
      </c>
      <c r="BX135" s="112"/>
      <c r="BY135" s="112"/>
      <c r="BZ135" s="112" t="str">
        <f>HYPERLINK("http://fluechtlingshilfe-nettetal.de/ausbildung/video-sprachkurse-deutsch-fuer-fluechtlinge/video-sprachkurs-franzoesisch-deutsch/","x")</f>
        <v>x</v>
      </c>
      <c r="CA135" s="112" t="str">
        <f t="shared" si="28"/>
        <v>x</v>
      </c>
      <c r="CB135" s="112" t="str">
        <f t="shared" si="29"/>
        <v>x</v>
      </c>
      <c r="CC135" s="112" t="str">
        <f t="shared" si="30"/>
        <v>x</v>
      </c>
      <c r="CD135" s="112"/>
      <c r="CE135" s="112"/>
      <c r="CF135" s="111"/>
      <c r="CG135" s="111"/>
      <c r="CH135" s="112" t="str">
        <f>HYPERLINK("http://mifkjf.rlp.de/fileadmin/mifkjf/Frauen/Gewalt_gegen_Frauen/Downloads/Broschueren_Flyer/Flyer_Gewalt_franzoesisch.pdf","x")</f>
        <v>x</v>
      </c>
      <c r="CI135" s="112" t="str">
        <f>HYPERLINK("https://www.hilfetelefon.de/fileadmin/hilfetelefon_de/Materialien/Flyer/Infoflyer_Hilfetelefon_Gewalt_gegen_Frauen141105_b2.pdf","x")</f>
        <v>x</v>
      </c>
      <c r="CJ135" s="112" t="str">
        <f>HYPERLINK("https://www.hilfetelefon.de/fileadmin/hilfetelefon_de/Materialien/weitere_werbemittel/Klappflyer_Vorder-_und_Rueckseite_opt2.pdf","x")</f>
        <v>x</v>
      </c>
      <c r="CK135" s="112" t="str">
        <f t="shared" si="31"/>
        <v>x</v>
      </c>
      <c r="CL135" s="112"/>
      <c r="CM135" s="112"/>
      <c r="CN135" s="112"/>
      <c r="CO135" s="112"/>
      <c r="CP135" s="112" t="str">
        <f>HYPERLINK("http://www.schwanger-und-viele-fragen.de/fr/","x")</f>
        <v>x</v>
      </c>
      <c r="CQ135" s="112"/>
      <c r="CR135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35" s="112" t="str">
        <f>HYPERLINK("http://en.beststart.org/for_parents/are-you-looking-resources-languages-other-english-and-french","x")</f>
        <v>x</v>
      </c>
      <c r="CT135" s="112"/>
      <c r="CU135" s="112" t="str">
        <f>HYPERLINK("http://www.profamilia.de/fileadmin/publikationen/Erwachsene/mehrsprachig/Bro_Verhuetung_frz_141002.pdf","x")</f>
        <v>x</v>
      </c>
      <c r="CV135" s="112"/>
      <c r="CW135" s="112"/>
      <c r="CX135" s="112"/>
      <c r="CY135" s="112" t="str">
        <f>HYPERLINK("http://www.caritas-schwarzwald-alb-donau.de/68854.html","x")</f>
        <v>x</v>
      </c>
      <c r="CZ135" s="112"/>
      <c r="DA135" s="112"/>
      <c r="DB135" s="112"/>
      <c r="DC135" s="115" t="str">
        <f>HYPERLINK("http://www.kindersicherheit.de/pdf/2013_BAG_Tomi_and_Mila_Deutsch_Francais.pdf","x")</f>
        <v>x</v>
      </c>
      <c r="DD135" s="112"/>
      <c r="DE135" s="112"/>
      <c r="DF135" s="112" t="str">
        <f t="shared" si="32"/>
        <v>x</v>
      </c>
      <c r="DG135" s="115" t="str">
        <f t="shared" si="33"/>
        <v>x</v>
      </c>
      <c r="DH135" s="112" t="str">
        <f t="shared" si="34"/>
        <v>x</v>
      </c>
      <c r="DI135" s="112" t="str">
        <f t="shared" si="35"/>
        <v>x</v>
      </c>
      <c r="DJ135" s="112"/>
      <c r="DK135" s="112"/>
      <c r="DL135" s="112"/>
      <c r="DM135" s="112"/>
      <c r="DN135" s="112"/>
      <c r="DO135" s="112"/>
      <c r="DP135" s="111"/>
      <c r="DQ135" s="111"/>
      <c r="DR135" s="112" t="str">
        <f>HYPERLINK("https://broschueren.nordrheinwestfalendirekt.de/broschuerenservice/msw/fr-das-schulsystem-in-nordrhein-westfalen-einfach-und-schnell-erklaert/1903","x")</f>
        <v>x</v>
      </c>
      <c r="DS135" s="112" t="str">
        <f>HYPERLINK("http://bildung.koeln.de/materialbibliothek/download.php?idx=6f75d59e17e7868506c0a48e6f7a44f2","x")</f>
        <v>x</v>
      </c>
      <c r="DT135" s="112" t="str">
        <f>HYPERLINK("http://bildung.koeln.de/materialbibliothek/download.php?idx=bde72be3f1bc4c51a4b0bcfe4a4187c4","x")</f>
        <v>x</v>
      </c>
      <c r="DU135" s="112"/>
      <c r="DV135" s="112" t="str">
        <f>HYPERLINK("https://www.bmbf.de/pub/KAUSA_Elternratgeber_deutsch_franzoesisch.pdf","x")</f>
        <v>x</v>
      </c>
      <c r="DW135" s="111"/>
      <c r="DX135" s="112" t="str">
        <f>HYPERLINK("http://www.wissenschaft.nrw.de/studium/informieren/informationen-fuer-fluechtlinge-die-in-nrw-studieren-moechten/","x")</f>
        <v>x</v>
      </c>
      <c r="DY135" s="111"/>
      <c r="DZ135" s="112" t="str">
        <f>HYPERLINK("http://www.bamf.de/SharedDocs/Anlagen/DE/Publikationen/Flyer/AnerkennungBerufsabschluss/anerkennung-berufsabschluss_fr.pdf?__blob=publicationFile","x")</f>
        <v>x</v>
      </c>
      <c r="EA135" s="112" t="str">
        <f>HYPERLINK("http://www.bamf.de/SharedDocs/Anlagen/DE/Publikationen/Flyer/AnerkennungBerufsabschluss/anerkennung-berufsabschluss_ausland_fr.pdf?__blob=publicationFile","x")</f>
        <v>x</v>
      </c>
      <c r="EB135" s="112" t="str">
        <f>HYPERLINK("http://www.bamf.de/SharedDocs/Anlagen/DE/Publikationen/Broschueren/willkommen-in-deutschland-info-blaue-karte-eu_fr.pdf?__blob=publicationFile","x")</f>
        <v>x</v>
      </c>
      <c r="EC135" s="112" t="str">
        <f>HYPERLINK("http://www.bamf.de/SharedDocs/Anlagen/DE/Publikationen/Flyer/Berufsbezsprachf-ESF-BAMF/berufsbezsprachf-esf-bamf_fr.pdf?__blob=publicationFile","x")</f>
        <v>x</v>
      </c>
      <c r="ED135" s="111"/>
      <c r="EE135" s="111"/>
      <c r="EF135" s="111"/>
      <c r="EG135" s="111"/>
      <c r="EH135" s="111"/>
      <c r="EI135" s="111"/>
      <c r="EJ135" s="112"/>
      <c r="EK135" s="112" t="str">
        <f>HYPERLINK("http://fluechtlingsrat-bw.de/files/Dateien/Dokumente/Materialbestellung/2014-12-flyer%20arbeitserlaubnis%20FRZ%20WEB.pdf","x")</f>
        <v>x</v>
      </c>
      <c r="EL135" s="111"/>
      <c r="EM135" s="112" t="str">
        <f>HYPERLINK("http://www.kvs-sachsen.de/fileadmin/img/Mitglieder/Asylbewerber/Allg-Informationen/Anlage_1_Franzoesisch_LEK.pdf","x")</f>
        <v>x</v>
      </c>
      <c r="EN135" s="112" t="str">
        <f>HYPERLINK("http://www.medizin-hilft-fluechtlingen.de/images/Dokumente/gSch/gSch_fra.pdf","x")</f>
        <v>x</v>
      </c>
      <c r="EO135" s="112"/>
      <c r="EP135" s="117" t="str">
        <f t="shared" ref="EP135:EP141" si="53">HYPERLINK("http://www.medi-bild.de/pdf/anamnese/Welche_Sprache.pdf","x")</f>
        <v>x</v>
      </c>
      <c r="EQ135" s="117" t="str">
        <f>HYPERLINK("http://www.armut-gesundheit.de/fileadmin/redakteur/dokumente/Anamnesebogen%20-%20franz%C3%B6sischnew.pdf","x")</f>
        <v>x</v>
      </c>
      <c r="ER135" s="112" t="str">
        <f>HYPERLINK("http://www.kvs-sachsen.de/fileadmin/img/Mitglieder/Asylbewerber/Allg-Informationen/Anlagen_2-1_2-2_Franzoesisch_LEK.pdf","x")</f>
        <v>x</v>
      </c>
      <c r="ES135" s="111"/>
      <c r="ET135" s="111"/>
      <c r="EU135" s="112" t="str">
        <f>HYPERLINK("http://medizin-hilft-fluechtlingen.de/images/Dokumente/ein/ein_per.pdf","x")</f>
        <v>x</v>
      </c>
      <c r="EV135" s="112" t="str">
        <f>HYPERLINK("http://www.adler-apotheke-hh.de/fileadmin/user_upload/PDF-Dateien/Dosierzettel_mehrsprachig_AUF_0_.pdf","x")</f>
        <v>x</v>
      </c>
      <c r="EW135" s="112" t="str">
        <f t="shared" si="36"/>
        <v>x</v>
      </c>
      <c r="EX135" s="112" t="str">
        <f>HYPERLINK("http://www.rki.de/DE/Content/Infekt/IfSG/Belehrungsbogen/belehrungsbogen_eltern_franzoesisch.pdf?__blob=publicationFile","x")</f>
        <v>x</v>
      </c>
      <c r="EY135" s="111"/>
      <c r="EZ135" s="112" t="str">
        <f>HYPERLINK("https://www.mh-hannover.de/fileadmin/mhh/bilder/aktuelles_presse/pressestelle/bilder/Pilzvergif_franzoesisch.pdf","x")</f>
        <v>x</v>
      </c>
      <c r="FA135" s="112"/>
      <c r="FB135" s="112" t="str">
        <f>HYPERLINK("http://static.apotheken-umschau.de/media/gp/article_506373/bildwoerterbuch.pdf","x")</f>
        <v>x</v>
      </c>
      <c r="FC135" s="111"/>
      <c r="FD135" s="112" t="str">
        <f t="shared" si="37"/>
        <v>x</v>
      </c>
      <c r="FE135" s="112" t="str">
        <f t="shared" ref="FE135:FE142" si="54">HYPERLINK("http://sghanstedt.elbnetz.com/ueber-uns/","x")</f>
        <v>x</v>
      </c>
      <c r="FF135" s="111"/>
      <c r="FG135" s="112" t="str">
        <f>HYPERLINK("http://www.tipdoc.de/grafik/asyl/Gesundheitsheft_Asyl.pdf","x")</f>
        <v>x</v>
      </c>
      <c r="FH135" s="111"/>
      <c r="FI135" s="111"/>
      <c r="FJ135" s="112"/>
      <c r="FK135" s="112" t="str">
        <f>HYPERLINK("http://www.rki.de/DE/Content/Infekt/Impfen/Materialien/Downloads-Impfkalender/Impfkalender_Franzoesisch.pdf?__blob=publicationFile","x")</f>
        <v>x</v>
      </c>
      <c r="FL135" s="112" t="str">
        <f>HYPERLINK("http://www.ethno-medizinisches-zentrum.de/images/PDF-Files/impfwegweiser_franzosisch_2013_online.pdf","x")</f>
        <v>x</v>
      </c>
      <c r="FM135" s="112"/>
      <c r="FN135" s="112" t="str">
        <f>HYPERLINK("http://www.rki.de/DE/Content/Infekt/Impfen/Materialien/Glossar-Downloads/glossar-de-franzoesisch.pdf?__blob=publicationFile","x")</f>
        <v>x</v>
      </c>
      <c r="FO135" s="112" t="str">
        <f>HYPERLINK("http://www.euro.who.int/__data/assets/pdf_file/0012/162300/VPD-Signs,-symptoms-and-complications-FRE.pdf","x")</f>
        <v>x</v>
      </c>
      <c r="FP135" s="112" t="str">
        <f>HYPERLINK("http://www.rki.de/DE/Content/Infekt/Impfen/Materialien/Downloads-MMR/MMR-Impfinfo-franzoesisch.pdf?__blob=publicationFile","x")</f>
        <v>x</v>
      </c>
      <c r="FQ135" s="112" t="str">
        <f>HYPERLINK("http://www.rki.de/DE/Content/InfAZ/P/Polio/Ausbruch_Syrien/Informationsblatt_Polio_Franzoesisch.pdf?__blob=publicationFile","x")</f>
        <v>x</v>
      </c>
      <c r="FR135" s="112" t="str">
        <f>HYPERLINK("http://www.rki.de/DE/Content/Infekt/Impfen/Materialien/Downloads_HepA/Aufklaerung_HAV-Impfung_Franzoesisch.pdf?__blob=publicationFile","x")</f>
        <v>x</v>
      </c>
      <c r="FS135" s="112" t="str">
        <f>HYPERLINK("http://www.rki.de/DE/Content/Infekt/Impfen/Materialien/Downloads_Pneumokokken/Aufklaerung_Pneumo-Impfung_Franzoesisch.pdf?__blob=publicationFile","x")</f>
        <v>x</v>
      </c>
      <c r="FT135" s="112" t="str">
        <f>HYPERLINK("http://www.rki.de/DE/Content/Infekt/Impfen/Materialien/Downloads-DTaPIPVHibHepB/DTaPIPVHibHepB-franzoesisch.pdf?__blob=publicationFile","x")</f>
        <v>x</v>
      </c>
      <c r="FU135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35" s="112" t="str">
        <f>HYPERLINK("http://www.rki.de/DE/Content/Infekt/Impfen/Materialien/Downloads-Tdap-IPV/Tdap-IPV-franzoesisch.pdf?__blob=publicationFile","x")</f>
        <v>x</v>
      </c>
      <c r="FW135" s="112" t="str">
        <f>HYPERLINK("http://www.rki.de/DE/Content/Infekt/Impfen/Materialien/Downloads-Influenza_nasal/Influenza_nasal-franzoesisch.pdf?__blob=publicationFile","x")</f>
        <v>x</v>
      </c>
      <c r="FX135" s="111"/>
      <c r="FY135" s="112"/>
      <c r="FZ135" s="112"/>
      <c r="GA135" s="111"/>
      <c r="GB135" s="111"/>
      <c r="GC135" s="111"/>
      <c r="GD135" s="112" t="str">
        <f>HYPERLINK("http://www.ethno-medizinisches-zentrum.de/images/PDF-Files/lf_diabete_franzosisch.pdf","x")</f>
        <v>x</v>
      </c>
      <c r="GE135" s="111"/>
      <c r="GF135" s="111"/>
      <c r="GG135" s="111"/>
      <c r="GH135" s="112"/>
      <c r="GI135" s="111"/>
      <c r="GJ135" s="111"/>
      <c r="GK135" s="112" t="str">
        <f>HYPERLINK("http://www.tipdoc.de/bus/pdf/hiv/HIV%20SRF_Webseite.pdf","x")</f>
        <v>x</v>
      </c>
      <c r="GL135" s="111"/>
      <c r="GM135" s="112" t="str">
        <f>HYPERLINK("http://www.rki.de/DE/Content/Infekt/Impfen/Materialien/Downloads-Influenza/Influenza-franzoesisch.pdf?__blob=publicationFile","x")</f>
        <v>x</v>
      </c>
      <c r="GN135" s="111"/>
      <c r="GO135" s="111"/>
      <c r="GP135" s="112" t="str">
        <f>HYPERLINK("http://www.tipdoc.de/grafik/pdf/kopflaeuse/Kopflaeuse_FRANZ.pdf","x")</f>
        <v>x</v>
      </c>
      <c r="GQ135" s="112"/>
      <c r="GR135" s="112" t="str">
        <f>HYPERLINK("http://www.tipdoc.com/bus/pdf/kraetze/tipdoc_Scabies_FRANZ.pdf","x")</f>
        <v>x</v>
      </c>
      <c r="GS135" s="112" t="str">
        <f>HYPERLINK("http://www.tipdoc.com/bus/pdf/MagenDarmHaende/MagenDarmHaende_FRANZ.pdf","x")</f>
        <v>x</v>
      </c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2" t="str">
        <f t="shared" si="38"/>
        <v>x</v>
      </c>
      <c r="HD135" s="112" t="str">
        <f>HYPERLINK("https://www.zahnaerzte-wl.de/images/_PDF-suche/KZV_ZÄK/ENDSTAND_Ankreuzbogen_Ich_verstehe.pdf","x")</f>
        <v>x</v>
      </c>
      <c r="HE135" s="112" t="str">
        <f>HYPERLINK("https://www.zahnaerzte-wl.de/images/_PDF-suche/KZV_ZÄK/Anschreiben_Patienten_franzoesisch.pdf","x")</f>
        <v>x</v>
      </c>
      <c r="HF135" s="112" t="str">
        <f>HYPERLINK("https://www.zahnaerzte-wl.de/images/_PDF-suche/KZV_ZÄK/Fragebogen_franzoesisch.pdf","x")</f>
        <v>x</v>
      </c>
      <c r="HG135" s="112" t="str">
        <f>HYPERLINK("https://www.zahnaerzte-wl.de/images/_PDF-suche/KZV_ZÄK/Patientenerhebungsbogen_franzoesisch.pdf","x")</f>
        <v>x</v>
      </c>
      <c r="HH135" s="112"/>
      <c r="HI135" s="112" t="str">
        <f>HYPERLINK("http://www.bvkm.de/fileadmin/web_data/Behinderung_und_Migration_franzoesisch_2014.pdf","x")</f>
        <v>x</v>
      </c>
      <c r="HJ135" s="112"/>
      <c r="HK135" s="112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2" t="str">
        <f t="shared" si="39"/>
        <v>x</v>
      </c>
      <c r="HZ135" s="112" t="str">
        <f t="shared" si="40"/>
        <v>x</v>
      </c>
      <c r="IA135" s="112" t="str">
        <f>HYPERLINK("http://peacefulheart.se/wp-content/uploads/2015/01/Tapping_French_Module-20150102-2.pdf","x")</f>
        <v>x</v>
      </c>
      <c r="IB135" s="111"/>
      <c r="IC135" s="111"/>
      <c r="ID135" s="111"/>
      <c r="IE135" s="111"/>
      <c r="IF135" s="111"/>
      <c r="IG135" s="111"/>
      <c r="IH135" s="111"/>
      <c r="II135" s="112" t="str">
        <f>HYPERLINK("http://www.caritas.de/hilfeundberatung/onlineberatung/suchtberatung/haeufiggestelltefragensucht/haeufiggestelltefragen-sucht","x")</f>
        <v>x</v>
      </c>
      <c r="IJ135" s="111"/>
      <c r="IK135" s="112" t="str">
        <f>HYPERLINK("http://www.bamf.de/SharedDocs/Anlagen/DE/Publikationen/Flyer/Lassen-Sie-Sich-Beraten/lassen-sie-sich-beraten_fr.pdf?__blob=publicationFile","x")</f>
        <v>x</v>
      </c>
      <c r="IL135" s="112" t="str">
        <f>HYPERLINK("http://www.bamf.de/SharedDocs/Anlagen/DE/Publikationen/Flyer/flyer-erstorientierung-asylsuchende_franzoesisch.pdf?__blob=publicationFile","x")</f>
        <v>x</v>
      </c>
      <c r="IM135" s="112" t="str">
        <f>HYPERLINK("http://www.frnrw.de/index.php/inhaltliche-themen/arbeitshilfen/item/3710-erstinfos-fuer-asylsuchende","x")</f>
        <v>x</v>
      </c>
      <c r="IN135" s="112" t="str">
        <f>HYPERLINK("https://www.bamf.de/SharedDocs/Anlagen/DE/Publikationen/Broschueren/willkommen-in-deutschland_fr.pdf?__blob=publicationFile","x")</f>
        <v>x</v>
      </c>
      <c r="IO135" s="112"/>
      <c r="IP135" s="112"/>
      <c r="IQ135" s="112" t="str">
        <f>HYPERLINK("http://www.bamf.de/SharedDocs/Anlagen/DE/Publikationen/Flyer/Lernen-Sie-Deutsch/lernen-sie-deutsch_fr.pdf?__blob=publicationFile","x")</f>
        <v>x</v>
      </c>
      <c r="IR135" s="112"/>
      <c r="IS135" s="111"/>
      <c r="IT135" s="111"/>
      <c r="IU135" s="111"/>
      <c r="IV135" s="112" t="str">
        <f>HYPERLINK("http://www.asyl.net/fileadmin/user_upload/infoblatt_anhoerung/Frz_final.pdf","x")</f>
        <v>x</v>
      </c>
      <c r="IW135" s="112"/>
      <c r="IX135" s="112" t="str">
        <f>HYPERLINK("http://www.berlin.de/labo/willkommen-in-berlin/service/downloads/artikel.273193.php","x")</f>
        <v>x</v>
      </c>
      <c r="IY135" s="112" t="str">
        <f>HYPERLINK("http://www.bamf.de/SharedDocs/Anlagen/DE/Publikationen/Broschueren/broschuere-eat-a4-fr-franzoesisch.pdf?__blob=publicationFile","x")</f>
        <v>x</v>
      </c>
      <c r="IZ135" s="111"/>
      <c r="JA135" s="112" t="str">
        <f>HYPERLINK("http://fluechtlingsrat-bw.de/informationen-fuer-fluechtlinge.html","x")</f>
        <v>x</v>
      </c>
      <c r="JB135" s="111"/>
      <c r="JC135" s="112" t="str">
        <f>HYPERLINK("http://www.bamf.de/SharedDocs/Anlagen/DE/Publikationen/Flyer/20150223_ura2_fra.pdf?__blob=publicationFile","x")</f>
        <v>x</v>
      </c>
      <c r="JD135" s="111"/>
      <c r="JE135" s="112"/>
      <c r="JF135" s="112"/>
      <c r="JG135" s="112"/>
      <c r="JH135" s="112"/>
      <c r="JI135" s="111"/>
      <c r="JJ135" s="112" t="str">
        <f>HYPERLINK("http://www.kub-berlin.org/formularprojekt/franzoesisch-antraege-und-anlagen-uebersetzungshilfen/","x")</f>
        <v>x</v>
      </c>
      <c r="JK135" s="112" t="str">
        <f>HYPERLINK("https://www.arbeitsagentur.de/web/wcm/idc/groups/public/documents/webdatei/mdaw/mjg1/~edisp/l6019022dstbai788667.pdf?_ba.sid=L6019022DSTBAI784626","x")</f>
        <v>x</v>
      </c>
      <c r="JL135" s="112" t="str">
        <f>HYPERLINK("http://www.kub-berlin.org/formularprojekt/franzoesisch-antraege-und-anlagen-uebersetzungshilfen/","x")</f>
        <v>x</v>
      </c>
      <c r="JM135" s="112" t="str">
        <f>HYPERLINK("https://www.arbeitsagentur.de/web/content/DE/Formulare/Detail/index.htm?dfContentId=L6019022DSTBAI485740","x")</f>
        <v>x</v>
      </c>
      <c r="JN135" s="112"/>
      <c r="JO135" s="112"/>
      <c r="JP135" s="112"/>
      <c r="JQ135" s="112"/>
      <c r="JR135" s="112" t="str">
        <f t="shared" si="52"/>
        <v>x</v>
      </c>
      <c r="JS135" s="112"/>
      <c r="JT135" s="112" t="str">
        <f>HYPERLINK("http://www.b-umf.de/images/willkommen/willkommensbroschurefranzoesisch-web.pdf","x")</f>
        <v>x</v>
      </c>
      <c r="JU135" s="111"/>
      <c r="JV135" s="111"/>
      <c r="JW135" s="112"/>
      <c r="JX135" s="112"/>
      <c r="JY135" s="112"/>
      <c r="JZ135" s="112"/>
      <c r="KA135" s="112"/>
      <c r="KB135" s="112" t="str">
        <f>HYPERLINK("http://www.refugeeguide.de/dl/RefugeeGuide_fr_925.pdf","x")</f>
        <v>x</v>
      </c>
      <c r="KC135" s="111"/>
      <c r="KD135" s="112" t="str">
        <f>HYPERLINK("http://www.wedel.de/fileadmin/user_upload/media/pdf/Rathaus_und_Politik/20160118_PM_Broschuere.pdf","x")</f>
        <v>x</v>
      </c>
      <c r="KE135" s="112" t="str">
        <f>HYPERLINK("http://www.frauenrechte.de/online/images/downloads/allgemein/TDF_Flyer_Women_Men.pdf","x")</f>
        <v>x</v>
      </c>
      <c r="KF135" s="112" t="str">
        <f>HYPERLINK("http://sab.landtag.sachsen.de/dokumente/landtagskurier/Grundwerte-A5-international_web_08012016.pdf","x")</f>
        <v>x</v>
      </c>
      <c r="KG135" s="112"/>
      <c r="KH135" s="112"/>
      <c r="KI135" s="112"/>
      <c r="KJ135" s="112"/>
      <c r="KK135" s="112"/>
      <c r="KL135" s="112"/>
      <c r="KM135" s="112"/>
      <c r="KN135" s="112"/>
      <c r="KO135" s="112"/>
      <c r="KP135" s="112"/>
      <c r="KQ135" s="112"/>
      <c r="KR135" s="112"/>
      <c r="KS135" s="112"/>
      <c r="KT135" s="112"/>
      <c r="KU135" s="112"/>
      <c r="KV135" s="112"/>
      <c r="KW135" s="112"/>
      <c r="KX135" s="112"/>
      <c r="KY135" s="112"/>
      <c r="KZ135" s="112"/>
      <c r="LA135" s="112"/>
      <c r="LB135" s="112"/>
      <c r="LC135" s="111"/>
      <c r="LD135" s="112"/>
      <c r="LE135" s="112"/>
      <c r="LF135" s="112"/>
      <c r="LG135" s="112"/>
      <c r="LH135" s="112"/>
      <c r="LI135" s="112"/>
      <c r="LJ135" s="112"/>
      <c r="LK135" s="112"/>
      <c r="LL135" s="112"/>
      <c r="LM135" s="111"/>
      <c r="LN135" s="111"/>
      <c r="LO135" s="111"/>
      <c r="LP135" s="111"/>
      <c r="LQ135" s="112"/>
      <c r="LR135" s="111"/>
      <c r="LS135" s="112"/>
      <c r="LT135" s="112"/>
      <c r="LU135" s="111"/>
      <c r="LV135" s="111"/>
      <c r="LW135" s="111"/>
      <c r="LX135" s="111"/>
      <c r="LY135" s="111"/>
      <c r="LZ135" s="111"/>
      <c r="MA135" s="111"/>
      <c r="MB135" s="112"/>
      <c r="MC135" s="111"/>
      <c r="MD135" s="112" t="str">
        <f>HYPERLINK("http://www.rki.de/DE/Content/Infekt/IfSG/Belehrungsbogen/belehrungsbogen_lebensmittel_franzoesisch.pdf?__blob=publicationFile","x")</f>
        <v>x</v>
      </c>
      <c r="ME135" s="111"/>
      <c r="MF135" s="112" t="str">
        <f>HYPERLINK("http://www.gdv.de/wp-content/uploads/2016/01/Information_Brandschutz_Fluechtlingsheim_-Sicherheit_mehrsprachig.pdf","x")</f>
        <v>x</v>
      </c>
      <c r="MG135" s="112" t="str">
        <f>HYPERLINK("http://www.gdv.de/wp-content/uploads/2016/01/Information_Verhalten-im-Brandfall_mehrsprachig.pdf","x")</f>
        <v>x</v>
      </c>
      <c r="MH135" s="112" t="str">
        <f>HYPERLINK("http://www.aha-region.de/fileadmin/Download/pdf/aha_Plakat_Muelltrennung_fr.pdf","x")</f>
        <v>x</v>
      </c>
      <c r="MI135" s="112" t="str">
        <f>HYPERLINK("http://www.kindersicherheit.de/pdf/2012_poster_achtunggiftig_8sprachig.pdf","x")</f>
        <v>x</v>
      </c>
    </row>
    <row r="136" spans="1:347" x14ac:dyDescent="0.25">
      <c r="A136" s="102" t="s">
        <v>62</v>
      </c>
      <c r="B136" s="127" t="s">
        <v>1</v>
      </c>
      <c r="C136" s="102"/>
      <c r="D136" s="102"/>
      <c r="E136" s="102"/>
      <c r="F136" s="102"/>
      <c r="G136" s="102"/>
      <c r="H136" s="102"/>
      <c r="I136" s="102"/>
      <c r="J136" s="102"/>
      <c r="K136" s="103"/>
      <c r="L136" s="112" t="str">
        <f>HYPERLINK("http://sghanstedt.elbnetz.com/ueber-uns/","x")</f>
        <v>x</v>
      </c>
      <c r="M136" s="111"/>
      <c r="N136" s="112" t="str">
        <f>HYPERLINK("http://www.ag-fluechtlingshilfe-wetterau.de/uploads/infos/170.pdf","x")</f>
        <v>x</v>
      </c>
      <c r="O136" s="112" t="str">
        <f>HYPERLINK("http://www.ag-fluechtlingshilfe-wetterau.de/uploads/infos/220.pdf","x")</f>
        <v>x</v>
      </c>
      <c r="P136" s="112" t="str">
        <f>HYPERLINK("http://www.awb-ahrweiler.de/admin/data/ddownload/Abfall%20Sonderhinweise-Arabisch%202015.pdf","x")</f>
        <v>x</v>
      </c>
      <c r="Q136" s="112" t="str">
        <f>HYPERLINK("http://www.ag-fluechtlingshilfe-wetterau.de/uploads/infos/221.pdf","x")</f>
        <v>x</v>
      </c>
      <c r="R136" s="112" t="str">
        <f>HYPERLINK("http://www.konto.org/download/merkblatt-basiskonto-asylbewerber-arabisch.pdf","x")</f>
        <v>x</v>
      </c>
      <c r="S136" s="112"/>
      <c r="T136" s="112" t="str">
        <f>HYPERLINK("https://antworten.sparkasse.de/wp-content/uploads/2015/10/Arabisch.pdf","x")</f>
        <v>x</v>
      </c>
      <c r="U136" s="112" t="str">
        <f>HYPERLINK("http://www.ag-fluechtlingshilfe-wetterau.de/uploads/infos/191.pdf","x")</f>
        <v>x</v>
      </c>
      <c r="V136" s="112"/>
      <c r="W136" s="112"/>
      <c r="X13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6" s="112"/>
      <c r="AA136" s="112"/>
      <c r="AB136" s="112"/>
      <c r="AC136" s="112"/>
      <c r="AD136" s="112" t="str">
        <f>HYPERLINK("http://www.rundfunkbeitrag.de/e175/e1629/Informationsflyer_Buergerinnen_und_Buerger_arabisch.pdf","x")</f>
        <v>x</v>
      </c>
      <c r="AE136" s="112"/>
      <c r="AF136" s="112" t="str">
        <f>HYPERLINK("http://www.kub-berlin.org/formularprojekt/de/arabisch-antraege-und-anlagen/","x")</f>
        <v>x</v>
      </c>
      <c r="AG136" s="112" t="str">
        <f>HYPERLINK("http://asyl-in-moenchengladbach.de/wp-content/uploads/2015/11/100711-Flyer_arab.pdf","x")</f>
        <v>x</v>
      </c>
      <c r="AH136" s="111"/>
      <c r="AI136" s="112" t="str">
        <f>HYPERLINK("https://www.adac.de/sp/stiftung/_mmm/pdf/SGE_FOL_Verkehrssicherheit_Fl%C3%BCchtlinge_A3_01_16_Internet_250277.pdf","x")</f>
        <v>x</v>
      </c>
      <c r="AJ136" s="112" t="str">
        <f>HYPERLINK("http://www.stadt-koeln.de/mediaasset/content/العربية_kvb_kinderleicht_und_spielend_einfach__arabisch_.pdf","x")</f>
        <v>x</v>
      </c>
      <c r="AK136" s="112" t="str">
        <f>HYPERLINK("https://www.vrsinfo.de/fileadmin/Dateien/downloadcenter/Folder_MobilPassTicket_Refugees01012016.pdf","x")</f>
        <v>x</v>
      </c>
      <c r="AL136" s="112" t="str">
        <f>HYPERLINK("https://www.vrsinfo.de/fileadmin/Dateien/downloadcenter/Willkommen_im_VRS2016_Druck.pdf","x")</f>
        <v>x</v>
      </c>
      <c r="AM136" s="112"/>
      <c r="AN136" s="112" t="str">
        <f>HYPERLINK("https://www.deutschebahn.com/file/de/2191748/eYdgZpqGpp5sMJ2KMKtg2r8aE4Q/10123812/data/infos_fuer_fluechtlinge.pdf","x")</f>
        <v>x</v>
      </c>
      <c r="AO136" s="112"/>
      <c r="AP136" s="112"/>
      <c r="AQ136" s="112"/>
      <c r="AR136" s="112"/>
      <c r="AS136" s="112"/>
      <c r="AT136" s="112" t="str">
        <f>HYPERLINK("http://www.koelnerkarneval.de/fileadmin/content/images/news/Festkomitee_Flyer_DE_AR.pdf","x")</f>
        <v>x</v>
      </c>
      <c r="AU136" s="112"/>
      <c r="AV136" s="114" t="str">
        <f>HYPERLINK("http://www.studentenwerke.de/de/content/illustriertes-wohnheimw%C3%B6rterbuch-1","x")</f>
        <v>x</v>
      </c>
      <c r="AW136" s="114" t="str">
        <f t="shared" si="22"/>
        <v>x</v>
      </c>
      <c r="AX136" s="114" t="str">
        <f t="shared" si="23"/>
        <v>x</v>
      </c>
      <c r="AY136" s="112" t="str">
        <f>HYPERLINK("http://fi-lohmar-siegburg.de/data/documents/Findefix_arabisch-Bildwoerterbuch.pdf","x")</f>
        <v>x</v>
      </c>
      <c r="AZ136" s="111"/>
      <c r="BA136" s="112" t="str">
        <f t="shared" si="24"/>
        <v>x</v>
      </c>
      <c r="BB136" s="112" t="str">
        <f t="shared" si="25"/>
        <v>x</v>
      </c>
      <c r="BC136" s="112"/>
      <c r="BD136" s="112" t="str">
        <f>HYPERLINK("http://www.rehavista.de/?at=Mat_Boardmaker&amp;d=1&amp;dtype=mat&amp;id=1014","x")</f>
        <v>x</v>
      </c>
      <c r="BE136" s="112" t="str">
        <f>HYPERLINK("http://fi-lohmar-siegburg.de/data/documents/communicationboard-arabic-english.pdf","x")</f>
        <v>x</v>
      </c>
      <c r="BF136" s="112" t="str">
        <f>HYPERLINK("http://fi-lohmar-siegburg.de/data/documents/communicationboard-arabic-french.pdf","x")</f>
        <v>x</v>
      </c>
      <c r="BG136" s="111"/>
      <c r="BH136" s="112" t="str">
        <f>HYPERLINK("http://www.refugeephrasebook.de/pdf/germany150920.pdf","x")</f>
        <v>x</v>
      </c>
      <c r="BI136" s="112" t="str">
        <f>HYPERLINK("https://www.advanced-online.eu/downloads/RefugeePhrasebookCards_German-Arabic.pdf","x")</f>
        <v>x</v>
      </c>
      <c r="BJ136" s="112" t="str">
        <f>HYPERLINK("http://www.klett-sprachen.de/download/8638/W100255_Refugees_Welcome_Wortschatz.pdf","x")</f>
        <v>x</v>
      </c>
      <c r="BK136" s="112" t="str">
        <f>HYPERLINK("http://www.agf-trier.de/sites/default/files/bersetzungshilfe%20allgemein%20Arab..pdf","x")</f>
        <v>x</v>
      </c>
      <c r="BL136" s="112" t="str">
        <f>HYPERLINK("http://www.bundessprachenamt.de/deutsch/wir_ueber_uns/nachrichten/2015/20151103/Verständigungshilfe_Syrisch-Arabisch_07_12_2015.pdf","x")</f>
        <v>x</v>
      </c>
      <c r="BM136" s="112" t="str">
        <f>HYPERLINK("http://www.frnrw.de/images/Aus_den_Initiativen/Ehrenamtler/2015/Dictionary_x10_print-2.pdf","x")</f>
        <v>x</v>
      </c>
      <c r="BN136" s="112" t="str">
        <f>HYPERLINK("http://www.medbox.org/toolboxes/kleines-worterbuch-little-dictionary-deutsch-englisch-arabisch/preview","x")</f>
        <v>x</v>
      </c>
      <c r="BO136" s="111"/>
      <c r="BP136" s="111"/>
      <c r="BQ136" s="112" t="str">
        <f>HYPERLINK("https://www.friedensdorf.de/documents/Woerterbuch_Arabisch.pdf","x")</f>
        <v>x</v>
      </c>
      <c r="BR136" s="111"/>
      <c r="BS136" s="112" t="str">
        <f t="shared" si="26"/>
        <v>x</v>
      </c>
      <c r="BT136" s="112" t="str">
        <f>HYPERLINK("http://de.langenscheidt.com/doc/arabisch-deutsch-sprachfuehrer.pdf","x")</f>
        <v>x</v>
      </c>
      <c r="BU136" s="111"/>
      <c r="BV136" s="112" t="str">
        <f t="shared" si="27"/>
        <v>x</v>
      </c>
      <c r="BW136" s="112" t="str">
        <f>HYPERLINK("http://www.welcomegrooves.de/wp-content/uploads/2015/10/welcomegrooves_DE-ARABISCH.pdf","x")</f>
        <v>x</v>
      </c>
      <c r="BX136" s="112"/>
      <c r="BY136" s="112"/>
      <c r="BZ136" s="112" t="str">
        <f>HYPERLINK("http://fluechtlingshilfe-nettetal.de/ausbildung/video-sprachkurse-deutsch-fuer-fluechtlinge/video-sprachkurs-syrisch-deutsch/","x")</f>
        <v>x</v>
      </c>
      <c r="CA136" s="112" t="str">
        <f t="shared" si="28"/>
        <v>x</v>
      </c>
      <c r="CB136" s="112" t="str">
        <f t="shared" si="29"/>
        <v>x</v>
      </c>
      <c r="CC136" s="112" t="str">
        <f t="shared" si="30"/>
        <v>x</v>
      </c>
      <c r="CD136" s="112"/>
      <c r="CE136" s="112"/>
      <c r="CF136" s="112" t="str">
        <f>HYPERLINK("http://www.agf-trier.de/sites/default/files/bersetzungshilfe%20%20f%C3%BCr%20Frauen%20Arab..pdf","x")</f>
        <v>x</v>
      </c>
      <c r="CG136" s="112" t="str">
        <f>HYPERLINK("http://www.braunschweig.de/leben/frauen/hilfe/Ohne-Gewalt-leben.pdf","x")</f>
        <v>x</v>
      </c>
      <c r="CH136" s="112" t="str">
        <f>HYPERLINK("http://mifkjf.rlp.de/fileadmin/mifkjf/Frauen/Gewalt_gegen_Frauen/Downloads/Broschueren_Flyer/Flyer_Gewalt_arabisch_fuer_ANSICHT.pdf","x")</f>
        <v>x</v>
      </c>
      <c r="CI136" s="112"/>
      <c r="CJ136" s="112" t="str">
        <f>HYPERLINK("https://www.hilfetelefon.de/fileadmin/hilfetelefon_de/Materialien/weitere_werbemittel/Klappflyer_Vorder-_und_Rueckseite_opt2.pdf","x")</f>
        <v>x</v>
      </c>
      <c r="CK136" s="112" t="str">
        <f t="shared" si="31"/>
        <v>x</v>
      </c>
      <c r="CL136" s="112" t="str">
        <f>HYPERLINK("http://www.frauenberatungsstelle.de/pdf/Migrantinnen-beraten-Migrantinnen.pdf","x")</f>
        <v>x</v>
      </c>
      <c r="CM136" s="112"/>
      <c r="CN136" s="112"/>
      <c r="CO136" s="112"/>
      <c r="CP136" s="112" t="str">
        <f>HYPERLINK("http://www.schwanger-und-viele-fragen.de/ar/","x")</f>
        <v>x</v>
      </c>
      <c r="CQ136" s="112"/>
      <c r="CR13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6" s="112"/>
      <c r="CT136" s="112"/>
      <c r="CU136" s="112" t="str">
        <f>HYPERLINK("http://www.profamilia.de/fileadmin/publikationen/Erwachsene/mehrsprachig/verhuetung_arabisch.pdf","x")</f>
        <v>x</v>
      </c>
      <c r="CV136" s="112"/>
      <c r="CW136" s="112"/>
      <c r="CX136" s="112"/>
      <c r="CY136" s="112" t="str">
        <f>HYPERLINK("http://www.caritas-schwarzwald-alb-donau.de/68854.html","x")</f>
        <v>x</v>
      </c>
      <c r="CZ136" s="112"/>
      <c r="DA136" s="112" t="str">
        <f>HYPERLINK("http://sichere-orte-schaffen.de/wp-content/uploads/Minibrosch_Fluechtlinge_multilang.pdf","x")</f>
        <v>x</v>
      </c>
      <c r="DB136" s="112"/>
      <c r="DC136" s="115" t="str">
        <f>HYPERLINK("http://www.kindersicherheit.de/pdf/2012_Bilderbuch-Gift-Arabisch.pdf","x")</f>
        <v>x</v>
      </c>
      <c r="DD136" s="112"/>
      <c r="DE136" s="112"/>
      <c r="DF136" s="112" t="str">
        <f t="shared" si="32"/>
        <v>x</v>
      </c>
      <c r="DG136" s="115" t="str">
        <f t="shared" si="33"/>
        <v>x</v>
      </c>
      <c r="DH136" s="112" t="str">
        <f t="shared" si="34"/>
        <v>x</v>
      </c>
      <c r="DI136" s="112" t="str">
        <f t="shared" si="35"/>
        <v>x</v>
      </c>
      <c r="DJ136" s="112" t="str">
        <f>HYPERLINK("http://www.bibliomedia.ch/de/angebote/dokumente/Glossar_arabisch.pdf","x")</f>
        <v>x</v>
      </c>
      <c r="DK136" s="112"/>
      <c r="DL136" s="112" t="str">
        <f>HYPERLINK("http://www.carlsen.de/sites/default/files/Walter-ebook_arabisch_klein.pdf","x")</f>
        <v>x</v>
      </c>
      <c r="DM136" s="112"/>
      <c r="DN136" s="112"/>
      <c r="DO136" s="112" t="str">
        <f>HYPERLINK("http://www.wdrmaus.de/sachgeschichten/maus-international/","x")</f>
        <v>x</v>
      </c>
      <c r="DP136" s="111"/>
      <c r="DQ136" s="112" t="str">
        <f>HYPERLINK("http://tipdoc.de/bus/grafik/kinder-tip/SCHULTIP_give_didacta.pdf","x")</f>
        <v>x</v>
      </c>
      <c r="DR136" s="112" t="str">
        <f>HYPERLINK("https://broschueren.nordrheinwestfalendirekt.de/broschuerenservice/msw/ar-das-schulsystem-in-nordrhein-westfalen-einfach-und-schnell-erklaert/1901","x")</f>
        <v>x</v>
      </c>
      <c r="DS136" s="112" t="str">
        <f>HYPERLINK("http://bildung.koeln.de/materialbibliothek/download.php?idx=7479da9798519efb4e1944d46a76011b","x")</f>
        <v>x</v>
      </c>
      <c r="DT136" s="112" t="str">
        <f>HYPERLINK("http://bildung.koeln.de/materialbibliothek/download.php?idx=dd3a964c240308ea1c8e0d161e49e314","x")</f>
        <v>x</v>
      </c>
      <c r="DU136" s="112"/>
      <c r="DV136" s="112" t="str">
        <f>HYPERLINK("https://www.bmbf.de/pub/Kausa_Elternbroschuere_arabisch.pdf","x")</f>
        <v>x</v>
      </c>
      <c r="DW136" s="112"/>
      <c r="DX136" s="112" t="str">
        <f>HYPERLINK("http://www.wissenschaft.nrw.de/studium/informieren/informationen-fuer-fluechtlinge-die-in-nrw-studieren-moechten/","x")</f>
        <v>x</v>
      </c>
      <c r="DY136" s="112" t="str">
        <f>HYPERLINK("http://www.bamf.de/SharedDocs/Anlagen/DE/Publikationen/Flyer/AnerkennungBerufsabschluss/berufliche_anerkennung_akademische-heilberufe_ar.pdf?__blob=publicationFile","x")</f>
        <v>x</v>
      </c>
      <c r="DZ136" s="112" t="str">
        <f>HYPERLINK("http://www.bamf.de/SharedDocs/Anlagen/DE/Publikationen/Flyer/AnerkennungBerufsabschluss/anerkennung-berufsabschluss_ar.pdf?__blob=publicationFile","x")</f>
        <v>x</v>
      </c>
      <c r="EA136" s="112" t="str">
        <f>HYPERLINK("http://www.bamf.de/SharedDocs/Anlagen/DE/Publikationen/Flyer/AnerkennungBerufsabschluss/anerkennung-berufsabschluss_ausland_ar.pdf?__blob=publicationFile","x")</f>
        <v>x</v>
      </c>
      <c r="EB136" s="112" t="str">
        <f>HYPERLINK("http://www.bamf.de/SharedDocs/Anlagen/DE/Publikationen/Broschueren/willkommen-in-deutschland-info-blaue-karte-eu_ar.pdf?__blob=publicationFile","x")</f>
        <v>x</v>
      </c>
      <c r="EC136" s="112" t="str">
        <f>HYPERLINK("http://www.bamf.de/SharedDocs/Anlagen/DE/Publikationen/Flyer/Berufsbezsprachf-ESF-BAMF/berufsbezsprachf-esf-bamf_ar.pdf?__blob=publicationFile","x")</f>
        <v>x</v>
      </c>
      <c r="ED136" s="111"/>
      <c r="EE136" s="111"/>
      <c r="EF136" s="111"/>
      <c r="EG136" s="111"/>
      <c r="EH136" s="111"/>
      <c r="EI136" s="111"/>
      <c r="EJ136" s="112"/>
      <c r="EK136" s="112" t="str">
        <f>HYPERLINK("http://fluechtlingsrat-bw.de/files/Dateien/Dokumente/Materialbestellung/2014-12-flyer%20arbeitserlaubnis%20AR%20WEB_final.pdf","x")</f>
        <v>x</v>
      </c>
      <c r="EL136" s="112" t="str">
        <f>HYPERLINK("http://www.aponet.de/arabisch/20151019-fuer-den-notfall-wichtige-rufnummern-im-ueberblick.html","x")</f>
        <v>x</v>
      </c>
      <c r="EM136" s="112" t="str">
        <f>HYPERLINK("http://www.kvs-sachsen.de/fileadmin/img/Mitglieder/Asylbewerber/Allg-Informationen/Anlage_1_Arabisch_LEK.pdf","x")</f>
        <v>x</v>
      </c>
      <c r="EN136" s="112" t="str">
        <f>HYPERLINK("http://www.medizin-hilft-fluechtlingen.de/images/Dokumente/gSch/gSch_arab.pdf","x")</f>
        <v>x</v>
      </c>
      <c r="EO136" s="112" t="str">
        <f>HYPERLINK("http://www.aponet.de/arabisch/20151016-medizinische-leistungen-fuer-asylbewerber.html","x")</f>
        <v>x</v>
      </c>
      <c r="EP136" s="117" t="str">
        <f t="shared" si="53"/>
        <v>x</v>
      </c>
      <c r="EQ136" s="117" t="str">
        <f>HYPERLINK("http://www.armut-gesundheit.de/fileadmin/redakteur/dokumente/Anamnesebogen%20-%20Arabischnew.pdf","x")</f>
        <v>x</v>
      </c>
      <c r="ER136" s="112" t="str">
        <f>HYPERLINK("http://www.kvs-sachsen.de/fileadmin/img/Mitglieder/Asylbewerber/Allg-Informationen/Anlagen_2-1_2-2_Arabisch_LEK.pdf","x")</f>
        <v>x</v>
      </c>
      <c r="ES136" s="112"/>
      <c r="ET136" s="112" t="str">
        <f>HYPERLINK("http://www.pharmazeutische-zeitung.de/fileadmin/pdf/Fragebogen_PZ_43_2015.pdf","x")</f>
        <v>x</v>
      </c>
      <c r="EU136" s="112" t="str">
        <f>HYPERLINK("http://www.medizin-hilft-fluechtlingen.de/images/Dokumente/ein/ein_arab.pdf","x")</f>
        <v>x</v>
      </c>
      <c r="EV136" s="112" t="str">
        <f>HYPERLINK("http://www.adler-apotheke-hh.de/fileadmin/user_upload/PDF-Dateien/Dosierzettel_mehrsprachig_AUF_0_.pdf","x")</f>
        <v>x</v>
      </c>
      <c r="EW136" s="112" t="str">
        <f t="shared" si="36"/>
        <v>x</v>
      </c>
      <c r="EX136" s="112" t="str">
        <f>HYPERLINK("http://www.rki.de/DE/Content/Infekt/IfSG/Belehrungsbogen/belehrungsbogen_eltern_arabisch.pdf?__blob=publicationFile","x")</f>
        <v>x</v>
      </c>
      <c r="EY136" s="112" t="str">
        <f>HYPERLINK("http://www.bzga.de/infomaterialien/?sid=236","x")</f>
        <v>x</v>
      </c>
      <c r="EZ136" s="112" t="str">
        <f>HYPERLINK("https://www.mh-hannover.de/fileadmin/mhh/bilder/aktuelles_presse/presseinformationen_news/150921_Pilz_Vergif_Arab_3.pdf","x")</f>
        <v>x</v>
      </c>
      <c r="FA136" s="112"/>
      <c r="FB136" s="112" t="str">
        <f>HYPERLINK("http://static.apotheken-umschau.de/media/gp/article_506373/bildwoerterbuch.pdf","x")</f>
        <v>x</v>
      </c>
      <c r="FC136" s="111"/>
      <c r="FD136" s="112" t="str">
        <f t="shared" si="37"/>
        <v>x</v>
      </c>
      <c r="FE136" s="112" t="str">
        <f t="shared" si="54"/>
        <v>x</v>
      </c>
      <c r="FF136" s="112" t="str">
        <f>HYPERLINK("http://www.fuhlenhagen.com/pdf_dateien/uebertzungshilfe_aerzte_mehrsprachig.pdf","x")</f>
        <v>x</v>
      </c>
      <c r="FG136" s="112" t="str">
        <f>HYPERLINK("http://www.tipdoc.de/grafik/asyl/Gesundheitsheft_Asyl.pdf","x")</f>
        <v>x</v>
      </c>
      <c r="FH136" s="111"/>
      <c r="FI136" s="111"/>
      <c r="FJ136" s="112" t="str">
        <f>HYPERLINK("http://www.bundesgesundheitsministerium.de/fileadmin/dateien/Publikationen/Gesundheit/Broschueren/Ratgeber_Asylsuchende/Ratgeber_Asylsuchende_arab.PDF","x")</f>
        <v>x</v>
      </c>
      <c r="FK136" s="112" t="str">
        <f>HYPERLINK("http://www.rki.de/DE/Content/Infekt/Impfen/Materialien/Downloads-Impfkalender/Impfkalender_Arabisch.pdf?__blob=publicationFile","x")</f>
        <v>x</v>
      </c>
      <c r="FL136" s="112" t="str">
        <f>HYPERLINK("http://www.ethno-medizinisches-zentrum.de/images/PDF-Files/impfwegweiser_arabbisch_2013_online.pdf","x")</f>
        <v>x</v>
      </c>
      <c r="FM136" s="112"/>
      <c r="FN136" s="112" t="str">
        <f>HYPERLINK("http://www.rki.de/DE/Content/Infekt/Impfen/Materialien/Glossar-Downloads/glossar-de-arabisch.pdf?__blob=publicationFile","x")</f>
        <v>x</v>
      </c>
      <c r="FO136" s="112"/>
      <c r="FP136" s="112" t="str">
        <f>HYPERLINK("http://www.rki.de/DE/Content/Infekt/Impfen/Materialien/Downloads-MMR/MMR-Impfinfo-arabisch.pdf?__blob=publicationFile","x")</f>
        <v>x</v>
      </c>
      <c r="FQ136" s="112" t="str">
        <f>HYPERLINK("http://www.rki.de/DE/Content/InfAZ/P/Polio/Ausbruch_Syrien/Informationsblatt_Polio_Arabisch.pdf?__blob=publicationFile","x")</f>
        <v>x</v>
      </c>
      <c r="FR136" s="112" t="str">
        <f>HYPERLINK("http://www.rki.de/DE/Content/Infekt/Impfen/Materialien/Downloads_HepA/Aufklaerung_HAV-Impfung_arabisch.pdf?__blob=publicationFile","x")</f>
        <v>x</v>
      </c>
      <c r="FS136" s="112" t="str">
        <f>HYPERLINK("http://www.rki.de/DE/Content/Infekt/Impfen/Materialien/Downloads_Pneumokokken/Aufklaerung_Pneumo-Impfung_Arabisch.pdf?__blob=publicationFile","x")</f>
        <v>x</v>
      </c>
      <c r="FT136" s="112" t="str">
        <f>HYPERLINK("http://www.rki.de/DE/Content/Infekt/Impfen/Materialien/Downloads-DTaPIPVHibHepB/DTaPIPVHibHepB_arabisch.pdf?__blob=publicationFile","x")</f>
        <v>x</v>
      </c>
      <c r="FU136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6" s="112" t="str">
        <f>HYPERLINK("http://www.rki.de/DE/Content/Infekt/Impfen/Materialien/Downloads-Tdap-IPV/Tdap-IPV-arabisch.pdf?__blob=publicationFile","x")</f>
        <v>x</v>
      </c>
      <c r="FW136" s="112" t="str">
        <f>HYPERLINK("http://www.rki.de/DE/Content/Infekt/Impfen/Materialien/Downloads-Influenza_nasal/Influenza_nasal-arabisch.pdf?__blob=publicationFile","x")</f>
        <v>x</v>
      </c>
      <c r="FX136" s="112" t="str">
        <f>HYPERLINK("http://www.medical-tribune.de/fileadmin/PDF/Arthrose_arabisch.pdf","x")</f>
        <v>x</v>
      </c>
      <c r="FY136" s="112" t="str">
        <f>HYPERLINK("http://www.medical-tribune.de/fileadmin/PDF/Asthma_arabisch.pdf","x")</f>
        <v>x</v>
      </c>
      <c r="FZ136" s="112" t="str">
        <f>HYPERLINK("http://www.medical-tribune.de/fileadmin/PDF/Bluthochdruck_arabisch.pdf","x")</f>
        <v>x</v>
      </c>
      <c r="GA136" s="112"/>
      <c r="GB136" s="112" t="str">
        <f>HYPERLINK("http://www.medical-tribune.de/fileadmin/PDF/COPD_arabisch.pdf","x")</f>
        <v>x</v>
      </c>
      <c r="GC136" s="112"/>
      <c r="GD136" s="112" t="str">
        <f>HYPERLINK("http://www.ethno-medizinisches-zentrum.de/images/PDF-Files/lf_diabete_arab.pdf","x")</f>
        <v>x</v>
      </c>
      <c r="GE136" s="112"/>
      <c r="GF136" s="112"/>
      <c r="GG136" s="112"/>
      <c r="GH136" s="112"/>
      <c r="GI136" s="112" t="str">
        <f>HYPERLINK("http://www.tipdoc.de/bus/pdf/hepatitis/Hep_B_Webseite.pdf","x")</f>
        <v>x</v>
      </c>
      <c r="GJ136" s="112" t="str">
        <f>HYPERLINK("http://www.tipdoc.de/bus/pdf/hepatitis/Hep_C_Webseite.pdf","x")</f>
        <v>x</v>
      </c>
      <c r="GK136" s="111"/>
      <c r="GL136" s="111"/>
      <c r="GM136" s="112" t="str">
        <f>HYPERLINK("http://www.rki.de/DE/Content/Infekt/Impfen/Materialien/Downloads-Influenza/Influenza-arabisch.pdf?__blob=publicationFile","x")</f>
        <v>x</v>
      </c>
      <c r="GN136" s="112"/>
      <c r="GO136" s="112" t="str">
        <f>HYPERLINK("http://www.aponet.de/arabisch/20151111-so-unterscheiden-sich-grippe-und-erkaeltung.html","x")</f>
        <v>x</v>
      </c>
      <c r="GP136" s="112" t="str">
        <f>HYPERLINK("http://www.tipdoc.de/grafik/pdf/kopflaeuse/Kopflaeuse_ARAB.pdf","x")</f>
        <v>x</v>
      </c>
      <c r="GQ136" s="112"/>
      <c r="GR136" s="112" t="str">
        <f>HYPERLINK("http://www.tipdoc.com/bus/pdf/kraetze/tipdoc_Scabies_ARAB.pdf","x")</f>
        <v>x</v>
      </c>
      <c r="GS136" s="112" t="str">
        <f>HYPERLINK("http://www.tipdoc.com/bus/pdf/MagenDarmHaende/MagenDarmHaende_Arab.pdf","x")</f>
        <v>x</v>
      </c>
      <c r="GT136" s="112"/>
      <c r="GU136" s="112" t="str">
        <f>HYPERLINK("http://www.medical-tribune.de/fileadmin/PDF/Rueckenschmerzen_arabisch.pdf","x")</f>
        <v>x</v>
      </c>
      <c r="GV136" s="112"/>
      <c r="GW136" s="112"/>
      <c r="GX136" s="112" t="str">
        <f>HYPERLINK("http://www.medical-tribune.de/fileadmin/PDF/Schwindel_arabisch.pdf","x")</f>
        <v>x</v>
      </c>
      <c r="GY136" s="112"/>
      <c r="GZ136" s="112"/>
      <c r="HA136" s="112"/>
      <c r="HB136" s="112"/>
      <c r="HC136" s="112" t="str">
        <f t="shared" si="38"/>
        <v>x</v>
      </c>
      <c r="HD136" s="112" t="str">
        <f>HYPERLINK("https://www.zahnaerzte-wl.de/images/_PDF-suche/KZV_ZÄK/ENDSTAND_Ankreuzbogen_Ich_verstehe.pdf","x")</f>
        <v>x</v>
      </c>
      <c r="HE136" s="112" t="str">
        <f>HYPERLINK("https://www.zahnaerzte-wl.de/images/_PDF-suche/KZV_ZÄK/Anschreiben_Patienten_arabisch.pdf","x")</f>
        <v>x</v>
      </c>
      <c r="HF136" s="112" t="str">
        <f>HYPERLINK("https://www.zahnaerzte-wl.de/images/_PDF-suche/KZV_ZÄK/Fragebogen_arabisch.pdf","x")</f>
        <v>x</v>
      </c>
      <c r="HG136" s="112" t="str">
        <f>HYPERLINK("https://www.zahnaerzte-wl.de/images/_PDF-suche/KZV_ZÄK/Patientenerhebungsbogen_arabisch.pdf","x")</f>
        <v>x</v>
      </c>
      <c r="HH136" s="112"/>
      <c r="HI136" s="112"/>
      <c r="HJ136" s="112" t="str">
        <f>HYPERLINK("http://www.ibbc-berlin.de/media/Bro_de-arab.pdf","x")</f>
        <v>x</v>
      </c>
      <c r="HK136" s="112"/>
      <c r="HL136" s="112" t="str">
        <f>HYPERLINK("http://www.ethno-medizinisches-zentrum.de/images/PDF-Files/lf_depression__arab.pdf","x")</f>
        <v>x</v>
      </c>
      <c r="HM136" s="112"/>
      <c r="HN136" s="112"/>
      <c r="HO136" s="112"/>
      <c r="HP136" s="112"/>
      <c r="HQ136" s="112"/>
      <c r="HR136" s="112"/>
      <c r="HS136" s="112"/>
      <c r="HT136" s="112"/>
      <c r="HU136" s="112"/>
      <c r="HV136" s="112"/>
      <c r="HW136" s="112"/>
      <c r="HX136" s="112" t="str">
        <f>HYPERLINK("http://www.bkk-psychisch-gesund.de/fileadmin/user_upload/Dokumente/Versicherte/Broschueren/Wegweiser_Psychotherapie_arabisch.pdf","x")</f>
        <v>x</v>
      </c>
      <c r="HY136" s="112" t="str">
        <f t="shared" si="39"/>
        <v>x</v>
      </c>
      <c r="HZ136" s="112" t="str">
        <f t="shared" si="40"/>
        <v>x</v>
      </c>
      <c r="IA136" s="112"/>
      <c r="IB136" s="112"/>
      <c r="IC136" s="112"/>
      <c r="ID136" s="112" t="str">
        <f>HYPERLINK("http://www.susannestein.de/VIA-online/trauma-bilderbuch-arabisch.pdf","x")</f>
        <v>x</v>
      </c>
      <c r="IE136" s="112"/>
      <c r="IF136" s="112"/>
      <c r="IG136" s="112"/>
      <c r="IH136" s="111"/>
      <c r="II136" s="112"/>
      <c r="IJ136" s="112"/>
      <c r="IK136" s="112" t="str">
        <f>HYPERLINK("http://www.bamf.de/SharedDocs/Anlagen/DE/Publikationen/Flyer/Lassen-Sie-Sich-Beraten/lassen-sie-sich-beraten_ar.pdf?__blob=publicationFile","x")</f>
        <v>x</v>
      </c>
      <c r="IL136" s="112" t="str">
        <f>HYPERLINK("http://www.bamf.de/SharedDocs/Anlagen/DE/Publikationen/Flyer/flyer-erstorientierung-asylsuchende_arabisch.pdf?__blob=publicationFile","x")</f>
        <v>x</v>
      </c>
      <c r="IM136" s="111"/>
      <c r="IN136" s="112" t="str">
        <f>HYPERLINK("https://www.bamf.de/SharedDocs/Anlagen/DE/Publikationen/Broschueren/willkommen-in-deutschland_ar.pdf?__blob=publicationFile","x")</f>
        <v>x</v>
      </c>
      <c r="IO136" s="112"/>
      <c r="IP136" s="111"/>
      <c r="IQ136" s="112" t="str">
        <f>HYPERLINK("http://www.bamf.de/SharedDocs/Anlagen/DE/Publikationen/Flyer/Lernen-Sie-Deutsch/lernen-sie-deutsch_ar.pdf?__blob=publicationFile","x")</f>
        <v>x</v>
      </c>
      <c r="IR136" s="112" t="str">
        <f>HYPERLINK("http://www.asyl.net/fileadmin/user_upload/redaktion/Dokumente/Arbeitshilfen/150910_Wie_l%C3%A4uft_ein_Asylverfahren_ab_%C3%9Cberblickstext_Arabisch.pdf","x")</f>
        <v>x</v>
      </c>
      <c r="IS136" s="111"/>
      <c r="IT136" s="111"/>
      <c r="IU136" s="111"/>
      <c r="IV136" s="112" t="str">
        <f>HYPERLINK("http://www.asyl.net/fileadmin/user_upload/infoblatt_anhoerung/Infoblatt_2015_ar_fin.pdf","x")</f>
        <v>x</v>
      </c>
      <c r="IW136" s="112" t="str">
        <f>HYPERLINK("http://efi-landsberg.de/asyl/wp-content/uploads/2014/04/Merkblatt-Asylbewerber-Fluechtlinge.pdf","x")</f>
        <v>x</v>
      </c>
      <c r="IX136" s="112"/>
      <c r="IY136" s="112" t="str">
        <f>HYPERLINK("http://www.bamf.de/SharedDocs/Anlagen/DE/Publikationen/Broschueren/broschuere-eat-a4-ar-arabisch.pdf?__blob=publicationFile","x")</f>
        <v>x</v>
      </c>
      <c r="IZ136" s="111"/>
      <c r="JA136" s="112" t="str">
        <f>HYPERLINK("http://fluechtlingsrat-bw.de/informationen-fuer-fluechtlinge.html","x")</f>
        <v>x</v>
      </c>
      <c r="JB136" s="111"/>
      <c r="JC136" s="112"/>
      <c r="JD136" s="111"/>
      <c r="JE136" s="112"/>
      <c r="JF136" s="112"/>
      <c r="JG136" s="112" t="str">
        <f>HYPERLINK("http://www.bamf.de/SharedDocs/Anlagen/DE/Publikationen/Flyer/Ehegattennachzug/ehegattennachzug-ar.pdf?__blob=publicationFile","x")</f>
        <v>x</v>
      </c>
      <c r="JH136" s="112" t="str">
        <f>HYPERLINK("https://familyreunion-syria.diplo.de/webportal/index.html#start","x")</f>
        <v>x</v>
      </c>
      <c r="JI136" s="111"/>
      <c r="JJ136" s="112"/>
      <c r="JK136" s="112" t="str">
        <f>HYPERLINK("https://www.arbeitsagentur.de/web/wcm/idc/groups/public/documents/webdatei/mdaw/mjgz/~edisp/l6019022dstbai784629.pdf?_ba.sid=L6019022DSTBAI788745","x")</f>
        <v>x</v>
      </c>
      <c r="JL136" s="112" t="str">
        <f>HYPERLINK("http://www.kub-berlin.org/formularprojekt/de/arabisch-antraege-und-anlagen/","x")</f>
        <v>x</v>
      </c>
      <c r="JM136" s="112" t="str">
        <f>HYPERLINK("https://www.arbeitsagentur.de/web/content/DE/Formulare/Detail/index.htm?dfContentId=L6019022DSTBAI485740","x")</f>
        <v>x</v>
      </c>
      <c r="JN136" s="112"/>
      <c r="JO136" s="112"/>
      <c r="JP136" s="112"/>
      <c r="JQ136" s="112"/>
      <c r="JR136" s="112" t="str">
        <f t="shared" si="52"/>
        <v>x</v>
      </c>
      <c r="JS136" s="112"/>
      <c r="JT136" s="112" t="str">
        <f>HYPERLINK("http://www.b-umf.de/images/willkommen/willkommensbroschurearabisch-web.pdf","x")</f>
        <v>x</v>
      </c>
      <c r="JU136" s="111"/>
      <c r="JV136" s="111"/>
      <c r="JW136" s="112"/>
      <c r="JX136" s="112"/>
      <c r="JY136" s="112"/>
      <c r="JZ136" s="112"/>
      <c r="KA136" s="112" t="str">
        <f>HYPERLINK("http://www.kas.de/wf/de/33.43117/","x")</f>
        <v>x</v>
      </c>
      <c r="KB136" s="112" t="str">
        <f>HYPERLINK("http://www.refugeeguide.de/dl/RefugeeGuide_ar_930.pdf","x")</f>
        <v>x</v>
      </c>
      <c r="KC136" s="112" t="str">
        <f>HYPERLINK("http://www.bpb.de/shop/buecher/grundgesetz/215136/grundgesetz-auf-arabisch","x")</f>
        <v>x</v>
      </c>
      <c r="KD136" s="112" t="str">
        <f>HYPERLINK("http://www.wedel.de/fileadmin/user_upload/media/pdf/Rathaus_und_Politik/20160118_PM_Broschuere.pdf","x")</f>
        <v>x</v>
      </c>
      <c r="KE136" s="112" t="str">
        <f>HYPERLINK("http://www.frauenrechte.de/online/images/downloads/allgemein/TDF_Flyer_Women_Men.pdf","x")</f>
        <v>x</v>
      </c>
      <c r="KF136" s="112" t="str">
        <f>HYPERLINK("http://sab.landtag.sachsen.de/dokumente/landtagskurier/Grundwerte-A5-international_web_08012016.pdf","x")</f>
        <v>x</v>
      </c>
      <c r="KG136" s="112"/>
      <c r="KH136" s="112"/>
      <c r="KI136" s="112"/>
      <c r="KJ136" s="112"/>
      <c r="KK136" s="112"/>
      <c r="KL136" s="112"/>
      <c r="KM136" s="112"/>
      <c r="KN136" s="112"/>
      <c r="KO136" s="112"/>
      <c r="KP136" s="112"/>
      <c r="KQ136" s="112"/>
      <c r="KR136" s="112"/>
      <c r="KS136" s="112"/>
      <c r="KT136" s="112"/>
      <c r="KU136" s="112"/>
      <c r="KV136" s="112"/>
      <c r="KW136" s="112"/>
      <c r="KX136" s="112"/>
      <c r="KY136" s="112"/>
      <c r="KZ136" s="112"/>
      <c r="LA136" s="112"/>
      <c r="LB136" s="112"/>
      <c r="LC136" s="111"/>
      <c r="LD136" s="111"/>
      <c r="LE136" s="111"/>
      <c r="LF136" s="111"/>
      <c r="LG136" s="112"/>
      <c r="LH136" s="111"/>
      <c r="LI136" s="111"/>
      <c r="LJ136" s="111"/>
      <c r="LK136" s="111"/>
      <c r="LL136" s="111"/>
      <c r="LM136" s="111"/>
      <c r="LN136" s="111"/>
      <c r="LO136" s="111"/>
      <c r="LP136" s="111"/>
      <c r="LQ136" s="111"/>
      <c r="LR136" s="111"/>
      <c r="LS136" s="111"/>
      <c r="LT136" s="112"/>
      <c r="LU136" s="111"/>
      <c r="LV136" s="111"/>
      <c r="LW136" s="111"/>
      <c r="LX136" s="111"/>
      <c r="LY136" s="111"/>
      <c r="LZ136" s="112" t="str">
        <f>HYPERLINK("http://www.bjf.info/projekte/cinemanya","x")</f>
        <v>x</v>
      </c>
      <c r="MA136" s="111"/>
      <c r="MB136" s="111"/>
      <c r="MC136" s="111"/>
      <c r="MD136" s="112" t="str">
        <f>HYPERLINK("http://www.rki.de/DE/Content/Infekt/IfSG/Belehrungsbogen/belehrungsbogen_lebensmittel_arabisch.pdf?__blob=publicationFile","x")</f>
        <v>x</v>
      </c>
      <c r="ME136" s="111"/>
      <c r="MF136" s="112" t="str">
        <f>HYPERLINK("http://www.gdv.de/wp-content/uploads/2016/01/Information_Brandschutz_Fluechtlingsheim_-Sicherheit_mehrsprachig.pdf","x")</f>
        <v>x</v>
      </c>
      <c r="MG136" s="112" t="str">
        <f>HYPERLINK("http://www.gdv.de/wp-content/uploads/2016/01/Information_Verhalten-im-Brandfall_mehrsprachig.pdf","x")</f>
        <v>x</v>
      </c>
      <c r="MH136" s="112" t="str">
        <f>HYPERLINK("http://www.aha-region.de/fileadmin/Download/pdf/aha_Plakat_Muelltrennung_ar.pdf","x")</f>
        <v>x</v>
      </c>
      <c r="MI136" s="112" t="str">
        <f>HYPERLINK("http://www.kindersicherheit.de/pdf/2012_poster_achtunggiftig_8sprachig.pdf","x")</f>
        <v>x</v>
      </c>
    </row>
    <row r="137" spans="1:347" x14ac:dyDescent="0.25">
      <c r="A137" s="102" t="s">
        <v>62</v>
      </c>
      <c r="B137" s="127" t="s">
        <v>5</v>
      </c>
      <c r="C137" s="102"/>
      <c r="D137" s="102"/>
      <c r="E137" s="102"/>
      <c r="F137" s="102"/>
      <c r="G137" s="102"/>
      <c r="H137" s="102"/>
      <c r="I137" s="102"/>
      <c r="J137" s="102"/>
      <c r="K137" s="103"/>
      <c r="L137" s="111"/>
      <c r="M137" s="111"/>
      <c r="N137" s="111"/>
      <c r="O137" s="111"/>
      <c r="P137" s="112" t="str">
        <f>HYPERLINK("http://www.awb-ahrweiler.de/admin/data/ddownload/Abfall%20Sonderhinweise-Franzoesisch%202015.pdf","x")</f>
        <v>x</v>
      </c>
      <c r="Q137" s="111"/>
      <c r="R137" s="111"/>
      <c r="S137" s="111"/>
      <c r="T137" s="111"/>
      <c r="U137" s="112" t="str">
        <f>HYPERLINK("http://www.ag-fluechtlingshilfe-wetterau.de/uploads/infos/191.pdf","x")</f>
        <v>x</v>
      </c>
      <c r="V137" s="112"/>
      <c r="W137" s="112"/>
      <c r="X137" s="111"/>
      <c r="Y137" s="112"/>
      <c r="Z137" s="112"/>
      <c r="AA137" s="112"/>
      <c r="AB137" s="112"/>
      <c r="AC137" s="112"/>
      <c r="AD137" s="112" t="str">
        <f>HYPERLINK("http://www.rundfunkbeitrag.de/e175/e1632/Informationsflyer_Buergerinnen_und_Buerger_franzoesisch.pdf","x")</f>
        <v>x</v>
      </c>
      <c r="AE137" s="112"/>
      <c r="AF137" s="112" t="str">
        <f>HYPERLINK("http://www.kub-berlin.org/formularprojekt/franzoesisch-antraege-und-anlagen-uebersetzungshilfen/","x")</f>
        <v>x</v>
      </c>
      <c r="AG137" s="112" t="str">
        <f>HYPERLINK("http://asyl-in-moenchengladbach.de/wp-content/uploads/2015/11/100711-Flyer_FR.pdf","x")</f>
        <v>x</v>
      </c>
      <c r="AH137" s="112" t="str">
        <f>HYPERLINK("http://sghanstedt.elbnetz.com/ueber-uns/","x")</f>
        <v>x</v>
      </c>
      <c r="AI137" s="111"/>
      <c r="AJ137" s="111"/>
      <c r="AK137" s="112" t="str">
        <f>HYPERLINK("https://www.vrsinfo.de/fileadmin/Dateien/downloadcenter/Folder_MobilPassTicket_Refugees01012016.pdf","x")</f>
        <v>x</v>
      </c>
      <c r="AL137" s="112" t="str">
        <f>HYPERLINK("https://www.vrsinfo.de/fileadmin/Dateien/downloadcenter/Willkommen_im_VRS2016_Druck.pdf","x")</f>
        <v>x</v>
      </c>
      <c r="AM137" s="112"/>
      <c r="AN137" s="112" t="str">
        <f>HYPERLINK("https://www.deutschebahn.com/file/de/2191748/eYdgZpqGpp5sMJ2KMKtg2r8aE4Q/10123812/data/infos_fuer_fluechtlinge.pdf","x")</f>
        <v>x</v>
      </c>
      <c r="AO137" s="112"/>
      <c r="AP137" s="112"/>
      <c r="AQ137" s="112"/>
      <c r="AR137" s="112"/>
      <c r="AS137" s="112"/>
      <c r="AT137" s="112"/>
      <c r="AU137" s="112"/>
      <c r="AV137" s="114" t="str">
        <f>HYPERLINK("http://www.studentenwerke.de/de/content/illustriertes-wohnheimw%C3%B6rterbuch-1","x")</f>
        <v>x</v>
      </c>
      <c r="AW137" s="114" t="str">
        <f t="shared" si="22"/>
        <v>x</v>
      </c>
      <c r="AX137" s="114" t="str">
        <f t="shared" si="23"/>
        <v>x</v>
      </c>
      <c r="AY137" s="111"/>
      <c r="AZ137" s="111"/>
      <c r="BA137" s="112" t="str">
        <f t="shared" si="24"/>
        <v>x</v>
      </c>
      <c r="BB137" s="112" t="str">
        <f t="shared" si="25"/>
        <v>x</v>
      </c>
      <c r="BC137" s="111"/>
      <c r="BD137" s="111"/>
      <c r="BE137" s="111"/>
      <c r="BF137" s="112" t="str">
        <f>HYPERLINK("http://fi-lohmar-siegburg.de/data/documents/communicationboard-arabic-french.pdf","x")</f>
        <v>x</v>
      </c>
      <c r="BG137" s="111"/>
      <c r="BH137" s="112" t="str">
        <f>HYPERLINK("http://www.refugeephrasebook.de/pdf/germany150920.pdf","x")</f>
        <v>x</v>
      </c>
      <c r="BI137" s="112" t="str">
        <f>HYPERLINK("https://www.advanced-online.eu/downloads/RefugeePhrasebookCards_German-French.pdf","x")</f>
        <v>x</v>
      </c>
      <c r="BJ137" s="112" t="str">
        <f>HYPERLINK("http://www.klett-sprachen.de/download/8638/W100255_Refugees_Welcome_Wortschatz.pdf","x")</f>
        <v>x</v>
      </c>
      <c r="BK137" s="111"/>
      <c r="BL137" s="112" t="str">
        <f>HYPERLINK("http://www.bundessprachenamt.de/deutsch/wir_ueber_uns/nachrichten/2015/20151103/Verständigungshilfe_Französisch_26_11_2015.pdf","x")</f>
        <v>x</v>
      </c>
      <c r="BM137" s="111"/>
      <c r="BN137" s="111"/>
      <c r="BO137" s="111"/>
      <c r="BP137" s="111"/>
      <c r="BQ137" s="111"/>
      <c r="BR137" s="111"/>
      <c r="BS137" s="112" t="str">
        <f t="shared" si="26"/>
        <v>x</v>
      </c>
      <c r="BT137" s="112"/>
      <c r="BU137" s="111"/>
      <c r="BV137" s="112" t="str">
        <f t="shared" si="27"/>
        <v>x</v>
      </c>
      <c r="BW137" s="112" t="str">
        <f>HYPERLINK("http://www.welcomegrooves.de/wp-content/uploads/2015/11/welcomegrooves-de-franzoesisch.pdf","x")</f>
        <v>x</v>
      </c>
      <c r="BX137" s="112"/>
      <c r="BY137" s="112"/>
      <c r="BZ137" s="112" t="str">
        <f>HYPERLINK("http://fluechtlingshilfe-nettetal.de/ausbildung/video-sprachkurse-deutsch-fuer-fluechtlinge/video-sprachkurs-franzoesisch-deutsch/","x")</f>
        <v>x</v>
      </c>
      <c r="CA137" s="112" t="str">
        <f t="shared" si="28"/>
        <v>x</v>
      </c>
      <c r="CB137" s="112" t="str">
        <f t="shared" si="29"/>
        <v>x</v>
      </c>
      <c r="CC137" s="112" t="str">
        <f t="shared" si="30"/>
        <v>x</v>
      </c>
      <c r="CD137" s="112"/>
      <c r="CE137" s="112"/>
      <c r="CF137" s="111"/>
      <c r="CG137" s="111"/>
      <c r="CH137" s="112" t="str">
        <f>HYPERLINK("http://mifkjf.rlp.de/fileadmin/mifkjf/Frauen/Gewalt_gegen_Frauen/Downloads/Broschueren_Flyer/Flyer_Gewalt_franzoesisch.pdf","x")</f>
        <v>x</v>
      </c>
      <c r="CI137" s="112" t="str">
        <f>HYPERLINK("https://www.hilfetelefon.de/fileadmin/hilfetelefon_de/Materialien/Flyer/Infoflyer_Hilfetelefon_Gewalt_gegen_Frauen141105_b2.pdf","x")</f>
        <v>x</v>
      </c>
      <c r="CJ137" s="112" t="str">
        <f>HYPERLINK("https://www.hilfetelefon.de/fileadmin/hilfetelefon_de/Materialien/weitere_werbemittel/Klappflyer_Vorder-_und_Rueckseite_opt2.pdf","x")</f>
        <v>x</v>
      </c>
      <c r="CK137" s="112" t="str">
        <f t="shared" si="31"/>
        <v>x</v>
      </c>
      <c r="CL137" s="112"/>
      <c r="CM137" s="112"/>
      <c r="CN137" s="112"/>
      <c r="CO137" s="112"/>
      <c r="CP137" s="112" t="str">
        <f>HYPERLINK("http://www.schwanger-und-viele-fragen.de/fr/","x")</f>
        <v>x</v>
      </c>
      <c r="CQ137" s="112"/>
      <c r="CR137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37" s="112" t="str">
        <f>HYPERLINK("http://en.beststart.org/for_parents/are-you-looking-resources-languages-other-english-and-french","x")</f>
        <v>x</v>
      </c>
      <c r="CT137" s="112"/>
      <c r="CU137" s="112" t="str">
        <f>HYPERLINK("http://www.profamilia.de/fileadmin/publikationen/Erwachsene/mehrsprachig/Bro_Verhuetung_frz_141002.pdf","x")</f>
        <v>x</v>
      </c>
      <c r="CV137" s="112"/>
      <c r="CW137" s="112"/>
      <c r="CX137" s="112"/>
      <c r="CY137" s="112" t="str">
        <f>HYPERLINK("http://www.caritas-schwarzwald-alb-donau.de/68854.html","x")</f>
        <v>x</v>
      </c>
      <c r="CZ137" s="112"/>
      <c r="DA137" s="112"/>
      <c r="DB137" s="112"/>
      <c r="DC137" s="115" t="str">
        <f>HYPERLINK("http://www.kindersicherheit.de/pdf/2013_BAG_Tomi_and_Mila_Deutsch_Francais.pdf","x")</f>
        <v>x</v>
      </c>
      <c r="DD137" s="112"/>
      <c r="DE137" s="112"/>
      <c r="DF137" s="112" t="str">
        <f t="shared" si="32"/>
        <v>x</v>
      </c>
      <c r="DG137" s="115" t="str">
        <f t="shared" si="33"/>
        <v>x</v>
      </c>
      <c r="DH137" s="112" t="str">
        <f t="shared" si="34"/>
        <v>x</v>
      </c>
      <c r="DI137" s="112" t="str">
        <f t="shared" si="35"/>
        <v>x</v>
      </c>
      <c r="DJ137" s="112"/>
      <c r="DK137" s="112"/>
      <c r="DL137" s="112"/>
      <c r="DM137" s="112"/>
      <c r="DN137" s="112"/>
      <c r="DO137" s="112"/>
      <c r="DP137" s="111"/>
      <c r="DQ137" s="111"/>
      <c r="DR137" s="112" t="str">
        <f>HYPERLINK("https://broschueren.nordrheinwestfalendirekt.de/broschuerenservice/msw/fr-das-schulsystem-in-nordrhein-westfalen-einfach-und-schnell-erklaert/1903","x")</f>
        <v>x</v>
      </c>
      <c r="DS137" s="112" t="str">
        <f>HYPERLINK("http://bildung.koeln.de/materialbibliothek/download.php?idx=6f75d59e17e7868506c0a48e6f7a44f2","x")</f>
        <v>x</v>
      </c>
      <c r="DT137" s="112" t="str">
        <f>HYPERLINK("http://bildung.koeln.de/materialbibliothek/download.php?idx=bde72be3f1bc4c51a4b0bcfe4a4187c4","x")</f>
        <v>x</v>
      </c>
      <c r="DU137" s="112"/>
      <c r="DV137" s="112" t="str">
        <f>HYPERLINK("https://www.bmbf.de/pub/KAUSA_Elternratgeber_deutsch_franzoesisch.pdf","x")</f>
        <v>x</v>
      </c>
      <c r="DW137" s="111"/>
      <c r="DX137" s="112" t="str">
        <f>HYPERLINK("http://www.wissenschaft.nrw.de/studium/informieren/informationen-fuer-fluechtlinge-die-in-nrw-studieren-moechten/","x")</f>
        <v>x</v>
      </c>
      <c r="DY137" s="111"/>
      <c r="DZ137" s="112" t="str">
        <f>HYPERLINK("http://www.bamf.de/SharedDocs/Anlagen/DE/Publikationen/Flyer/AnerkennungBerufsabschluss/anerkennung-berufsabschluss_fr.pdf?__blob=publicationFile","x")</f>
        <v>x</v>
      </c>
      <c r="EA137" s="112" t="str">
        <f>HYPERLINK("http://www.bamf.de/SharedDocs/Anlagen/DE/Publikationen/Flyer/AnerkennungBerufsabschluss/anerkennung-berufsabschluss_ausland_fr.pdf?__blob=publicationFile","x")</f>
        <v>x</v>
      </c>
      <c r="EB137" s="112" t="str">
        <f>HYPERLINK("http://www.bamf.de/SharedDocs/Anlagen/DE/Publikationen/Broschueren/willkommen-in-deutschland-info-blaue-karte-eu_fr.pdf?__blob=publicationFile","x")</f>
        <v>x</v>
      </c>
      <c r="EC137" s="112" t="str">
        <f>HYPERLINK("http://www.bamf.de/SharedDocs/Anlagen/DE/Publikationen/Flyer/Berufsbezsprachf-ESF-BAMF/berufsbezsprachf-esf-bamf_fr.pdf?__blob=publicationFile","x")</f>
        <v>x</v>
      </c>
      <c r="ED137" s="111"/>
      <c r="EE137" s="111"/>
      <c r="EF137" s="111"/>
      <c r="EG137" s="111"/>
      <c r="EH137" s="111"/>
      <c r="EI137" s="111"/>
      <c r="EJ137" s="112"/>
      <c r="EK137" s="112" t="str">
        <f>HYPERLINK("http://fluechtlingsrat-bw.de/files/Dateien/Dokumente/Materialbestellung/2014-12-flyer%20arbeitserlaubnis%20FRZ%20WEB.pdf","x")</f>
        <v>x</v>
      </c>
      <c r="EL137" s="111"/>
      <c r="EM137" s="112" t="str">
        <f>HYPERLINK("http://www.kvs-sachsen.de/fileadmin/img/Mitglieder/Asylbewerber/Allg-Informationen/Anlage_1_Franzoesisch_LEK.pdf","x")</f>
        <v>x</v>
      </c>
      <c r="EN137" s="112" t="str">
        <f>HYPERLINK("http://www.medizin-hilft-fluechtlingen.de/images/Dokumente/gSch/gSch_fra.pdf","x")</f>
        <v>x</v>
      </c>
      <c r="EO137" s="112"/>
      <c r="EP137" s="117" t="str">
        <f t="shared" si="53"/>
        <v>x</v>
      </c>
      <c r="EQ137" s="117" t="str">
        <f>HYPERLINK("http://www.armut-gesundheit.de/fileadmin/redakteur/dokumente/Anamnesebogen%20-%20franz%C3%B6sischnew.pdf","x")</f>
        <v>x</v>
      </c>
      <c r="ER137" s="112" t="str">
        <f>HYPERLINK("http://www.kvs-sachsen.de/fileadmin/img/Mitglieder/Asylbewerber/Allg-Informationen/Anlagen_2-1_2-2_Franzoesisch_LEK.pdf","x")</f>
        <v>x</v>
      </c>
      <c r="ES137" s="111"/>
      <c r="ET137" s="111"/>
      <c r="EU137" s="112" t="str">
        <f>HYPERLINK("http://medizin-hilft-fluechtlingen.de/images/Dokumente/ein/ein_per.pdf","x")</f>
        <v>x</v>
      </c>
      <c r="EV137" s="112" t="str">
        <f>HYPERLINK("http://www.adler-apotheke-hh.de/fileadmin/user_upload/PDF-Dateien/Dosierzettel_mehrsprachig_AUF_0_.pdf","x")</f>
        <v>x</v>
      </c>
      <c r="EW137" s="112" t="str">
        <f t="shared" si="36"/>
        <v>x</v>
      </c>
      <c r="EX137" s="112" t="str">
        <f>HYPERLINK("http://www.rki.de/DE/Content/Infekt/IfSG/Belehrungsbogen/belehrungsbogen_eltern_franzoesisch.pdf?__blob=publicationFile","x")</f>
        <v>x</v>
      </c>
      <c r="EY137" s="111"/>
      <c r="EZ137" s="112" t="str">
        <f>HYPERLINK("https://www.mh-hannover.de/fileadmin/mhh/bilder/aktuelles_presse/pressestelle/bilder/Pilzvergif_franzoesisch.pdf","x")</f>
        <v>x</v>
      </c>
      <c r="FA137" s="112"/>
      <c r="FB137" s="112" t="str">
        <f>HYPERLINK("http://static.apotheken-umschau.de/media/gp/article_506373/bildwoerterbuch.pdf","x")</f>
        <v>x</v>
      </c>
      <c r="FC137" s="111"/>
      <c r="FD137" s="112" t="str">
        <f t="shared" si="37"/>
        <v>x</v>
      </c>
      <c r="FE137" s="112" t="str">
        <f t="shared" si="54"/>
        <v>x</v>
      </c>
      <c r="FF137" s="111"/>
      <c r="FG137" s="112" t="str">
        <f>HYPERLINK("http://www.tipdoc.de/grafik/asyl/Gesundheitsheft_Asyl.pdf","x")</f>
        <v>x</v>
      </c>
      <c r="FH137" s="111"/>
      <c r="FI137" s="111"/>
      <c r="FJ137" s="112"/>
      <c r="FK137" s="112" t="str">
        <f>HYPERLINK("http://www.rki.de/DE/Content/Infekt/Impfen/Materialien/Downloads-Impfkalender/Impfkalender_Franzoesisch.pdf?__blob=publicationFile","x")</f>
        <v>x</v>
      </c>
      <c r="FL137" s="112" t="str">
        <f>HYPERLINK("http://www.ethno-medizinisches-zentrum.de/images/PDF-Files/impfwegweiser_franzosisch_2013_online.pdf","x")</f>
        <v>x</v>
      </c>
      <c r="FM137" s="112"/>
      <c r="FN137" s="112" t="str">
        <f>HYPERLINK("http://www.rki.de/DE/Content/Infekt/Impfen/Materialien/Glossar-Downloads/glossar-de-franzoesisch.pdf?__blob=publicationFile","x")</f>
        <v>x</v>
      </c>
      <c r="FO137" s="112" t="str">
        <f>HYPERLINK("http://www.euro.who.int/__data/assets/pdf_file/0012/162300/VPD-Signs,-symptoms-and-complications-FRE.pdf","x")</f>
        <v>x</v>
      </c>
      <c r="FP137" s="112" t="str">
        <f>HYPERLINK("http://www.rki.de/DE/Content/Infekt/Impfen/Materialien/Downloads-MMR/MMR-Impfinfo-franzoesisch.pdf?__blob=publicationFile","x")</f>
        <v>x</v>
      </c>
      <c r="FQ137" s="112" t="str">
        <f>HYPERLINK("http://www.rki.de/DE/Content/InfAZ/P/Polio/Ausbruch_Syrien/Informationsblatt_Polio_Franzoesisch.pdf?__blob=publicationFile","x")</f>
        <v>x</v>
      </c>
      <c r="FR137" s="112" t="str">
        <f>HYPERLINK("http://www.rki.de/DE/Content/Infekt/Impfen/Materialien/Downloads_HepA/Aufklaerung_HAV-Impfung_Franzoesisch.pdf?__blob=publicationFile","x")</f>
        <v>x</v>
      </c>
      <c r="FS137" s="112" t="str">
        <f>HYPERLINK("http://www.rki.de/DE/Content/Infekt/Impfen/Materialien/Downloads_Pneumokokken/Aufklaerung_Pneumo-Impfung_Franzoesisch.pdf?__blob=publicationFile","x")</f>
        <v>x</v>
      </c>
      <c r="FT137" s="112" t="str">
        <f>HYPERLINK("http://www.rki.de/DE/Content/Infekt/Impfen/Materialien/Downloads-DTaPIPVHibHepB/DTaPIPVHibHepB-franzoesisch.pdf?__blob=publicationFile","x")</f>
        <v>x</v>
      </c>
      <c r="FU137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37" s="112" t="str">
        <f>HYPERLINK("http://www.rki.de/DE/Content/Infekt/Impfen/Materialien/Downloads-Tdap-IPV/Tdap-IPV-franzoesisch.pdf?__blob=publicationFile","x")</f>
        <v>x</v>
      </c>
      <c r="FW137" s="112" t="str">
        <f>HYPERLINK("http://www.rki.de/DE/Content/Infekt/Impfen/Materialien/Downloads-Influenza_nasal/Influenza_nasal-franzoesisch.pdf?__blob=publicationFile","x")</f>
        <v>x</v>
      </c>
      <c r="FX137" s="111"/>
      <c r="FY137" s="112"/>
      <c r="FZ137" s="112"/>
      <c r="GA137" s="111"/>
      <c r="GB137" s="111"/>
      <c r="GC137" s="111"/>
      <c r="GD137" s="112" t="str">
        <f>HYPERLINK("http://www.ethno-medizinisches-zentrum.de/images/PDF-Files/lf_diabete_franzosisch.pdf","x")</f>
        <v>x</v>
      </c>
      <c r="GE137" s="111"/>
      <c r="GF137" s="111"/>
      <c r="GG137" s="111"/>
      <c r="GH137" s="112"/>
      <c r="GI137" s="111"/>
      <c r="GJ137" s="111"/>
      <c r="GK137" s="112" t="str">
        <f>HYPERLINK("http://www.tipdoc.de/bus/pdf/hiv/HIV%20SRF_Webseite.pdf","x")</f>
        <v>x</v>
      </c>
      <c r="GL137" s="111"/>
      <c r="GM137" s="112" t="str">
        <f>HYPERLINK("http://www.rki.de/DE/Content/Infekt/Impfen/Materialien/Downloads-Influenza/Influenza-franzoesisch.pdf?__blob=publicationFile","x")</f>
        <v>x</v>
      </c>
      <c r="GN137" s="111"/>
      <c r="GO137" s="111"/>
      <c r="GP137" s="112" t="str">
        <f>HYPERLINK("http://www.tipdoc.de/grafik/pdf/kopflaeuse/Kopflaeuse_FRANZ.pdf","x")</f>
        <v>x</v>
      </c>
      <c r="GQ137" s="112"/>
      <c r="GR137" s="112" t="str">
        <f>HYPERLINK("http://www.tipdoc.com/bus/pdf/kraetze/tipdoc_Scabies_FRANZ.pdf","x")</f>
        <v>x</v>
      </c>
      <c r="GS137" s="112" t="str">
        <f>HYPERLINK("http://www.tipdoc.com/bus/pdf/MagenDarmHaende/MagenDarmHaende_FRANZ.pdf","x")</f>
        <v>x</v>
      </c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2" t="str">
        <f t="shared" si="38"/>
        <v>x</v>
      </c>
      <c r="HD137" s="112" t="str">
        <f>HYPERLINK("https://www.zahnaerzte-wl.de/images/_PDF-suche/KZV_ZÄK/ENDSTAND_Ankreuzbogen_Ich_verstehe.pdf","x")</f>
        <v>x</v>
      </c>
      <c r="HE137" s="112" t="str">
        <f>HYPERLINK("https://www.zahnaerzte-wl.de/images/_PDF-suche/KZV_ZÄK/Anschreiben_Patienten_franzoesisch.pdf","x")</f>
        <v>x</v>
      </c>
      <c r="HF137" s="112" t="str">
        <f>HYPERLINK("https://www.zahnaerzte-wl.de/images/_PDF-suche/KZV_ZÄK/Fragebogen_franzoesisch.pdf","x")</f>
        <v>x</v>
      </c>
      <c r="HG137" s="112" t="str">
        <f>HYPERLINK("https://www.zahnaerzte-wl.de/images/_PDF-suche/KZV_ZÄK/Patientenerhebungsbogen_franzoesisch.pdf","x")</f>
        <v>x</v>
      </c>
      <c r="HH137" s="112"/>
      <c r="HI137" s="112" t="str">
        <f>HYPERLINK("http://www.bvkm.de/fileadmin/web_data/Behinderung_und_Migration_franzoesisch_2014.pdf","x")</f>
        <v>x</v>
      </c>
      <c r="HJ137" s="112"/>
      <c r="HK137" s="112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2" t="str">
        <f t="shared" si="39"/>
        <v>x</v>
      </c>
      <c r="HZ137" s="112" t="str">
        <f t="shared" si="40"/>
        <v>x</v>
      </c>
      <c r="IA137" s="112" t="str">
        <f>HYPERLINK("http://peacefulheart.se/wp-content/uploads/2015/01/Tapping_French_Module-20150102-2.pdf","x")</f>
        <v>x</v>
      </c>
      <c r="IB137" s="111"/>
      <c r="IC137" s="111"/>
      <c r="ID137" s="111"/>
      <c r="IE137" s="111"/>
      <c r="IF137" s="111"/>
      <c r="IG137" s="111"/>
      <c r="IH137" s="111"/>
      <c r="II137" s="112" t="str">
        <f>HYPERLINK("http://www.caritas.de/hilfeundberatung/onlineberatung/suchtberatung/haeufiggestelltefragensucht/haeufiggestelltefragen-sucht","x")</f>
        <v>x</v>
      </c>
      <c r="IJ137" s="111"/>
      <c r="IK137" s="112" t="str">
        <f>HYPERLINK("http://www.bamf.de/SharedDocs/Anlagen/DE/Publikationen/Flyer/Lassen-Sie-Sich-Beraten/lassen-sie-sich-beraten_fr.pdf?__blob=publicationFile","x")</f>
        <v>x</v>
      </c>
      <c r="IL137" s="112" t="str">
        <f>HYPERLINK("http://www.bamf.de/SharedDocs/Anlagen/DE/Publikationen/Flyer/flyer-erstorientierung-asylsuchende_franzoesisch.pdf?__blob=publicationFile","x")</f>
        <v>x</v>
      </c>
      <c r="IM137" s="112" t="str">
        <f>HYPERLINK("http://www.frnrw.de/index.php/inhaltliche-themen/arbeitshilfen/item/3710-erstinfos-fuer-asylsuchende","x")</f>
        <v>x</v>
      </c>
      <c r="IN137" s="112" t="str">
        <f>HYPERLINK("https://www.bamf.de/SharedDocs/Anlagen/DE/Publikationen/Broschueren/willkommen-in-deutschland_fr.pdf?__blob=publicationFile","x")</f>
        <v>x</v>
      </c>
      <c r="IO137" s="112"/>
      <c r="IP137" s="112"/>
      <c r="IQ137" s="112" t="str">
        <f>HYPERLINK("http://www.bamf.de/SharedDocs/Anlagen/DE/Publikationen/Flyer/Lernen-Sie-Deutsch/lernen-sie-deutsch_fr.pdf?__blob=publicationFile","x")</f>
        <v>x</v>
      </c>
      <c r="IR137" s="112"/>
      <c r="IS137" s="111"/>
      <c r="IT137" s="111"/>
      <c r="IU137" s="111"/>
      <c r="IV137" s="112" t="str">
        <f>HYPERLINK("http://www.asyl.net/fileadmin/user_upload/infoblatt_anhoerung/Frz_final.pdf","x")</f>
        <v>x</v>
      </c>
      <c r="IW137" s="112"/>
      <c r="IX137" s="112" t="str">
        <f>HYPERLINK("http://www.berlin.de/labo/willkommen-in-berlin/service/downloads/artikel.273193.php","x")</f>
        <v>x</v>
      </c>
      <c r="IY137" s="112" t="str">
        <f>HYPERLINK("http://www.bamf.de/SharedDocs/Anlagen/DE/Publikationen/Broschueren/broschuere-eat-a4-fr-franzoesisch.pdf?__blob=publicationFile","x")</f>
        <v>x</v>
      </c>
      <c r="IZ137" s="111"/>
      <c r="JA137" s="112" t="str">
        <f>HYPERLINK("http://fluechtlingsrat-bw.de/informationen-fuer-fluechtlinge.html","x")</f>
        <v>x</v>
      </c>
      <c r="JB137" s="111"/>
      <c r="JC137" s="112" t="str">
        <f>HYPERLINK("http://www.bamf.de/SharedDocs/Anlagen/DE/Publikationen/Flyer/20150223_ura2_fra.pdf?__blob=publicationFile","x")</f>
        <v>x</v>
      </c>
      <c r="JD137" s="111"/>
      <c r="JE137" s="112"/>
      <c r="JF137" s="112"/>
      <c r="JG137" s="112"/>
      <c r="JH137" s="112"/>
      <c r="JI137" s="111"/>
      <c r="JJ137" s="112" t="str">
        <f>HYPERLINK("http://www.kub-berlin.org/formularprojekt/franzoesisch-antraege-und-anlagen-uebersetzungshilfen/","x")</f>
        <v>x</v>
      </c>
      <c r="JK137" s="112" t="str">
        <f>HYPERLINK("https://www.arbeitsagentur.de/web/wcm/idc/groups/public/documents/webdatei/mdaw/mjg1/~edisp/l6019022dstbai788667.pdf?_ba.sid=L6019022DSTBAI784626","x")</f>
        <v>x</v>
      </c>
      <c r="JL137" s="112" t="str">
        <f>HYPERLINK("http://www.kub-berlin.org/formularprojekt/franzoesisch-antraege-und-anlagen-uebersetzungshilfen/","x")</f>
        <v>x</v>
      </c>
      <c r="JM137" s="112" t="str">
        <f>HYPERLINK("https://www.arbeitsagentur.de/web/content/DE/Formulare/Detail/index.htm?dfContentId=L6019022DSTBAI485740","x")</f>
        <v>x</v>
      </c>
      <c r="JN137" s="112"/>
      <c r="JO137" s="112"/>
      <c r="JP137" s="112"/>
      <c r="JQ137" s="112"/>
      <c r="JR137" s="112" t="str">
        <f t="shared" si="52"/>
        <v>x</v>
      </c>
      <c r="JS137" s="112"/>
      <c r="JT137" s="112" t="str">
        <f>HYPERLINK("http://www.b-umf.de/images/willkommen/willkommensbroschurefranzoesisch-web.pdf","x")</f>
        <v>x</v>
      </c>
      <c r="JU137" s="111"/>
      <c r="JV137" s="111"/>
      <c r="JW137" s="112"/>
      <c r="JX137" s="112"/>
      <c r="JY137" s="112"/>
      <c r="JZ137" s="112"/>
      <c r="KA137" s="112"/>
      <c r="KB137" s="112" t="str">
        <f>HYPERLINK("http://www.refugeeguide.de/dl/RefugeeGuide_fr_925.pdf","x")</f>
        <v>x</v>
      </c>
      <c r="KC137" s="111"/>
      <c r="KD137" s="112" t="str">
        <f>HYPERLINK("http://www.wedel.de/fileadmin/user_upload/media/pdf/Rathaus_und_Politik/20160118_PM_Broschuere.pdf","x")</f>
        <v>x</v>
      </c>
      <c r="KE137" s="112" t="str">
        <f>HYPERLINK("http://www.frauenrechte.de/online/images/downloads/allgemein/TDF_Flyer_Women_Men.pdf","x")</f>
        <v>x</v>
      </c>
      <c r="KF137" s="112" t="str">
        <f>HYPERLINK("http://sab.landtag.sachsen.de/dokumente/landtagskurier/Grundwerte-A5-international_web_08012016.pdf","x")</f>
        <v>x</v>
      </c>
      <c r="KG137" s="112"/>
      <c r="KH137" s="112"/>
      <c r="KI137" s="112"/>
      <c r="KJ137" s="112"/>
      <c r="KK137" s="112"/>
      <c r="KL137" s="112"/>
      <c r="KM137" s="112"/>
      <c r="KN137" s="112"/>
      <c r="KO137" s="112"/>
      <c r="KP137" s="112"/>
      <c r="KQ137" s="112"/>
      <c r="KR137" s="112"/>
      <c r="KS137" s="112"/>
      <c r="KT137" s="112"/>
      <c r="KU137" s="112"/>
      <c r="KV137" s="112"/>
      <c r="KW137" s="112"/>
      <c r="KX137" s="112"/>
      <c r="KY137" s="112"/>
      <c r="KZ137" s="112"/>
      <c r="LA137" s="112"/>
      <c r="LB137" s="112"/>
      <c r="LC137" s="111"/>
      <c r="LD137" s="112"/>
      <c r="LE137" s="112"/>
      <c r="LF137" s="112"/>
      <c r="LG137" s="112"/>
      <c r="LH137" s="112"/>
      <c r="LI137" s="112"/>
      <c r="LJ137" s="112"/>
      <c r="LK137" s="112"/>
      <c r="LL137" s="112"/>
      <c r="LM137" s="111"/>
      <c r="LN137" s="111"/>
      <c r="LO137" s="111"/>
      <c r="LP137" s="111"/>
      <c r="LQ137" s="112"/>
      <c r="LR137" s="111"/>
      <c r="LS137" s="112"/>
      <c r="LT137" s="112"/>
      <c r="LU137" s="111"/>
      <c r="LV137" s="111"/>
      <c r="LW137" s="111"/>
      <c r="LX137" s="111"/>
      <c r="LY137" s="111"/>
      <c r="LZ137" s="111"/>
      <c r="MA137" s="111"/>
      <c r="MB137" s="112"/>
      <c r="MC137" s="111"/>
      <c r="MD137" s="112" t="str">
        <f>HYPERLINK("http://www.rki.de/DE/Content/Infekt/IfSG/Belehrungsbogen/belehrungsbogen_lebensmittel_franzoesisch.pdf?__blob=publicationFile","x")</f>
        <v>x</v>
      </c>
      <c r="ME137" s="111"/>
      <c r="MF137" s="112" t="str">
        <f>HYPERLINK("http://www.gdv.de/wp-content/uploads/2016/01/Information_Brandschutz_Fluechtlingsheim_-Sicherheit_mehrsprachig.pdf","x")</f>
        <v>x</v>
      </c>
      <c r="MG137" s="112" t="str">
        <f>HYPERLINK("http://www.gdv.de/wp-content/uploads/2016/01/Information_Verhalten-im-Brandfall_mehrsprachig.pdf","x")</f>
        <v>x</v>
      </c>
      <c r="MH137" s="112" t="str">
        <f>HYPERLINK("http://www.aha-region.de/fileadmin/Download/pdf/aha_Plakat_Muelltrennung_fr.pdf","x")</f>
        <v>x</v>
      </c>
      <c r="MI137" s="112" t="str">
        <f>HYPERLINK("http://www.kindersicherheit.de/pdf/2012_poster_achtunggiftig_8sprachig.pdf","x")</f>
        <v>x</v>
      </c>
    </row>
    <row r="138" spans="1:347" x14ac:dyDescent="0.25">
      <c r="A138" s="102" t="s">
        <v>62</v>
      </c>
      <c r="B138" s="127" t="s">
        <v>35</v>
      </c>
      <c r="C138" s="102"/>
      <c r="D138" s="102"/>
      <c r="E138" s="102"/>
      <c r="F138" s="102"/>
      <c r="G138" s="102"/>
      <c r="H138" s="102"/>
      <c r="I138" s="102"/>
      <c r="J138" s="102"/>
      <c r="K138" s="103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2" t="str">
        <f>HYPERLINK("http://www.rundfunkbeitrag.de/e175/e1636/Informationsflyer_Buerginnen_und_Buerger_spanisch.pdf","x")</f>
        <v>x</v>
      </c>
      <c r="AE138" s="111"/>
      <c r="AF138" s="112" t="str">
        <f>HYPERLINK("http://www.kub-berlin.org/formularprojekt/de/spanisch-antraege-und-uebersetzungshilfen/","x")</f>
        <v>x</v>
      </c>
      <c r="AG138" s="111"/>
      <c r="AH138" s="111"/>
      <c r="AI138" s="111"/>
      <c r="AJ138" s="111"/>
      <c r="AK138" s="111"/>
      <c r="AL138" s="111"/>
      <c r="AM138" s="111"/>
      <c r="AN138" s="111"/>
      <c r="AO138" s="112"/>
      <c r="AP138" s="112"/>
      <c r="AQ138" s="112"/>
      <c r="AR138" s="112"/>
      <c r="AS138" s="112"/>
      <c r="AT138" s="112"/>
      <c r="AU138" s="112"/>
      <c r="AV138" s="113"/>
      <c r="AW138" s="114" t="str">
        <f t="shared" si="22"/>
        <v>x</v>
      </c>
      <c r="AX138" s="114" t="str">
        <f t="shared" si="23"/>
        <v>x</v>
      </c>
      <c r="AY138" s="111"/>
      <c r="AZ138" s="111"/>
      <c r="BA138" s="112" t="str">
        <f t="shared" si="24"/>
        <v>x</v>
      </c>
      <c r="BB138" s="112" t="str">
        <f t="shared" si="25"/>
        <v>x</v>
      </c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2" t="str">
        <f t="shared" si="26"/>
        <v>x</v>
      </c>
      <c r="BT138" s="112"/>
      <c r="BU138" s="111"/>
      <c r="BV138" s="112" t="str">
        <f t="shared" si="27"/>
        <v>x</v>
      </c>
      <c r="BW138" s="112" t="str">
        <f>HYPERLINK("http://www.welcomegrooves.de/wp-content/uploads/2015/10/welcomegrooves_DE-SPANISCH.pdf","x")</f>
        <v>x</v>
      </c>
      <c r="BX138" s="112"/>
      <c r="BY138" s="112"/>
      <c r="BZ138" s="112"/>
      <c r="CA138" s="112" t="str">
        <f t="shared" si="28"/>
        <v>x</v>
      </c>
      <c r="CB138" s="112" t="str">
        <f t="shared" si="29"/>
        <v>x</v>
      </c>
      <c r="CC138" s="112" t="str">
        <f t="shared" si="30"/>
        <v>x</v>
      </c>
      <c r="CD138" s="112"/>
      <c r="CE138" s="112"/>
      <c r="CF138" s="111"/>
      <c r="CG138" s="111"/>
      <c r="CH138" s="112" t="str">
        <f>HYPERLINK("http://mifkjf.rlp.de/fileadmin/mifkjf/Frauen/Gewalt_gegen_Frauen/Downloads/Broschueren_Flyer/Flyer_Gewalt_spanisch.pdf","x")</f>
        <v>x</v>
      </c>
      <c r="CI138" s="111"/>
      <c r="CJ138" s="112" t="str">
        <f>HYPERLINK("https://www.hilfetelefon.de/fileadmin/hilfetelefon_de/Materialien/weitere_werbemittel/Klappflyer_Vorder-_und_Rueckseite_opt2.pdf","x")</f>
        <v>x</v>
      </c>
      <c r="CK138" s="112" t="str">
        <f t="shared" si="31"/>
        <v>x</v>
      </c>
      <c r="CL138" s="112" t="str">
        <f>HYPERLINK("http://www.frauenberatungsstelle.de/pdf/Migrantinnen-beraten-Migrantinnen.pdf","x")</f>
        <v>x</v>
      </c>
      <c r="CM138" s="112"/>
      <c r="CN138" s="112"/>
      <c r="CO138" s="112"/>
      <c r="CP138" s="112" t="str">
        <f>HYPERLINK("http://www.schwanger-und-viele-fragen.de/es/","x")</f>
        <v>x</v>
      </c>
      <c r="CQ138" s="112"/>
      <c r="CR138" s="112"/>
      <c r="CS138" s="112"/>
      <c r="CT138" s="112"/>
      <c r="CU138" s="112" t="str">
        <f>HYPERLINK("http://www.profamilia.de/fileadmin/publikationen/Erwachsene/mehrsprachig/Verhuetung_spanisch.pdf","x")</f>
        <v>x</v>
      </c>
      <c r="CV138" s="112" t="str">
        <f>HYPERLINK("http://www.profamilia.de/fileadmin/publikationen/Reihe_Verhuetungsmethoden/Bro_Pille_danach_Faltblatt_esp_141103.pdf","x")</f>
        <v>x</v>
      </c>
      <c r="CW138" s="112" t="str">
        <f>HYPERLINK("http://www.profamilia.de/fileadmin/publikationen/Reihe_Verhuetungsmethoden/Einleger_Spanisch.pdf","x")</f>
        <v>x</v>
      </c>
      <c r="CX138" s="112"/>
      <c r="CY138" s="112" t="str">
        <f>HYPERLINK("http://www.caritas-schwarzwald-alb-donau.de/68854.html","x")</f>
        <v>x</v>
      </c>
      <c r="CZ138" s="112"/>
      <c r="DA138" s="112"/>
      <c r="DB138" s="112"/>
      <c r="DC138" s="115" t="str">
        <f>HYPERLINK("http://www.kindersicherheit.de/pdf/2013_BAG_Tomi_and_Mila_Deutsch_Espanol.pdf","x")</f>
        <v>x</v>
      </c>
      <c r="DD138" s="112"/>
      <c r="DE138" s="112"/>
      <c r="DF138" s="112" t="str">
        <f t="shared" si="32"/>
        <v>x</v>
      </c>
      <c r="DG138" s="115" t="str">
        <f t="shared" si="33"/>
        <v>x</v>
      </c>
      <c r="DH138" s="112" t="str">
        <f t="shared" si="34"/>
        <v>x</v>
      </c>
      <c r="DI138" s="112" t="str">
        <f t="shared" si="35"/>
        <v>x</v>
      </c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2" t="str">
        <f>HYPERLINK("http://bildung.koeln.de/materialbibliothek/download.php?idx=ccf097c3404e26240478c01248debdf8","x")</f>
        <v>x</v>
      </c>
      <c r="DT138" s="112" t="str">
        <f>HYPERLINK("http://bildung.koeln.de/materialbibliothek/download.php?idx=bddd18cfef5da0f16acdd486a807febc","x")</f>
        <v>x</v>
      </c>
      <c r="DU138" s="112"/>
      <c r="DV138" s="112" t="str">
        <f>HYPERLINK("https://www.bmbf.de/pub/Kausa_Elternbroschuere_spanisch.pdf","x")</f>
        <v>x</v>
      </c>
      <c r="DW138" s="112"/>
      <c r="DX138" s="112"/>
      <c r="DY138" s="112" t="str">
        <f>HYPERLINK("http://www.bamf.de/SharedDocs/Anlagen/DE/Publikationen/Flyer/AnerkennungBerufsabschluss/berufliche_anerkennung_akademische-heilberufe_es.pdf?__blob=publicationFile","x")</f>
        <v>x</v>
      </c>
      <c r="DZ138" s="112" t="str">
        <f>HYPERLINK("http://www.bamf.de/SharedDocs/Anlagen/DE/Publikationen/Flyer/AnerkennungBerufsabschluss/anerkennung-berufsabschluss_es.pdf?__blob=publicationFile","x")</f>
        <v>x</v>
      </c>
      <c r="EA138" s="112" t="str">
        <f>HYPERLINK("http://www.bamf.de/SharedDocs/Anlagen/DE/Publikationen/Flyer/AnerkennungBerufsabschluss/anerkennung-berufsabschluss_ausland_es.pdf?__blob=publicationFile","x")</f>
        <v>x</v>
      </c>
      <c r="EB138" s="112"/>
      <c r="EC138" s="112" t="str">
        <f>HYPERLINK("http://www.bamf.de/SharedDocs/Anlagen/DE/Publikationen/Flyer/Berufsbezsprachf-ESF-BAMF/berufsbezsprachf-esf-bamf_es.pdf?__blob=publicationFile","x")</f>
        <v>x</v>
      </c>
      <c r="ED138" s="111"/>
      <c r="EE138" s="111"/>
      <c r="EF138" s="111"/>
      <c r="EG138" s="111"/>
      <c r="EH138" s="111"/>
      <c r="EI138" s="111"/>
      <c r="EJ138" s="112"/>
      <c r="EK138" s="112"/>
      <c r="EL138" s="111"/>
      <c r="EM138" s="112" t="str">
        <f>HYPERLINK("http://www.kvs-sachsen.de/fileadmin/img/Mitglieder/Asylbewerber/Allg-Informationen/Anlage_1_Spanisch_LEK.pdf","x")</f>
        <v>x</v>
      </c>
      <c r="EN138" s="111"/>
      <c r="EO138" s="111"/>
      <c r="EP138" s="117" t="str">
        <f t="shared" si="53"/>
        <v>x</v>
      </c>
      <c r="EQ138" s="117" t="str">
        <f>HYPERLINK("http://www.armut-gesundheit.de/fileadmin/redakteur/dokumente/Anamnesebogen%20-%20spanischnew.pdf","x")</f>
        <v>x</v>
      </c>
      <c r="ER138" s="112" t="str">
        <f>HYPERLINK("http://www.kvs-sachsen.de/fileadmin/img/Mitglieder/Asylbewerber/Allg-Informationen/Anlagen_2-1_2-2_Spanisch_LEK.pdf","x")</f>
        <v>x</v>
      </c>
      <c r="ES138" s="111"/>
      <c r="ET138" s="111"/>
      <c r="EU138" s="111"/>
      <c r="EV138" s="111"/>
      <c r="EW138" s="112" t="str">
        <f t="shared" si="36"/>
        <v>x</v>
      </c>
      <c r="EX138" s="112" t="str">
        <f>HYPERLINK("http://www.rki.de/DE/Content/Infekt/IfSG/Belehrungsbogen/belehrungsbogen_eltern_spanisch.pdf?__blob=publicationFile","x")</f>
        <v>x</v>
      </c>
      <c r="EY138" s="111"/>
      <c r="EZ138" s="111"/>
      <c r="FA138" s="111"/>
      <c r="FB138" s="111"/>
      <c r="FC138" s="111"/>
      <c r="FD138" s="112" t="str">
        <f t="shared" si="37"/>
        <v>x</v>
      </c>
      <c r="FE138" s="112" t="str">
        <f t="shared" si="54"/>
        <v>x</v>
      </c>
      <c r="FF138" s="111"/>
      <c r="FG138" s="111"/>
      <c r="FH138" s="111"/>
      <c r="FI138" s="111"/>
      <c r="FJ138" s="112"/>
      <c r="FK138" s="112" t="str">
        <f>HYPERLINK("http://www.rki.de/DE/Content/Infekt/Impfen/Materialien/Downloads-Impfkalender/Impfkalender_Spanisch.pdf?__blob=publicationFile","x")</f>
        <v>x</v>
      </c>
      <c r="FL138" s="112" t="str">
        <f>HYPERLINK("http://www.ethno-medizinisches-zentrum.de/images/PDF-Files/impfwegweiser_spanisch_2013_online.pdf","x")</f>
        <v>x</v>
      </c>
      <c r="FM138" s="112"/>
      <c r="FN138" s="112" t="str">
        <f>HYPERLINK("http://www.rki.de/DE/Content/Infekt/Impfen/Materialien/Glossar-Downloads/glossar-de-spanisch.pdf?__blob=publicationFile","x")</f>
        <v>x</v>
      </c>
      <c r="FO138" s="112"/>
      <c r="FP138" s="112" t="str">
        <f>HYPERLINK("http://www.rki.de/DE/Content/Infekt/Impfen/Materialien/Downloads-MMR/MMR-Impfinfo-spanisch.pdf?__blob=publicationFile","x")</f>
        <v>x</v>
      </c>
      <c r="FQ138" s="111"/>
      <c r="FR138" s="112" t="str">
        <f>HYPERLINK("http://www.rki.de/DE/Content/Infekt/Impfen/Materialien/Downloads_HepA/Aufklaerung_HAV-Impfung_Spanisch.pdf?__blob=publicationFile","x")</f>
        <v>x</v>
      </c>
      <c r="FS138" s="112" t="str">
        <f>HYPERLINK("http://www.rki.de/DE/Content/Infekt/Impfen/Materialien/Downloads_Pneumokokken/Aufklaerung_Pneumo-Impfung_Spanisch.pdf?__blob=publicationFile","x")</f>
        <v>x</v>
      </c>
      <c r="FT138" s="112" t="str">
        <f>HYPERLINK("http://www.rki.de/DE/Content/Infekt/Impfen/Materialien/Downloads-DTaPIPVHibHepB/DTaPIPVHibHepB-spanisch.pdf?__blob=publicationFile","x")</f>
        <v>x</v>
      </c>
      <c r="FU138" s="112" t="str">
        <f>HYPERLINK("http://www.rki.de/DE/Content/Infekt/Impfen/Materialien/Downloads-Varizellen/Varizellen-Impfinfo-spanisch.pdf;jsessionid=65B697F4EE7EDA8A1ED9E2C4CD6C74EC.2_cid363?__blob=publicationFile","x")</f>
        <v>x</v>
      </c>
      <c r="FV138" s="112" t="str">
        <f>HYPERLINK("http://www.rki.de/DE/Content/Infekt/Impfen/Materialien/Downloads-Tdap-IPV/Tdap-IPV-spanisch.pdf?__blob=publicationFile","x")</f>
        <v>x</v>
      </c>
      <c r="FW138" s="112" t="str">
        <f>HYPERLINK("http://www.rki.de/DE/Content/Infekt/Impfen/Materialien/Downloads-Influenza_nasal/Influenza_nasal-spanisch.pdf?__blob=publicationFile","x")</f>
        <v>x</v>
      </c>
      <c r="FX138" s="111"/>
      <c r="FY138" s="111"/>
      <c r="FZ138" s="111"/>
      <c r="GA138" s="111"/>
      <c r="GB138" s="111"/>
      <c r="GC138" s="111"/>
      <c r="GD138" s="112" t="str">
        <f>HYPERLINK("http://www.ethno-medizinisches-zentrum.de/images/PDF-Files/lf_diabete_spanisch.pdf","x")</f>
        <v>x</v>
      </c>
      <c r="GE138" s="111"/>
      <c r="GF138" s="111"/>
      <c r="GG138" s="111"/>
      <c r="GH138" s="111"/>
      <c r="GI138" s="111"/>
      <c r="GJ138" s="111"/>
      <c r="GK138" s="112" t="str">
        <f>HYPERLINK("http://www.tipdoc.de/bus/pdf/hiv/HIV%20ESP_Webseite.pdf","x")</f>
        <v>x</v>
      </c>
      <c r="GL138" s="111"/>
      <c r="GM138" s="112" t="str">
        <f>HYPERLINK("http://www.rki.de/DE/Content/Infekt/Impfen/Materialien/Downloads-Influenza/Influenza-spanisch.pdf?__blob=publicationFile","x")</f>
        <v>x</v>
      </c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2" t="str">
        <f t="shared" si="38"/>
        <v>x</v>
      </c>
      <c r="HD138" s="111"/>
      <c r="HE138" s="111"/>
      <c r="HF138" s="111"/>
      <c r="HG138" s="111"/>
      <c r="HH138" s="111"/>
      <c r="HI138" s="111"/>
      <c r="HJ138" s="111"/>
      <c r="HK138" s="112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2" t="str">
        <f t="shared" si="39"/>
        <v>x</v>
      </c>
      <c r="HZ138" s="112" t="str">
        <f t="shared" si="40"/>
        <v>x</v>
      </c>
      <c r="IA138" s="111"/>
      <c r="IB138" s="111"/>
      <c r="IC138" s="111"/>
      <c r="ID138" s="111"/>
      <c r="IE138" s="111"/>
      <c r="IF138" s="111"/>
      <c r="IG138" s="111"/>
      <c r="IH138" s="111"/>
      <c r="II138" s="112" t="str">
        <f>HYPERLINK("http://www.caritas.de/hilfeundberatung/onlineberatung/suchtberatung/haeufiggestelltefragensucht/haeufiggestelltefragen-sucht","x")</f>
        <v>x</v>
      </c>
      <c r="IJ138" s="111"/>
      <c r="IK138" s="112" t="str">
        <f>HYPERLINK("http://www.bamf.de/SharedDocs/Anlagen/DE/Publikationen/Flyer/Lassen-Sie-Sich-Beraten/lassen-sie-sich-beraten_es.pdf?__blob=publicationFile","x")</f>
        <v>x</v>
      </c>
      <c r="IL138" s="111"/>
      <c r="IM138" s="111"/>
      <c r="IN138" s="112" t="str">
        <f>HYPERLINK("https://www.bamf.de/SharedDocs/Anlagen/DE/Publikationen/Broschueren/willkommen-in-deutschland_es.pdf?__blob=publicationFile","x")</f>
        <v>x</v>
      </c>
      <c r="IO138" s="112"/>
      <c r="IP138" s="111"/>
      <c r="IQ138" s="112" t="str">
        <f>HYPERLINK("http://www.bamf.de/SharedDocs/Anlagen/DE/Publikationen/Flyer/Lernen-Sie-Deutsch/lernen-sie-deutsch_es.pdf?__blob=publicationFile","x")</f>
        <v>x</v>
      </c>
      <c r="IR138" s="112"/>
      <c r="IS138" s="111"/>
      <c r="IT138" s="111"/>
      <c r="IU138" s="111"/>
      <c r="IV138" s="112"/>
      <c r="IW138" s="112"/>
      <c r="IX138" s="112" t="str">
        <f>HYPERLINK("http://www.berlin.de/labo/willkommen-in-berlin/service/downloads/artikel.273193.php","x")</f>
        <v>x</v>
      </c>
      <c r="IY138" s="112" t="str">
        <f>HYPERLINK("http://www.bamf.de/SharedDocs/Anlagen/DE/Publikationen/Broschueren/broschuere-eat-a4-es-spanisch.pdf?__blob=publicationFile","x")</f>
        <v>x</v>
      </c>
      <c r="IZ138" s="111"/>
      <c r="JA138" s="111"/>
      <c r="JB138" s="111"/>
      <c r="JC138" s="112"/>
      <c r="JD138" s="111"/>
      <c r="JE138" s="112"/>
      <c r="JF138" s="112"/>
      <c r="JG138" s="112"/>
      <c r="JH138" s="112"/>
      <c r="JI138" s="111"/>
      <c r="JJ138" s="112"/>
      <c r="JK138" s="112"/>
      <c r="JL138" s="112" t="str">
        <f>HYPERLINK("http://www.kub-berlin.org/formularprojekt/de/spanisch-antraege-und-uebersetzungshilfen/","x")</f>
        <v>x</v>
      </c>
      <c r="JM138" s="112" t="str">
        <f>HYPERLINK("https://www.arbeitsagentur.de/web/content/DE/Formulare/Detail/index.htm?dfContentId=L6019022DSTBAI485740","x")</f>
        <v>x</v>
      </c>
      <c r="JN138" s="112"/>
      <c r="JO138" s="112"/>
      <c r="JP138" s="112"/>
      <c r="JQ138" s="112"/>
      <c r="JR138" s="112"/>
      <c r="JS138" s="112"/>
      <c r="JT138" s="111"/>
      <c r="JU138" s="111"/>
      <c r="JV138" s="111"/>
      <c r="JW138" s="112"/>
      <c r="JX138" s="112"/>
      <c r="JY138" s="111"/>
      <c r="JZ138" s="111"/>
      <c r="KA138" s="111"/>
      <c r="KB138" s="111"/>
      <c r="KC138" s="111"/>
      <c r="KD138" s="112" t="str">
        <f>HYPERLINK("http://www.wedel.de/fileadmin/user_upload/media/pdf/Rathaus_und_Politik/20160118_PM_Broschuere.pdf","x")</f>
        <v>x</v>
      </c>
      <c r="KE138" s="112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2" t="str">
        <f>HYPERLINK("http://www.rki.de/DE/Content/Infekt/IfSG/Belehrungsbogen/belehrungsbogen_lebensmittel_spanisch.pdf?__blob=publicationFile","x")</f>
        <v>x</v>
      </c>
      <c r="ME138" s="111"/>
      <c r="MF138" s="111"/>
      <c r="MG138" s="111"/>
      <c r="MH138" s="111"/>
      <c r="MI138" s="111"/>
    </row>
    <row r="139" spans="1:347" x14ac:dyDescent="0.25">
      <c r="A139" s="102" t="s">
        <v>63</v>
      </c>
      <c r="B139" s="127" t="s">
        <v>1</v>
      </c>
      <c r="C139" s="102"/>
      <c r="D139" s="102"/>
      <c r="E139" s="102"/>
      <c r="F139" s="102"/>
      <c r="G139" s="102"/>
      <c r="H139" s="102"/>
      <c r="I139" s="102"/>
      <c r="J139" s="102"/>
      <c r="K139" s="103"/>
      <c r="L139" s="112" t="str">
        <f>HYPERLINK("http://sghanstedt.elbnetz.com/ueber-uns/","x")</f>
        <v>x</v>
      </c>
      <c r="M139" s="111"/>
      <c r="N139" s="112" t="str">
        <f>HYPERLINK("http://www.ag-fluechtlingshilfe-wetterau.de/uploads/infos/170.pdf","x")</f>
        <v>x</v>
      </c>
      <c r="O139" s="112" t="str">
        <f>HYPERLINK("http://www.ag-fluechtlingshilfe-wetterau.de/uploads/infos/220.pdf","x")</f>
        <v>x</v>
      </c>
      <c r="P139" s="112" t="str">
        <f>HYPERLINK("http://www.awb-ahrweiler.de/admin/data/ddownload/Abfall%20Sonderhinweise-Arabisch%202015.pdf","x")</f>
        <v>x</v>
      </c>
      <c r="Q139" s="112" t="str">
        <f>HYPERLINK("http://www.ag-fluechtlingshilfe-wetterau.de/uploads/infos/221.pdf","x")</f>
        <v>x</v>
      </c>
      <c r="R139" s="112" t="str">
        <f>HYPERLINK("http://www.konto.org/download/merkblatt-basiskonto-asylbewerber-arabisch.pdf","x")</f>
        <v>x</v>
      </c>
      <c r="S139" s="112"/>
      <c r="T139" s="112" t="str">
        <f>HYPERLINK("https://antworten.sparkasse.de/wp-content/uploads/2015/10/Arabisch.pdf","x")</f>
        <v>x</v>
      </c>
      <c r="U139" s="112" t="str">
        <f>HYPERLINK("http://www.ag-fluechtlingshilfe-wetterau.de/uploads/infos/191.pdf","x")</f>
        <v>x</v>
      </c>
      <c r="V139" s="112"/>
      <c r="W139" s="112"/>
      <c r="X139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9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9" s="112"/>
      <c r="AA139" s="112"/>
      <c r="AB139" s="112"/>
      <c r="AC139" s="112"/>
      <c r="AD139" s="112" t="str">
        <f>HYPERLINK("http://www.rundfunkbeitrag.de/e175/e1629/Informationsflyer_Buergerinnen_und_Buerger_arabisch.pdf","x")</f>
        <v>x</v>
      </c>
      <c r="AE139" s="112"/>
      <c r="AF139" s="112" t="str">
        <f>HYPERLINK("http://www.kub-berlin.org/formularprojekt/de/arabisch-antraege-und-anlagen/","x")</f>
        <v>x</v>
      </c>
      <c r="AG139" s="112" t="str">
        <f>HYPERLINK("http://asyl-in-moenchengladbach.de/wp-content/uploads/2015/11/100711-Flyer_arab.pdf","x")</f>
        <v>x</v>
      </c>
      <c r="AH139" s="111"/>
      <c r="AI139" s="112" t="str">
        <f>HYPERLINK("https://www.adac.de/sp/stiftung/_mmm/pdf/SGE_FOL_Verkehrssicherheit_Fl%C3%BCchtlinge_A3_01_16_Internet_250277.pdf","x")</f>
        <v>x</v>
      </c>
      <c r="AJ139" s="112" t="str">
        <f>HYPERLINK("http://www.stadt-koeln.de/mediaasset/content/العربية_kvb_kinderleicht_und_spielend_einfach__arabisch_.pdf","x")</f>
        <v>x</v>
      </c>
      <c r="AK139" s="112" t="str">
        <f>HYPERLINK("https://www.vrsinfo.de/fileadmin/Dateien/downloadcenter/Folder_MobilPassTicket_Refugees01012016.pdf","x")</f>
        <v>x</v>
      </c>
      <c r="AL139" s="112" t="str">
        <f>HYPERLINK("https://www.vrsinfo.de/fileadmin/Dateien/downloadcenter/Willkommen_im_VRS2016_Druck.pdf","x")</f>
        <v>x</v>
      </c>
      <c r="AM139" s="112"/>
      <c r="AN139" s="112" t="str">
        <f>HYPERLINK("https://www.deutschebahn.com/file/de/2191748/eYdgZpqGpp5sMJ2KMKtg2r8aE4Q/10123812/data/infos_fuer_fluechtlinge.pdf","x")</f>
        <v>x</v>
      </c>
      <c r="AO139" s="112"/>
      <c r="AP139" s="112"/>
      <c r="AQ139" s="112"/>
      <c r="AR139" s="112"/>
      <c r="AS139" s="112"/>
      <c r="AT139" s="112" t="str">
        <f>HYPERLINK("http://www.koelnerkarneval.de/fileadmin/content/images/news/Festkomitee_Flyer_DE_AR.pdf","x")</f>
        <v>x</v>
      </c>
      <c r="AU139" s="112"/>
      <c r="AV139" s="114" t="str">
        <f>HYPERLINK("http://www.studentenwerke.de/de/content/illustriertes-wohnheimw%C3%B6rterbuch-1","x")</f>
        <v>x</v>
      </c>
      <c r="AW139" s="114" t="str">
        <f t="shared" si="22"/>
        <v>x</v>
      </c>
      <c r="AX139" s="114" t="str">
        <f t="shared" si="23"/>
        <v>x</v>
      </c>
      <c r="AY139" s="112" t="str">
        <f>HYPERLINK("http://fi-lohmar-siegburg.de/data/documents/Findefix_arabisch-Bildwoerterbuch.pdf","x")</f>
        <v>x</v>
      </c>
      <c r="AZ139" s="111"/>
      <c r="BA139" s="112" t="str">
        <f t="shared" si="24"/>
        <v>x</v>
      </c>
      <c r="BB139" s="112" t="str">
        <f t="shared" si="25"/>
        <v>x</v>
      </c>
      <c r="BC139" s="112"/>
      <c r="BD139" s="112" t="str">
        <f>HYPERLINK("http://www.rehavista.de/?at=Mat_Boardmaker&amp;d=1&amp;dtype=mat&amp;id=1014","x")</f>
        <v>x</v>
      </c>
      <c r="BE139" s="112" t="str">
        <f>HYPERLINK("http://fi-lohmar-siegburg.de/data/documents/communicationboard-arabic-english.pdf","x")</f>
        <v>x</v>
      </c>
      <c r="BF139" s="112" t="str">
        <f>HYPERLINK("http://fi-lohmar-siegburg.de/data/documents/communicationboard-arabic-french.pdf","x")</f>
        <v>x</v>
      </c>
      <c r="BG139" s="111"/>
      <c r="BH139" s="112" t="str">
        <f>HYPERLINK("http://www.refugeephrasebook.de/pdf/germany150920.pdf","x")</f>
        <v>x</v>
      </c>
      <c r="BI139" s="112" t="str">
        <f>HYPERLINK("https://www.advanced-online.eu/downloads/RefugeePhrasebookCards_German-Arabic.pdf","x")</f>
        <v>x</v>
      </c>
      <c r="BJ139" s="112" t="str">
        <f>HYPERLINK("http://www.klett-sprachen.de/download/8638/W100255_Refugees_Welcome_Wortschatz.pdf","x")</f>
        <v>x</v>
      </c>
      <c r="BK139" s="112" t="str">
        <f>HYPERLINK("http://www.agf-trier.de/sites/default/files/bersetzungshilfe%20allgemein%20Arab..pdf","x")</f>
        <v>x</v>
      </c>
      <c r="BL139" s="112" t="str">
        <f>HYPERLINK("http://www.bundessprachenamt.de/deutsch/wir_ueber_uns/nachrichten/2015/20151103/Verständigungshilfe_Syrisch-Arabisch_07_12_2015.pdf","x")</f>
        <v>x</v>
      </c>
      <c r="BM139" s="112" t="str">
        <f>HYPERLINK("http://www.frnrw.de/images/Aus_den_Initiativen/Ehrenamtler/2015/Dictionary_x10_print-2.pdf","x")</f>
        <v>x</v>
      </c>
      <c r="BN139" s="112" t="str">
        <f>HYPERLINK("http://www.medbox.org/toolboxes/kleines-worterbuch-little-dictionary-deutsch-englisch-arabisch/preview","x")</f>
        <v>x</v>
      </c>
      <c r="BO139" s="111"/>
      <c r="BP139" s="111"/>
      <c r="BQ139" s="112" t="str">
        <f>HYPERLINK("https://www.friedensdorf.de/documents/Woerterbuch_Arabisch.pdf","x")</f>
        <v>x</v>
      </c>
      <c r="BR139" s="111"/>
      <c r="BS139" s="112" t="str">
        <f t="shared" si="26"/>
        <v>x</v>
      </c>
      <c r="BT139" s="112" t="str">
        <f>HYPERLINK("http://de.langenscheidt.com/doc/arabisch-deutsch-sprachfuehrer.pdf","x")</f>
        <v>x</v>
      </c>
      <c r="BU139" s="111"/>
      <c r="BV139" s="112" t="str">
        <f t="shared" si="27"/>
        <v>x</v>
      </c>
      <c r="BW139" s="112" t="str">
        <f>HYPERLINK("http://www.welcomegrooves.de/wp-content/uploads/2015/10/welcomegrooves_DE-ARABISCH.pdf","x")</f>
        <v>x</v>
      </c>
      <c r="BX139" s="112"/>
      <c r="BY139" s="112"/>
      <c r="BZ139" s="112" t="str">
        <f>HYPERLINK("http://fluechtlingshilfe-nettetal.de/ausbildung/video-sprachkurse-deutsch-fuer-fluechtlinge/video-sprachkurs-syrisch-deutsch/","x")</f>
        <v>x</v>
      </c>
      <c r="CA139" s="112" t="str">
        <f t="shared" si="28"/>
        <v>x</v>
      </c>
      <c r="CB139" s="112" t="str">
        <f t="shared" si="29"/>
        <v>x</v>
      </c>
      <c r="CC139" s="112" t="str">
        <f t="shared" si="30"/>
        <v>x</v>
      </c>
      <c r="CD139" s="112"/>
      <c r="CE139" s="112"/>
      <c r="CF139" s="112" t="str">
        <f>HYPERLINK("http://www.agf-trier.de/sites/default/files/bersetzungshilfe%20%20f%C3%BCr%20Frauen%20Arab..pdf","x")</f>
        <v>x</v>
      </c>
      <c r="CG139" s="112" t="str">
        <f>HYPERLINK("http://www.braunschweig.de/leben/frauen/hilfe/Ohne-Gewalt-leben.pdf","x")</f>
        <v>x</v>
      </c>
      <c r="CH139" s="112" t="str">
        <f>HYPERLINK("http://mifkjf.rlp.de/fileadmin/mifkjf/Frauen/Gewalt_gegen_Frauen/Downloads/Broschueren_Flyer/Flyer_Gewalt_arabisch_fuer_ANSICHT.pdf","x")</f>
        <v>x</v>
      </c>
      <c r="CI139" s="112"/>
      <c r="CJ139" s="112" t="str">
        <f>HYPERLINK("https://www.hilfetelefon.de/fileadmin/hilfetelefon_de/Materialien/weitere_werbemittel/Klappflyer_Vorder-_und_Rueckseite_opt2.pdf","x")</f>
        <v>x</v>
      </c>
      <c r="CK139" s="112" t="str">
        <f t="shared" si="31"/>
        <v>x</v>
      </c>
      <c r="CL139" s="112" t="str">
        <f>HYPERLINK("http://www.frauenberatungsstelle.de/pdf/Migrantinnen-beraten-Migrantinnen.pdf","x")</f>
        <v>x</v>
      </c>
      <c r="CM139" s="112"/>
      <c r="CN139" s="112"/>
      <c r="CO139" s="112"/>
      <c r="CP139" s="112" t="str">
        <f>HYPERLINK("http://www.schwanger-und-viele-fragen.de/ar/","x")</f>
        <v>x</v>
      </c>
      <c r="CQ139" s="112"/>
      <c r="CR139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9" s="112"/>
      <c r="CT139" s="112"/>
      <c r="CU139" s="112" t="str">
        <f>HYPERLINK("http://www.profamilia.de/fileadmin/publikationen/Erwachsene/mehrsprachig/verhuetung_arabisch.pdf","x")</f>
        <v>x</v>
      </c>
      <c r="CV139" s="112"/>
      <c r="CW139" s="112"/>
      <c r="CX139" s="112"/>
      <c r="CY139" s="112" t="str">
        <f>HYPERLINK("http://www.caritas-schwarzwald-alb-donau.de/68854.html","x")</f>
        <v>x</v>
      </c>
      <c r="CZ139" s="112"/>
      <c r="DA139" s="112" t="str">
        <f>HYPERLINK("http://sichere-orte-schaffen.de/wp-content/uploads/Minibrosch_Fluechtlinge_multilang.pdf","x")</f>
        <v>x</v>
      </c>
      <c r="DB139" s="112"/>
      <c r="DC139" s="115" t="str">
        <f>HYPERLINK("http://www.kindersicherheit.de/pdf/2012_Bilderbuch-Gift-Arabisch.pdf","x")</f>
        <v>x</v>
      </c>
      <c r="DD139" s="112"/>
      <c r="DE139" s="112"/>
      <c r="DF139" s="112" t="str">
        <f t="shared" si="32"/>
        <v>x</v>
      </c>
      <c r="DG139" s="115" t="str">
        <f t="shared" si="33"/>
        <v>x</v>
      </c>
      <c r="DH139" s="112" t="str">
        <f t="shared" si="34"/>
        <v>x</v>
      </c>
      <c r="DI139" s="112" t="str">
        <f t="shared" si="35"/>
        <v>x</v>
      </c>
      <c r="DJ139" s="112" t="str">
        <f>HYPERLINK("http://www.bibliomedia.ch/de/angebote/dokumente/Glossar_arabisch.pdf","x")</f>
        <v>x</v>
      </c>
      <c r="DK139" s="112"/>
      <c r="DL139" s="112" t="str">
        <f>HYPERLINK("http://www.carlsen.de/sites/default/files/Walter-ebook_arabisch_klein.pdf","x")</f>
        <v>x</v>
      </c>
      <c r="DM139" s="112"/>
      <c r="DN139" s="112"/>
      <c r="DO139" s="112" t="str">
        <f>HYPERLINK("http://www.wdrmaus.de/sachgeschichten/maus-international/","x")</f>
        <v>x</v>
      </c>
      <c r="DP139" s="111"/>
      <c r="DQ139" s="112" t="str">
        <f>HYPERLINK("http://tipdoc.de/bus/grafik/kinder-tip/SCHULTIP_give_didacta.pdf","x")</f>
        <v>x</v>
      </c>
      <c r="DR139" s="112" t="str">
        <f>HYPERLINK("https://broschueren.nordrheinwestfalendirekt.de/broschuerenservice/msw/ar-das-schulsystem-in-nordrhein-westfalen-einfach-und-schnell-erklaert/1901","x")</f>
        <v>x</v>
      </c>
      <c r="DS139" s="112" t="str">
        <f>HYPERLINK("http://bildung.koeln.de/materialbibliothek/download.php?idx=7479da9798519efb4e1944d46a76011b","x")</f>
        <v>x</v>
      </c>
      <c r="DT139" s="112" t="str">
        <f>HYPERLINK("http://bildung.koeln.de/materialbibliothek/download.php?idx=dd3a964c240308ea1c8e0d161e49e314","x")</f>
        <v>x</v>
      </c>
      <c r="DU139" s="112"/>
      <c r="DV139" s="112" t="str">
        <f>HYPERLINK("https://www.bmbf.de/pub/Kausa_Elternbroschuere_arabisch.pdf","x")</f>
        <v>x</v>
      </c>
      <c r="DW139" s="112"/>
      <c r="DX139" s="112" t="str">
        <f>HYPERLINK("http://www.wissenschaft.nrw.de/studium/informieren/informationen-fuer-fluechtlinge-die-in-nrw-studieren-moechten/","x")</f>
        <v>x</v>
      </c>
      <c r="DY139" s="112" t="str">
        <f>HYPERLINK("http://www.bamf.de/SharedDocs/Anlagen/DE/Publikationen/Flyer/AnerkennungBerufsabschluss/berufliche_anerkennung_akademische-heilberufe_ar.pdf?__blob=publicationFile","x")</f>
        <v>x</v>
      </c>
      <c r="DZ139" s="112" t="str">
        <f>HYPERLINK("http://www.bamf.de/SharedDocs/Anlagen/DE/Publikationen/Flyer/AnerkennungBerufsabschluss/anerkennung-berufsabschluss_ar.pdf?__blob=publicationFile","x")</f>
        <v>x</v>
      </c>
      <c r="EA139" s="112" t="str">
        <f>HYPERLINK("http://www.bamf.de/SharedDocs/Anlagen/DE/Publikationen/Flyer/AnerkennungBerufsabschluss/anerkennung-berufsabschluss_ausland_ar.pdf?__blob=publicationFile","x")</f>
        <v>x</v>
      </c>
      <c r="EB139" s="112" t="str">
        <f>HYPERLINK("http://www.bamf.de/SharedDocs/Anlagen/DE/Publikationen/Broschueren/willkommen-in-deutschland-info-blaue-karte-eu_ar.pdf?__blob=publicationFile","x")</f>
        <v>x</v>
      </c>
      <c r="EC139" s="112" t="str">
        <f>HYPERLINK("http://www.bamf.de/SharedDocs/Anlagen/DE/Publikationen/Flyer/Berufsbezsprachf-ESF-BAMF/berufsbezsprachf-esf-bamf_ar.pdf?__blob=publicationFile","x")</f>
        <v>x</v>
      </c>
      <c r="ED139" s="111"/>
      <c r="EE139" s="111"/>
      <c r="EF139" s="111"/>
      <c r="EG139" s="111"/>
      <c r="EH139" s="111"/>
      <c r="EI139" s="111"/>
      <c r="EJ139" s="112"/>
      <c r="EK139" s="112" t="str">
        <f>HYPERLINK("http://fluechtlingsrat-bw.de/files/Dateien/Dokumente/Materialbestellung/2014-12-flyer%20arbeitserlaubnis%20AR%20WEB_final.pdf","x")</f>
        <v>x</v>
      </c>
      <c r="EL139" s="112" t="str">
        <f>HYPERLINK("http://www.aponet.de/arabisch/20151019-fuer-den-notfall-wichtige-rufnummern-im-ueberblick.html","x")</f>
        <v>x</v>
      </c>
      <c r="EM139" s="112" t="str">
        <f>HYPERLINK("http://www.kvs-sachsen.de/fileadmin/img/Mitglieder/Asylbewerber/Allg-Informationen/Anlage_1_Arabisch_LEK.pdf","x")</f>
        <v>x</v>
      </c>
      <c r="EN139" s="112" t="str">
        <f>HYPERLINK("http://www.medizin-hilft-fluechtlingen.de/images/Dokumente/gSch/gSch_arab.pdf","x")</f>
        <v>x</v>
      </c>
      <c r="EO139" s="112" t="str">
        <f>HYPERLINK("http://www.aponet.de/arabisch/20151016-medizinische-leistungen-fuer-asylbewerber.html","x")</f>
        <v>x</v>
      </c>
      <c r="EP139" s="117" t="str">
        <f t="shared" si="53"/>
        <v>x</v>
      </c>
      <c r="EQ139" s="117" t="str">
        <f>HYPERLINK("http://www.armut-gesundheit.de/fileadmin/redakteur/dokumente/Anamnesebogen%20-%20Arabischnew.pdf","x")</f>
        <v>x</v>
      </c>
      <c r="ER139" s="112" t="str">
        <f>HYPERLINK("http://www.kvs-sachsen.de/fileadmin/img/Mitglieder/Asylbewerber/Allg-Informationen/Anlagen_2-1_2-2_Arabisch_LEK.pdf","x")</f>
        <v>x</v>
      </c>
      <c r="ES139" s="112"/>
      <c r="ET139" s="112" t="str">
        <f>HYPERLINK("http://www.pharmazeutische-zeitung.de/fileadmin/pdf/Fragebogen_PZ_43_2015.pdf","x")</f>
        <v>x</v>
      </c>
      <c r="EU139" s="112" t="str">
        <f>HYPERLINK("http://www.medizin-hilft-fluechtlingen.de/images/Dokumente/ein/ein_arab.pdf","x")</f>
        <v>x</v>
      </c>
      <c r="EV139" s="112" t="str">
        <f>HYPERLINK("http://www.adler-apotheke-hh.de/fileadmin/user_upload/PDF-Dateien/Dosierzettel_mehrsprachig_AUF_0_.pdf","x")</f>
        <v>x</v>
      </c>
      <c r="EW139" s="112" t="str">
        <f t="shared" si="36"/>
        <v>x</v>
      </c>
      <c r="EX139" s="112" t="str">
        <f>HYPERLINK("http://www.rki.de/DE/Content/Infekt/IfSG/Belehrungsbogen/belehrungsbogen_eltern_arabisch.pdf?__blob=publicationFile","x")</f>
        <v>x</v>
      </c>
      <c r="EY139" s="112" t="str">
        <f>HYPERLINK("http://www.bzga.de/infomaterialien/?sid=236","x")</f>
        <v>x</v>
      </c>
      <c r="EZ139" s="112" t="str">
        <f>HYPERLINK("https://www.mh-hannover.de/fileadmin/mhh/bilder/aktuelles_presse/presseinformationen_news/150921_Pilz_Vergif_Arab_3.pdf","x")</f>
        <v>x</v>
      </c>
      <c r="FA139" s="112"/>
      <c r="FB139" s="112" t="str">
        <f>HYPERLINK("http://static.apotheken-umschau.de/media/gp/article_506373/bildwoerterbuch.pdf","x")</f>
        <v>x</v>
      </c>
      <c r="FC139" s="111"/>
      <c r="FD139" s="112" t="str">
        <f t="shared" si="37"/>
        <v>x</v>
      </c>
      <c r="FE139" s="112" t="str">
        <f t="shared" si="54"/>
        <v>x</v>
      </c>
      <c r="FF139" s="112" t="str">
        <f>HYPERLINK("http://www.fuhlenhagen.com/pdf_dateien/uebertzungshilfe_aerzte_mehrsprachig.pdf","x")</f>
        <v>x</v>
      </c>
      <c r="FG139" s="112" t="str">
        <f>HYPERLINK("http://www.tipdoc.de/grafik/asyl/Gesundheitsheft_Asyl.pdf","x")</f>
        <v>x</v>
      </c>
      <c r="FH139" s="111"/>
      <c r="FI139" s="111"/>
      <c r="FJ139" s="112" t="str">
        <f>HYPERLINK("http://www.bundesgesundheitsministerium.de/fileadmin/dateien/Publikationen/Gesundheit/Broschueren/Ratgeber_Asylsuchende/Ratgeber_Asylsuchende_arab.PDF","x")</f>
        <v>x</v>
      </c>
      <c r="FK139" s="112" t="str">
        <f>HYPERLINK("http://www.rki.de/DE/Content/Infekt/Impfen/Materialien/Downloads-Impfkalender/Impfkalender_Arabisch.pdf?__blob=publicationFile","x")</f>
        <v>x</v>
      </c>
      <c r="FL139" s="112" t="str">
        <f>HYPERLINK("http://www.ethno-medizinisches-zentrum.de/images/PDF-Files/impfwegweiser_arabbisch_2013_online.pdf","x")</f>
        <v>x</v>
      </c>
      <c r="FM139" s="112"/>
      <c r="FN139" s="112" t="str">
        <f>HYPERLINK("http://www.rki.de/DE/Content/Infekt/Impfen/Materialien/Glossar-Downloads/glossar-de-arabisch.pdf?__blob=publicationFile","x")</f>
        <v>x</v>
      </c>
      <c r="FO139" s="112"/>
      <c r="FP139" s="112" t="str">
        <f>HYPERLINK("http://www.rki.de/DE/Content/Infekt/Impfen/Materialien/Downloads-MMR/MMR-Impfinfo-arabisch.pdf?__blob=publicationFile","x")</f>
        <v>x</v>
      </c>
      <c r="FQ139" s="112" t="str">
        <f>HYPERLINK("http://www.rki.de/DE/Content/InfAZ/P/Polio/Ausbruch_Syrien/Informationsblatt_Polio_Arabisch.pdf?__blob=publicationFile","x")</f>
        <v>x</v>
      </c>
      <c r="FR139" s="112" t="str">
        <f>HYPERLINK("http://www.rki.de/DE/Content/Infekt/Impfen/Materialien/Downloads_HepA/Aufklaerung_HAV-Impfung_arabisch.pdf?__blob=publicationFile","x")</f>
        <v>x</v>
      </c>
      <c r="FS139" s="112" t="str">
        <f>HYPERLINK("http://www.rki.de/DE/Content/Infekt/Impfen/Materialien/Downloads_Pneumokokken/Aufklaerung_Pneumo-Impfung_Arabisch.pdf?__blob=publicationFile","x")</f>
        <v>x</v>
      </c>
      <c r="FT139" s="112" t="str">
        <f>HYPERLINK("http://www.rki.de/DE/Content/Infekt/Impfen/Materialien/Downloads-DTaPIPVHibHepB/DTaPIPVHibHepB_arabisch.pdf?__blob=publicationFile","x")</f>
        <v>x</v>
      </c>
      <c r="FU139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9" s="112" t="str">
        <f>HYPERLINK("http://www.rki.de/DE/Content/Infekt/Impfen/Materialien/Downloads-Tdap-IPV/Tdap-IPV-arabisch.pdf?__blob=publicationFile","x")</f>
        <v>x</v>
      </c>
      <c r="FW139" s="112" t="str">
        <f>HYPERLINK("http://www.rki.de/DE/Content/Infekt/Impfen/Materialien/Downloads-Influenza_nasal/Influenza_nasal-arabisch.pdf?__blob=publicationFile","x")</f>
        <v>x</v>
      </c>
      <c r="FX139" s="112" t="str">
        <f>HYPERLINK("http://www.medical-tribune.de/fileadmin/PDF/Arthrose_arabisch.pdf","x")</f>
        <v>x</v>
      </c>
      <c r="FY139" s="112" t="str">
        <f>HYPERLINK("http://www.medical-tribune.de/fileadmin/PDF/Asthma_arabisch.pdf","x")</f>
        <v>x</v>
      </c>
      <c r="FZ139" s="112" t="str">
        <f>HYPERLINK("http://www.medical-tribune.de/fileadmin/PDF/Bluthochdruck_arabisch.pdf","x")</f>
        <v>x</v>
      </c>
      <c r="GA139" s="112"/>
      <c r="GB139" s="112" t="str">
        <f>HYPERLINK("http://www.medical-tribune.de/fileadmin/PDF/COPD_arabisch.pdf","x")</f>
        <v>x</v>
      </c>
      <c r="GC139" s="112"/>
      <c r="GD139" s="112" t="str">
        <f>HYPERLINK("http://www.ethno-medizinisches-zentrum.de/images/PDF-Files/lf_diabete_arab.pdf","x")</f>
        <v>x</v>
      </c>
      <c r="GE139" s="112"/>
      <c r="GF139" s="112"/>
      <c r="GG139" s="112"/>
      <c r="GH139" s="112"/>
      <c r="GI139" s="112" t="str">
        <f>HYPERLINK("http://www.tipdoc.de/bus/pdf/hepatitis/Hep_B_Webseite.pdf","x")</f>
        <v>x</v>
      </c>
      <c r="GJ139" s="112" t="str">
        <f>HYPERLINK("http://www.tipdoc.de/bus/pdf/hepatitis/Hep_C_Webseite.pdf","x")</f>
        <v>x</v>
      </c>
      <c r="GK139" s="111"/>
      <c r="GL139" s="111"/>
      <c r="GM139" s="112" t="str">
        <f>HYPERLINK("http://www.rki.de/DE/Content/Infekt/Impfen/Materialien/Downloads-Influenza/Influenza-arabisch.pdf?__blob=publicationFile","x")</f>
        <v>x</v>
      </c>
      <c r="GN139" s="112"/>
      <c r="GO139" s="112" t="str">
        <f>HYPERLINK("http://www.aponet.de/arabisch/20151111-so-unterscheiden-sich-grippe-und-erkaeltung.html","x")</f>
        <v>x</v>
      </c>
      <c r="GP139" s="112" t="str">
        <f>HYPERLINK("http://www.tipdoc.de/grafik/pdf/kopflaeuse/Kopflaeuse_ARAB.pdf","x")</f>
        <v>x</v>
      </c>
      <c r="GQ139" s="112"/>
      <c r="GR139" s="112" t="str">
        <f>HYPERLINK("http://www.tipdoc.com/bus/pdf/kraetze/tipdoc_Scabies_ARAB.pdf","x")</f>
        <v>x</v>
      </c>
      <c r="GS139" s="112" t="str">
        <f>HYPERLINK("http://www.tipdoc.com/bus/pdf/MagenDarmHaende/MagenDarmHaende_Arab.pdf","x")</f>
        <v>x</v>
      </c>
      <c r="GT139" s="112"/>
      <c r="GU139" s="112" t="str">
        <f>HYPERLINK("http://www.medical-tribune.de/fileadmin/PDF/Rueckenschmerzen_arabisch.pdf","x")</f>
        <v>x</v>
      </c>
      <c r="GV139" s="112"/>
      <c r="GW139" s="112"/>
      <c r="GX139" s="112" t="str">
        <f>HYPERLINK("http://www.medical-tribune.de/fileadmin/PDF/Schwindel_arabisch.pdf","x")</f>
        <v>x</v>
      </c>
      <c r="GY139" s="112"/>
      <c r="GZ139" s="112"/>
      <c r="HA139" s="112"/>
      <c r="HB139" s="112"/>
      <c r="HC139" s="112" t="str">
        <f t="shared" si="38"/>
        <v>x</v>
      </c>
      <c r="HD139" s="112" t="str">
        <f>HYPERLINK("https://www.zahnaerzte-wl.de/images/_PDF-suche/KZV_ZÄK/ENDSTAND_Ankreuzbogen_Ich_verstehe.pdf","x")</f>
        <v>x</v>
      </c>
      <c r="HE139" s="112" t="str">
        <f>HYPERLINK("https://www.zahnaerzte-wl.de/images/_PDF-suche/KZV_ZÄK/Anschreiben_Patienten_arabisch.pdf","x")</f>
        <v>x</v>
      </c>
      <c r="HF139" s="112" t="str">
        <f>HYPERLINK("https://www.zahnaerzte-wl.de/images/_PDF-suche/KZV_ZÄK/Fragebogen_arabisch.pdf","x")</f>
        <v>x</v>
      </c>
      <c r="HG139" s="112" t="str">
        <f>HYPERLINK("https://www.zahnaerzte-wl.de/images/_PDF-suche/KZV_ZÄK/Patientenerhebungsbogen_arabisch.pdf","x")</f>
        <v>x</v>
      </c>
      <c r="HH139" s="112"/>
      <c r="HI139" s="112"/>
      <c r="HJ139" s="112" t="str">
        <f>HYPERLINK("http://www.ibbc-berlin.de/media/Bro_de-arab.pdf","x")</f>
        <v>x</v>
      </c>
      <c r="HK139" s="112"/>
      <c r="HL139" s="112" t="str">
        <f>HYPERLINK("http://www.ethno-medizinisches-zentrum.de/images/PDF-Files/lf_depression__arab.pdf","x")</f>
        <v>x</v>
      </c>
      <c r="HM139" s="112"/>
      <c r="HN139" s="112"/>
      <c r="HO139" s="112"/>
      <c r="HP139" s="112"/>
      <c r="HQ139" s="112"/>
      <c r="HR139" s="112"/>
      <c r="HS139" s="112"/>
      <c r="HT139" s="112"/>
      <c r="HU139" s="112"/>
      <c r="HV139" s="112"/>
      <c r="HW139" s="112"/>
      <c r="HX139" s="112" t="str">
        <f>HYPERLINK("http://www.bkk-psychisch-gesund.de/fileadmin/user_upload/Dokumente/Versicherte/Broschueren/Wegweiser_Psychotherapie_arabisch.pdf","x")</f>
        <v>x</v>
      </c>
      <c r="HY139" s="112" t="str">
        <f t="shared" si="39"/>
        <v>x</v>
      </c>
      <c r="HZ139" s="112" t="str">
        <f t="shared" si="40"/>
        <v>x</v>
      </c>
      <c r="IA139" s="112"/>
      <c r="IB139" s="112"/>
      <c r="IC139" s="112"/>
      <c r="ID139" s="112" t="str">
        <f>HYPERLINK("http://www.susannestein.de/VIA-online/trauma-bilderbuch-arabisch.pdf","x")</f>
        <v>x</v>
      </c>
      <c r="IE139" s="112"/>
      <c r="IF139" s="112"/>
      <c r="IG139" s="112"/>
      <c r="IH139" s="111"/>
      <c r="II139" s="112"/>
      <c r="IJ139" s="112"/>
      <c r="IK139" s="112" t="str">
        <f>HYPERLINK("http://www.bamf.de/SharedDocs/Anlagen/DE/Publikationen/Flyer/Lassen-Sie-Sich-Beraten/lassen-sie-sich-beraten_ar.pdf?__blob=publicationFile","x")</f>
        <v>x</v>
      </c>
      <c r="IL139" s="112" t="str">
        <f>HYPERLINK("http://www.bamf.de/SharedDocs/Anlagen/DE/Publikationen/Flyer/flyer-erstorientierung-asylsuchende_arabisch.pdf?__blob=publicationFile","x")</f>
        <v>x</v>
      </c>
      <c r="IM139" s="111"/>
      <c r="IN139" s="112" t="str">
        <f>HYPERLINK("https://www.bamf.de/SharedDocs/Anlagen/DE/Publikationen/Broschueren/willkommen-in-deutschland_ar.pdf?__blob=publicationFile","x")</f>
        <v>x</v>
      </c>
      <c r="IO139" s="112"/>
      <c r="IP139" s="111"/>
      <c r="IQ139" s="112" t="str">
        <f>HYPERLINK("http://www.bamf.de/SharedDocs/Anlagen/DE/Publikationen/Flyer/Lernen-Sie-Deutsch/lernen-sie-deutsch_ar.pdf?__blob=publicationFile","x")</f>
        <v>x</v>
      </c>
      <c r="IR139" s="112" t="str">
        <f>HYPERLINK("http://www.asyl.net/fileadmin/user_upload/redaktion/Dokumente/Arbeitshilfen/150910_Wie_l%C3%A4uft_ein_Asylverfahren_ab_%C3%9Cberblickstext_Arabisch.pdf","x")</f>
        <v>x</v>
      </c>
      <c r="IS139" s="111"/>
      <c r="IT139" s="111"/>
      <c r="IU139" s="111"/>
      <c r="IV139" s="112" t="str">
        <f>HYPERLINK("http://www.asyl.net/fileadmin/user_upload/infoblatt_anhoerung/Infoblatt_2015_ar_fin.pdf","x")</f>
        <v>x</v>
      </c>
      <c r="IW139" s="112" t="str">
        <f>HYPERLINK("http://efi-landsberg.de/asyl/wp-content/uploads/2014/04/Merkblatt-Asylbewerber-Fluechtlinge.pdf","x")</f>
        <v>x</v>
      </c>
      <c r="IX139" s="112"/>
      <c r="IY139" s="112" t="str">
        <f>HYPERLINK("http://www.bamf.de/SharedDocs/Anlagen/DE/Publikationen/Broschueren/broschuere-eat-a4-ar-arabisch.pdf?__blob=publicationFile","x")</f>
        <v>x</v>
      </c>
      <c r="IZ139" s="111"/>
      <c r="JA139" s="112" t="str">
        <f>HYPERLINK("http://fluechtlingsrat-bw.de/informationen-fuer-fluechtlinge.html","x")</f>
        <v>x</v>
      </c>
      <c r="JB139" s="111"/>
      <c r="JC139" s="112"/>
      <c r="JD139" s="111"/>
      <c r="JE139" s="112"/>
      <c r="JF139" s="112"/>
      <c r="JG139" s="112" t="str">
        <f>HYPERLINK("http://www.bamf.de/SharedDocs/Anlagen/DE/Publikationen/Flyer/Ehegattennachzug/ehegattennachzug-ar.pdf?__blob=publicationFile","x")</f>
        <v>x</v>
      </c>
      <c r="JH139" s="112" t="str">
        <f>HYPERLINK("https://familyreunion-syria.diplo.de/webportal/index.html#start","x")</f>
        <v>x</v>
      </c>
      <c r="JI139" s="111"/>
      <c r="JJ139" s="112"/>
      <c r="JK139" s="112" t="str">
        <f>HYPERLINK("https://www.arbeitsagentur.de/web/wcm/idc/groups/public/documents/webdatei/mdaw/mjgz/~edisp/l6019022dstbai784629.pdf?_ba.sid=L6019022DSTBAI788745","x")</f>
        <v>x</v>
      </c>
      <c r="JL139" s="112" t="str">
        <f>HYPERLINK("http://www.kub-berlin.org/formularprojekt/de/arabisch-antraege-und-anlagen/","x")</f>
        <v>x</v>
      </c>
      <c r="JM139" s="112" t="str">
        <f>HYPERLINK("https://www.arbeitsagentur.de/web/content/DE/Formulare/Detail/index.htm?dfContentId=L6019022DSTBAI485740","x")</f>
        <v>x</v>
      </c>
      <c r="JN139" s="112"/>
      <c r="JO139" s="112"/>
      <c r="JP139" s="112"/>
      <c r="JQ139" s="112"/>
      <c r="JR139" s="112" t="str">
        <f>HYPERLINK("http://www.ibla-germany.de/merkblaetter.php","x")</f>
        <v>x</v>
      </c>
      <c r="JS139" s="112"/>
      <c r="JT139" s="112" t="str">
        <f>HYPERLINK("http://www.b-umf.de/images/willkommen/willkommensbroschurearabisch-web.pdf","x")</f>
        <v>x</v>
      </c>
      <c r="JU139" s="111"/>
      <c r="JV139" s="111"/>
      <c r="JW139" s="112"/>
      <c r="JX139" s="112"/>
      <c r="JY139" s="112"/>
      <c r="JZ139" s="112"/>
      <c r="KA139" s="112" t="str">
        <f>HYPERLINK("http://www.kas.de/wf/de/33.43117/","x")</f>
        <v>x</v>
      </c>
      <c r="KB139" s="112" t="str">
        <f>HYPERLINK("http://www.refugeeguide.de/dl/RefugeeGuide_ar_930.pdf","x")</f>
        <v>x</v>
      </c>
      <c r="KC139" s="112" t="str">
        <f>HYPERLINK("http://www.bpb.de/shop/buecher/grundgesetz/215136/grundgesetz-auf-arabisch","x")</f>
        <v>x</v>
      </c>
      <c r="KD139" s="112" t="str">
        <f>HYPERLINK("http://www.wedel.de/fileadmin/user_upload/media/pdf/Rathaus_und_Politik/20160118_PM_Broschuere.pdf","x")</f>
        <v>x</v>
      </c>
      <c r="KE139" s="112" t="str">
        <f>HYPERLINK("http://www.frauenrechte.de/online/images/downloads/allgemein/TDF_Flyer_Women_Men.pdf","x")</f>
        <v>x</v>
      </c>
      <c r="KF139" s="112" t="str">
        <f>HYPERLINK("http://sab.landtag.sachsen.de/dokumente/landtagskurier/Grundwerte-A5-international_web_08012016.pdf","x")</f>
        <v>x</v>
      </c>
      <c r="KG139" s="112"/>
      <c r="KH139" s="112"/>
      <c r="KI139" s="112"/>
      <c r="KJ139" s="112"/>
      <c r="KK139" s="112"/>
      <c r="KL139" s="112"/>
      <c r="KM139" s="112"/>
      <c r="KN139" s="112"/>
      <c r="KO139" s="112"/>
      <c r="KP139" s="112"/>
      <c r="KQ139" s="112"/>
      <c r="KR139" s="112"/>
      <c r="KS139" s="112"/>
      <c r="KT139" s="112"/>
      <c r="KU139" s="112"/>
      <c r="KV139" s="112"/>
      <c r="KW139" s="112"/>
      <c r="KX139" s="112"/>
      <c r="KY139" s="112"/>
      <c r="KZ139" s="112"/>
      <c r="LA139" s="112"/>
      <c r="LB139" s="112"/>
      <c r="LC139" s="111"/>
      <c r="LD139" s="111"/>
      <c r="LE139" s="111"/>
      <c r="LF139" s="111"/>
      <c r="LG139" s="112"/>
      <c r="LH139" s="111"/>
      <c r="LI139" s="111"/>
      <c r="LJ139" s="111"/>
      <c r="LK139" s="111"/>
      <c r="LL139" s="111"/>
      <c r="LM139" s="111"/>
      <c r="LN139" s="111"/>
      <c r="LO139" s="111"/>
      <c r="LP139" s="111"/>
      <c r="LQ139" s="111"/>
      <c r="LR139" s="111"/>
      <c r="LS139" s="111"/>
      <c r="LT139" s="112"/>
      <c r="LU139" s="111"/>
      <c r="LV139" s="111"/>
      <c r="LW139" s="111"/>
      <c r="LX139" s="111"/>
      <c r="LY139" s="111"/>
      <c r="LZ139" s="112" t="str">
        <f>HYPERLINK("http://www.bjf.info/projekte/cinemanya","x")</f>
        <v>x</v>
      </c>
      <c r="MA139" s="111"/>
      <c r="MB139" s="111"/>
      <c r="MC139" s="111"/>
      <c r="MD139" s="112" t="str">
        <f>HYPERLINK("http://www.rki.de/DE/Content/Infekt/IfSG/Belehrungsbogen/belehrungsbogen_lebensmittel_arabisch.pdf?__blob=publicationFile","x")</f>
        <v>x</v>
      </c>
      <c r="ME139" s="111"/>
      <c r="MF139" s="112" t="str">
        <f>HYPERLINK("http://www.gdv.de/wp-content/uploads/2016/01/Information_Brandschutz_Fluechtlingsheim_-Sicherheit_mehrsprachig.pdf","x")</f>
        <v>x</v>
      </c>
      <c r="MG139" s="112" t="str">
        <f>HYPERLINK("http://www.gdv.de/wp-content/uploads/2016/01/Information_Verhalten-im-Brandfall_mehrsprachig.pdf","x")</f>
        <v>x</v>
      </c>
      <c r="MH139" s="112" t="str">
        <f>HYPERLINK("http://www.aha-region.de/fileadmin/Download/pdf/aha_Plakat_Muelltrennung_ar.pdf","x")</f>
        <v>x</v>
      </c>
      <c r="MI139" s="112" t="str">
        <f>HYPERLINK("http://www.kindersicherheit.de/pdf/2012_poster_achtunggiftig_8sprachig.pdf","x")</f>
        <v>x</v>
      </c>
    </row>
    <row r="140" spans="1:347" x14ac:dyDescent="0.25">
      <c r="A140" s="102" t="s">
        <v>78</v>
      </c>
      <c r="B140" s="127" t="s">
        <v>0</v>
      </c>
      <c r="C140" s="102"/>
      <c r="D140" s="102"/>
      <c r="E140" s="102"/>
      <c r="F140" s="102"/>
      <c r="G140" s="102"/>
      <c r="H140" s="102"/>
      <c r="I140" s="102"/>
      <c r="J140" s="102"/>
      <c r="K140" s="103"/>
      <c r="L140" s="111"/>
      <c r="M140" s="111"/>
      <c r="N140" s="111"/>
      <c r="O140" s="111"/>
      <c r="P140" s="112" t="str">
        <f>HYPERLINK("https://willkommensteamelmshorn.files.wordpress.com/2015/11/sortieranleitung_pinneberg_2015_albanisch.pdf","x")</f>
        <v>x</v>
      </c>
      <c r="Q140" s="111"/>
      <c r="R140" s="111"/>
      <c r="S140" s="111"/>
      <c r="T140" s="111"/>
      <c r="U140" s="111"/>
      <c r="V140" s="111"/>
      <c r="W140" s="112"/>
      <c r="X140" s="111"/>
      <c r="Y140" s="112"/>
      <c r="Z140" s="112"/>
      <c r="AA140" s="112"/>
      <c r="AB140" s="112"/>
      <c r="AC140" s="112"/>
      <c r="AD140" s="112"/>
      <c r="AE140" s="112"/>
      <c r="AF140" s="112"/>
      <c r="AG140" s="112" t="str">
        <f>HYPERLINK("http://asyl-in-moenchengladbach.de/wp-content/uploads/2015/11/100711-Flyer_alban.pdf","x")</f>
        <v>x</v>
      </c>
      <c r="AH140" s="111"/>
      <c r="AI140" s="111"/>
      <c r="AJ140" s="111"/>
      <c r="AK140" s="111"/>
      <c r="AL140" s="111"/>
      <c r="AM140" s="111"/>
      <c r="AN140" s="111"/>
      <c r="AO140" s="112"/>
      <c r="AP140" s="112"/>
      <c r="AQ140" s="112"/>
      <c r="AR140" s="112"/>
      <c r="AS140" s="112"/>
      <c r="AT140" s="112"/>
      <c r="AU140" s="112"/>
      <c r="AV140" s="113"/>
      <c r="AW140" s="114" t="str">
        <f t="shared" si="22"/>
        <v>x</v>
      </c>
      <c r="AX140" s="114" t="str">
        <f t="shared" si="23"/>
        <v>x</v>
      </c>
      <c r="AY140" s="111"/>
      <c r="AZ140" s="111"/>
      <c r="BA140" s="112" t="str">
        <f t="shared" si="24"/>
        <v>x</v>
      </c>
      <c r="BB140" s="112" t="str">
        <f t="shared" si="25"/>
        <v>x</v>
      </c>
      <c r="BC140" s="111"/>
      <c r="BD140" s="111"/>
      <c r="BE140" s="111"/>
      <c r="BF140" s="111"/>
      <c r="BG140" s="111"/>
      <c r="BH140" s="111"/>
      <c r="BI140" s="112" t="str">
        <f>HYPERLINK("https://www.advanced-online.eu/downloads/RefugeePhrasebookCards_German-Albanian.pdf","x")</f>
        <v>x</v>
      </c>
      <c r="BJ140" s="111"/>
      <c r="BK140" s="111"/>
      <c r="BL140" s="112" t="str">
        <f>HYPERLINK("http://www.bundessprachenamt.de/deutsch/wir_ueber_uns/nachrichten/2015/20151103/Verständigungshilfe_Albanisch_26_11_2015.pdf","x")</f>
        <v>x</v>
      </c>
      <c r="BM140" s="112" t="str">
        <f>HYPERLINK("http://www.frnrw.de/images/Aus_den_Initiativen/Ehrenamtler/2015/Dictionary_x10_print-2.pdf","x")</f>
        <v>x</v>
      </c>
      <c r="BN140" s="111"/>
      <c r="BO140" s="111"/>
      <c r="BP140" s="111"/>
      <c r="BQ140" s="111"/>
      <c r="BR140" s="111"/>
      <c r="BS140" s="112" t="str">
        <f t="shared" si="26"/>
        <v>x</v>
      </c>
      <c r="BT140" s="112"/>
      <c r="BU140" s="111"/>
      <c r="BV140" s="112" t="str">
        <f t="shared" si="27"/>
        <v>x</v>
      </c>
      <c r="BW140" s="112" t="str">
        <f>HYPERLINK("http://www.welcomegrooves.de/wp-content/uploads/2015/10/welcomegrooves_DE-ALBANISCH.pdf","x")</f>
        <v>x</v>
      </c>
      <c r="BX140" s="112"/>
      <c r="BY140" s="112"/>
      <c r="BZ140" s="112" t="str">
        <f>HYPERLINK("http://fluechtlingshilfe-nettetal.de/ausbildung/video-sprachkurse-deutsch-fuer-fluechtlinge/video-sprachkurs-albanisch-deutsch/","x")</f>
        <v>x</v>
      </c>
      <c r="CA140" s="112" t="str">
        <f t="shared" si="28"/>
        <v>x</v>
      </c>
      <c r="CB140" s="112" t="str">
        <f t="shared" si="29"/>
        <v>x</v>
      </c>
      <c r="CC140" s="112" t="str">
        <f t="shared" si="30"/>
        <v>x</v>
      </c>
      <c r="CD140" s="112"/>
      <c r="CE140" s="112"/>
      <c r="CF140" s="111"/>
      <c r="CG140" s="111"/>
      <c r="CH140" s="111"/>
      <c r="CI140" s="111"/>
      <c r="CJ140" s="111"/>
      <c r="CK140" s="112" t="str">
        <f t="shared" si="31"/>
        <v>x</v>
      </c>
      <c r="CL140" s="112"/>
      <c r="CM140" s="112"/>
      <c r="CN140" s="112"/>
      <c r="CO140" s="112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2"/>
      <c r="DA140" s="112" t="str">
        <f>HYPERLINK("http://sichere-orte-schaffen.de/wp-content/uploads/Minibrosch_Fluechtlinge_multilang.pdf","x")</f>
        <v>x</v>
      </c>
      <c r="DB140" s="112"/>
      <c r="DC140" s="115"/>
      <c r="DD140" s="112"/>
      <c r="DE140" s="112"/>
      <c r="DF140" s="112" t="str">
        <f t="shared" si="32"/>
        <v>x</v>
      </c>
      <c r="DG140" s="115" t="str">
        <f t="shared" si="33"/>
        <v>x</v>
      </c>
      <c r="DH140" s="112" t="str">
        <f t="shared" si="34"/>
        <v>x</v>
      </c>
      <c r="DI140" s="112" t="str">
        <f t="shared" si="35"/>
        <v>x</v>
      </c>
      <c r="DJ140" s="112" t="str">
        <f>HYPERLINK("http://www.bibliomedia.ch/de/angebote/dokumente/Glossar_albanisch.pdf","x")</f>
        <v>x</v>
      </c>
      <c r="DK140" s="112"/>
      <c r="DL140" s="112"/>
      <c r="DM140" s="112"/>
      <c r="DN140" s="112"/>
      <c r="DO140" s="112"/>
      <c r="DP140" s="111"/>
      <c r="DQ140" s="111"/>
      <c r="DR140" s="111"/>
      <c r="DS140" s="112" t="str">
        <f>HYPERLINK("http://bildung.koeln.de/materialbibliothek/download.php?idx=00d90bf2e613ea68bb3a6eb10941e749","x")</f>
        <v>x</v>
      </c>
      <c r="DT140" s="112" t="str">
        <f>HYPERLINK("http://bildung.koeln.de/materialbibliothek/download.php?idx=7fe9bcc33373e31f48b8dc613c66ad26","x")</f>
        <v>x</v>
      </c>
      <c r="DU140" s="112"/>
      <c r="DV140" s="111"/>
      <c r="DW140" s="111"/>
      <c r="DX140" s="111"/>
      <c r="DY140" s="111"/>
      <c r="DZ140" s="111"/>
      <c r="EA140" s="111"/>
      <c r="EB140" s="112"/>
      <c r="EC140" s="111"/>
      <c r="ED140" s="111"/>
      <c r="EE140" s="111"/>
      <c r="EF140" s="111"/>
      <c r="EG140" s="111"/>
      <c r="EH140" s="111"/>
      <c r="EI140" s="111"/>
      <c r="EJ140" s="112"/>
      <c r="EK140" s="112"/>
      <c r="EL140" s="111"/>
      <c r="EM140" s="112" t="str">
        <f>HYPERLINK("http://www.kvs-sachsen.de/fileadmin/img/Mitglieder/Asylbewerber/Allg-Informationen/Anlage_1_Albanisch_LEK.pdf","x")</f>
        <v>x</v>
      </c>
      <c r="EN140" s="111"/>
      <c r="EO140" s="111"/>
      <c r="EP140" s="117" t="str">
        <f t="shared" si="53"/>
        <v>x</v>
      </c>
      <c r="EQ140" s="118"/>
      <c r="ER140" s="112" t="str">
        <f>HYPERLINK("http://www.kvs-sachsen.de/fileadmin/img/Mitglieder/Asylbewerber/Allg-Informationen/Anlagen_2-1_2-2_Albanisch_LEK.pdf","x")</f>
        <v>x</v>
      </c>
      <c r="ES140" s="112"/>
      <c r="ET140" s="112"/>
      <c r="EU140" s="111"/>
      <c r="EV140" s="112" t="str">
        <f>HYPERLINK("http://www.adler-apotheke-hh.de/fileadmin/user_upload/PDF-Dateien/Dosierzettel_mehrsprachig_AUF_0_.pdf","x")</f>
        <v>x</v>
      </c>
      <c r="EW140" s="112" t="str">
        <f t="shared" si="36"/>
        <v>x</v>
      </c>
      <c r="EX140" s="111"/>
      <c r="EY140" s="111"/>
      <c r="EZ140" s="111"/>
      <c r="FA140" s="111"/>
      <c r="FB140" s="111"/>
      <c r="FC140" s="111"/>
      <c r="FD140" s="112" t="str">
        <f t="shared" si="37"/>
        <v>x</v>
      </c>
      <c r="FE140" s="112" t="str">
        <f t="shared" si="54"/>
        <v>x</v>
      </c>
      <c r="FF140" s="112" t="str">
        <f>HYPERLINK("http://www.fuhlenhagen.com/pdf_dateien/uebertzungshilfe_aerzte_mehrsprachig.pdf","x")</f>
        <v>x</v>
      </c>
      <c r="FG140" s="112" t="str">
        <f>HYPERLINK("http://www.tipdoc.de/grafik/asyl/Gesundheitsheft_Asyl.pdf","x")</f>
        <v>x</v>
      </c>
      <c r="FH140" s="111"/>
      <c r="FI140" s="111"/>
      <c r="FJ140" s="112"/>
      <c r="FK140" s="112" t="str">
        <f>HYPERLINK("http://www.rki.de/DE/Content/Infekt/Impfen/Materialien/Downloads-Impfkalender/Impfkalender_Albanisch.pdf?__blob=publicationFile","x")</f>
        <v>x</v>
      </c>
      <c r="FL140" s="112" t="str">
        <f>HYPERLINK("http://www.ethno-medizinisches-zentrum.de/images/PDF-Files/impfwegweiser_albanisch_2013_online.pdf","x")</f>
        <v>x</v>
      </c>
      <c r="FM140" s="112"/>
      <c r="FN140" s="112" t="str">
        <f>HYPERLINK("http://www.rki.de/DE/Content/Infekt/Impfen/Materialien/Glossar-Downloads/glossar-de-albanisch.pdf?__blob=publicationFile","x")</f>
        <v>x</v>
      </c>
      <c r="FO140" s="112"/>
      <c r="FP140" s="112" t="str">
        <f>HYPERLINK("http://www.rki.de/DE/Content/Infekt/Impfen/Materialien/Downloads-MMR/MMR-Impfinfo-albanisch.pdf?__blob=publicationFile","x")</f>
        <v>x</v>
      </c>
      <c r="FQ140" s="111"/>
      <c r="FR140" s="112" t="str">
        <f>HYPERLINK("http://www.rki.de/DE/Content/Infekt/Impfen/Materialien/Downloads_HepA/Aufklaerung_HAV-Impfung_albanisch.pdf?__blob=publicationFile","x")</f>
        <v>x</v>
      </c>
      <c r="FS140" s="112" t="str">
        <f>HYPERLINK("http://www.rki.de/DE/Content/Infekt/Impfen/Materialien/Downloads_Pneumokokken/Aufklaerung_Pneumo-Impfung_Albanisch.pdf?__blob=publicationFile","x")</f>
        <v>x</v>
      </c>
      <c r="FT140" s="112" t="str">
        <f>HYPERLINK("http://www.rki.de/DE/Content/Infekt/Impfen/Materialien/Downloads-DTaPIPVHibHepB/DTaPIPVHibHepB_albanisch.pdf?__blob=publicationFile","x")</f>
        <v>x</v>
      </c>
      <c r="FU140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40" s="112" t="str">
        <f>HYPERLINK("http://www.rki.de/DE/Content/Infekt/Impfen/Materialien/Downloads-Tdap-IPV/Tdap-IPV-albanisch.pdf?__blob=publicationFile","x")</f>
        <v>x</v>
      </c>
      <c r="FW140" s="112" t="str">
        <f>HYPERLINK("http://www.rki.de/DE/Content/Infekt/Impfen/Materialien/Downloads-Influenza_nasal/Influenza_nasal-albanisch.pdf?__blob=publicationFile","x")</f>
        <v>x</v>
      </c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2" t="str">
        <f>HYPERLINK("http://www.rki.de/DE/Content/Infekt/Impfen/Materialien/Downloads-Influenza/Influenza-albanisch.pdf?__blob=publicationFile","x")</f>
        <v>x</v>
      </c>
      <c r="GN140" s="111"/>
      <c r="GO140" s="111"/>
      <c r="GP140" s="112" t="str">
        <f>HYPERLINK("http://www.tipdoc.de/grafik/pdf/kopflaeuse/Kopflaeuse_ALBAN.pdf","x")</f>
        <v>x</v>
      </c>
      <c r="GQ140" s="112"/>
      <c r="GR140" s="112" t="str">
        <f>HYPERLINK("http://www.tipdoc.com/bus/pdf/kraetze/tipdoc_Scabies_ALBAN.pdf","x")</f>
        <v>x</v>
      </c>
      <c r="GS140" s="112" t="str">
        <f>HYPERLINK("http://www.tipdoc.com/bus/pdf/MagenDarmHaende/MagenDarmHaende_ALBAN.pdf","x")</f>
        <v>x</v>
      </c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2" t="str">
        <f t="shared" si="38"/>
        <v>x</v>
      </c>
      <c r="HD140" s="112" t="str">
        <f>HYPERLINK("https://www.zahnaerzte-wl.de/images/_PDF-suche/KZV_ZÄK/ENDSTAND_Ankreuzbogen_Ich_verstehe.pdf","x")</f>
        <v>x</v>
      </c>
      <c r="HE140" s="112" t="str">
        <f>HYPERLINK("https://www.zahnaerzte-wl.de/images/_PDF-suche/KZV_ZÄK/Anschreiben_albanisch.pdf","x")</f>
        <v>x</v>
      </c>
      <c r="HF140" s="112" t="str">
        <f>HYPERLINK("https://www.zahnaerzte-wl.de/images/_PDF-suche/KZV_ZÄK/Fragebogen_albanisch.pdf","x")</f>
        <v>x</v>
      </c>
      <c r="HG140" s="112" t="str">
        <f>HYPERLINK("https://www.zahnaerzte-wl.de/images/_PDF-suche/KZV_ZÄK/Fragebogen_albanisch.pdf","x")</f>
        <v>x</v>
      </c>
      <c r="HH140" s="112"/>
      <c r="HI140" s="112"/>
      <c r="HJ140" s="112"/>
      <c r="HK140" s="112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2" t="str">
        <f t="shared" si="39"/>
        <v>x</v>
      </c>
      <c r="HZ140" s="112" t="str">
        <f t="shared" si="40"/>
        <v>x</v>
      </c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2"/>
      <c r="IL140" s="111"/>
      <c r="IM140" s="111"/>
      <c r="IN140" s="111"/>
      <c r="IO140" s="111"/>
      <c r="IP140" s="111"/>
      <c r="IQ140" s="112"/>
      <c r="IR140" s="112"/>
      <c r="IS140" s="111"/>
      <c r="IT140" s="111"/>
      <c r="IU140" s="111"/>
      <c r="IV140" s="112" t="str">
        <f>HYPERLINK("http://www.asyl.net/fileadmin/user_upload/infoblatt_anhoerung/Infoblatt_2015_alb_fin.pdf","x")</f>
        <v>x</v>
      </c>
      <c r="IW140" s="112"/>
      <c r="IX140" s="112"/>
      <c r="IY140" s="112" t="str">
        <f>HYPERLINK("http://www.bamf.de/SharedDocs/Anlagen/DE/Publikationen/Broschueren/broschuere-eat-a4-sq-albanisch.pdf?__blob=publicationFile","x")</f>
        <v>x</v>
      </c>
      <c r="IZ140" s="111"/>
      <c r="JA140" s="111"/>
      <c r="JB140" s="111"/>
      <c r="JC140" s="112" t="str">
        <f>HYPERLINK("http://www.bamf.de/SharedDocs/Anlagen/DE/Publikationen/Flyer/20140110_ura2-kinderprojekt_alb.pdf?__blob=publicationFile","x")</f>
        <v>x</v>
      </c>
      <c r="JD140" s="111"/>
      <c r="JE140" s="112"/>
      <c r="JF140" s="112"/>
      <c r="JG140" s="111"/>
      <c r="JH140" s="111"/>
      <c r="JI140" s="111"/>
      <c r="JJ140" s="112"/>
      <c r="JK140" s="112"/>
      <c r="JL140" s="112"/>
      <c r="JM140" s="112"/>
      <c r="JN140" s="112"/>
      <c r="JO140" s="112"/>
      <c r="JP140" s="112"/>
      <c r="JQ140" s="112"/>
      <c r="JR140" s="112" t="str">
        <f>HYPERLINK("http://www.ibla-germany.de/merkblaetter.php","x")</f>
        <v>x</v>
      </c>
      <c r="JS140" s="112"/>
      <c r="JT140" s="111"/>
      <c r="JU140" s="111"/>
      <c r="JV140" s="111"/>
      <c r="JW140" s="112"/>
      <c r="JX140" s="112"/>
      <c r="JY140" s="112"/>
      <c r="JZ140" s="112"/>
      <c r="KA140" s="112"/>
      <c r="KB140" s="112" t="str">
        <f>HYPERLINK("http://www.refugeeguide.de/dl/RefugeeGuide_al_929.pdf","x")</f>
        <v>x</v>
      </c>
      <c r="KC140" s="111"/>
      <c r="KD140" s="111"/>
      <c r="KE140" s="112" t="str">
        <f>HYPERLINK("http://www.frauenrechte.de/online/images/downloads/allgemein/TDF_Flyer_Women_Men.pdf","x")</f>
        <v>x</v>
      </c>
      <c r="KF140" s="111"/>
      <c r="KG140" s="112"/>
      <c r="KH140" s="112"/>
      <c r="KI140" s="112"/>
      <c r="KJ140" s="112"/>
      <c r="KK140" s="112"/>
      <c r="KL140" s="112"/>
      <c r="KM140" s="112"/>
      <c r="KN140" s="112"/>
      <c r="KO140" s="112"/>
      <c r="KP140" s="112"/>
      <c r="KQ140" s="112"/>
      <c r="KR140" s="112"/>
      <c r="KS140" s="112"/>
      <c r="KT140" s="112"/>
      <c r="KU140" s="112"/>
      <c r="KV140" s="112"/>
      <c r="KW140" s="112"/>
      <c r="KX140" s="112"/>
      <c r="KY140" s="112"/>
      <c r="KZ140" s="112"/>
      <c r="LA140" s="112"/>
      <c r="LB140" s="112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  <c r="MI140" s="111"/>
    </row>
    <row r="141" spans="1:347" x14ac:dyDescent="0.25">
      <c r="A141" s="102" t="s">
        <v>78</v>
      </c>
      <c r="B141" s="127" t="s">
        <v>30</v>
      </c>
      <c r="C141" s="102"/>
      <c r="D141" s="102"/>
      <c r="E141" s="102"/>
      <c r="F141" s="102"/>
      <c r="G141" s="102"/>
      <c r="H141" s="102"/>
      <c r="I141" s="102"/>
      <c r="J141" s="102"/>
      <c r="K141" s="103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2"/>
      <c r="AP141" s="112"/>
      <c r="AQ141" s="112"/>
      <c r="AR141" s="112"/>
      <c r="AS141" s="112"/>
      <c r="AT141" s="112"/>
      <c r="AU141" s="112"/>
      <c r="AV141" s="113"/>
      <c r="AW141" s="114" t="str">
        <f t="shared" si="22"/>
        <v>x</v>
      </c>
      <c r="AX141" s="114" t="str">
        <f t="shared" si="23"/>
        <v>x</v>
      </c>
      <c r="AY141" s="111"/>
      <c r="AZ141" s="111"/>
      <c r="BA141" s="112" t="str">
        <f t="shared" si="24"/>
        <v>x</v>
      </c>
      <c r="BB141" s="112" t="str">
        <f t="shared" si="25"/>
        <v>x</v>
      </c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2" t="str">
        <f t="shared" si="26"/>
        <v>x</v>
      </c>
      <c r="BT141" s="112"/>
      <c r="BU141" s="111"/>
      <c r="BV141" s="112" t="str">
        <f t="shared" si="27"/>
        <v>x</v>
      </c>
      <c r="BW141" s="112" t="str">
        <f>HYPERLINK("http://www.welcomegrooves.de/wp-content/uploads/2015/11/welcomegrooves_DE-BULGARISCH_V1.pdf","x")</f>
        <v>x</v>
      </c>
      <c r="BX141" s="112"/>
      <c r="BY141" s="112"/>
      <c r="BZ141" s="112"/>
      <c r="CA141" s="112" t="str">
        <f t="shared" si="28"/>
        <v>x</v>
      </c>
      <c r="CB141" s="112" t="str">
        <f t="shared" si="29"/>
        <v>x</v>
      </c>
      <c r="CC141" s="112" t="str">
        <f t="shared" si="30"/>
        <v>x</v>
      </c>
      <c r="CD141" s="112"/>
      <c r="CE141" s="112"/>
      <c r="CF141" s="111"/>
      <c r="CG141" s="111"/>
      <c r="CH141" s="111"/>
      <c r="CI141" s="111"/>
      <c r="CJ141" s="112" t="str">
        <f>HYPERLINK("https://www.hilfetelefon.de/fileadmin/hilfetelefon_de/Materialien/weitere_werbemittel/Klappflyer_Vorder-_und_Rueckseite_opt2.pdf","x")</f>
        <v>x</v>
      </c>
      <c r="CK141" s="112" t="str">
        <f t="shared" si="31"/>
        <v>x</v>
      </c>
      <c r="CL141" s="112"/>
      <c r="CM141" s="112"/>
      <c r="CN141" s="112"/>
      <c r="CO141" s="112"/>
      <c r="CP141" s="112" t="str">
        <f>HYPERLINK("http://www.schwanger-und-viele-fragen.de/bg/","x")</f>
        <v>x</v>
      </c>
      <c r="CQ141" s="112"/>
      <c r="CR141" s="112"/>
      <c r="CS141" s="112"/>
      <c r="CT141" s="112"/>
      <c r="CU141" s="112" t="str">
        <f>HYPERLINK("http://www.profamilia.de/fileadmin/publikationen/Erwachsene/mehrsprachig/Bro_Verhuetung_bul_141016.pdf","x")</f>
        <v>x</v>
      </c>
      <c r="CV141" s="112"/>
      <c r="CW141" s="112"/>
      <c r="CX141" s="112"/>
      <c r="CY141" s="112"/>
      <c r="CZ141" s="112"/>
      <c r="DA141" s="112"/>
      <c r="DB141" s="112"/>
      <c r="DC141" s="115"/>
      <c r="DD141" s="112"/>
      <c r="DE141" s="112"/>
      <c r="DF141" s="112" t="str">
        <f t="shared" si="32"/>
        <v>x</v>
      </c>
      <c r="DG141" s="115" t="str">
        <f t="shared" si="33"/>
        <v>x</v>
      </c>
      <c r="DH141" s="112" t="str">
        <f t="shared" si="34"/>
        <v>x</v>
      </c>
      <c r="DI141" s="112" t="str">
        <f t="shared" si="35"/>
        <v>x</v>
      </c>
      <c r="DJ141" s="112" t="str">
        <f>HYPERLINK("http://www.bibliomedia.ch/de/angebote/dokumente/Glossar_bulgarisch.pdf","x")</f>
        <v>x</v>
      </c>
      <c r="DK141" s="112"/>
      <c r="DL141" s="112"/>
      <c r="DM141" s="112"/>
      <c r="DN141" s="112"/>
      <c r="DO141" s="112"/>
      <c r="DP141" s="111"/>
      <c r="DQ141" s="112" t="str">
        <f>HYPERLINK("http://tipdoc.de/bus/grafik/kinder-tip/SCHULTIP_give_BulgRoSRB.pdf","x")</f>
        <v>x</v>
      </c>
      <c r="DR141" s="111"/>
      <c r="DS141" s="112" t="str">
        <f>HYPERLINK("http://bildung.koeln.de/materialbibliothek/download.php?idx=fa5ec5a51d71668e22b39aad7ce835b7","x")</f>
        <v>x</v>
      </c>
      <c r="DT141" s="112" t="str">
        <f>HYPERLINK("http://bildung.koeln.de/materialbibliothek/download.php?idx=b6156c96f0672121e7a1d19acc23ac96","x")</f>
        <v>x</v>
      </c>
      <c r="DU141" s="112"/>
      <c r="DV141" s="112" t="str">
        <f>HYPERLINK("https://www.bmbf.de/pub/Kausa_Elternratgeber_deutsch_bulgarisch.pdf","x")</f>
        <v>x</v>
      </c>
      <c r="DW141" s="111"/>
      <c r="DX141" s="111"/>
      <c r="DY141" s="111"/>
      <c r="DZ141" s="112" t="str">
        <f>HYPERLINK("http://www.bamf.de/SharedDocs/Anlagen/DE/Publikationen/Flyer/AnerkennungBerufsabschluss/anerkennung-berufsabschluss_bg.pdf?__blob=publicationFile","x")</f>
        <v>x</v>
      </c>
      <c r="EA141" s="112"/>
      <c r="EB141" s="112"/>
      <c r="EC141" s="112"/>
      <c r="ED141" s="111"/>
      <c r="EE141" s="111"/>
      <c r="EF141" s="111"/>
      <c r="EG141" s="111"/>
      <c r="EH141" s="111"/>
      <c r="EI141" s="111"/>
      <c r="EJ141" s="112"/>
      <c r="EK141" s="112"/>
      <c r="EL141" s="111"/>
      <c r="EM141" s="111"/>
      <c r="EN141" s="111"/>
      <c r="EO141" s="111"/>
      <c r="EP141" s="117" t="str">
        <f t="shared" si="53"/>
        <v>x</v>
      </c>
      <c r="EQ141" s="117" t="str">
        <f>HYPERLINK("http://www.armut-gesundheit.de/fileadmin/redakteur/dokumente/Anamnesebogen%20-%20bulgarischnew.pdf","x")</f>
        <v>x</v>
      </c>
      <c r="ER141" s="111"/>
      <c r="ES141" s="111"/>
      <c r="ET141" s="111"/>
      <c r="EU141" s="111"/>
      <c r="EV141" s="111"/>
      <c r="EW141" s="112" t="str">
        <f t="shared" si="36"/>
        <v>x</v>
      </c>
      <c r="EX141" s="111"/>
      <c r="EY141" s="111"/>
      <c r="EZ141" s="111"/>
      <c r="FA141" s="111"/>
      <c r="FB141" s="111"/>
      <c r="FC141" s="111"/>
      <c r="FD141" s="112" t="str">
        <f t="shared" si="37"/>
        <v>x</v>
      </c>
      <c r="FE141" s="112" t="str">
        <f t="shared" si="54"/>
        <v>x</v>
      </c>
      <c r="FF141" s="111"/>
      <c r="FG141" s="111"/>
      <c r="FH141" s="111"/>
      <c r="FI141" s="111"/>
      <c r="FJ141" s="112"/>
      <c r="FK141" s="112" t="str">
        <f>HYPERLINK("http://www.rki.de/DE/Content/Infekt/Impfen/Materialien/Downloads-Impfkalender/Impfkalender_Bulgarisch.pdf?__blob=publicationFile","x")</f>
        <v>x</v>
      </c>
      <c r="FL141" s="112" t="str">
        <f>HYPERLINK("http://www.ethno-medizinisches-zentrum.de/images/PDF-Files/impfwegweiser_bulgarisch_2013_online.pdf","x")</f>
        <v>x</v>
      </c>
      <c r="FM141" s="112"/>
      <c r="FN141" s="111"/>
      <c r="FO141" s="111"/>
      <c r="FP141" s="112" t="str">
        <f>HYPERLINK("http://www.rki.de/DE/Content/Infekt/Impfen/Materialien/Downloads-MMR/MMR-Impfinfo-bulgarisch.pdf?__blob=publicationFile","x")</f>
        <v>x</v>
      </c>
      <c r="FQ141" s="111"/>
      <c r="FR141" s="112" t="str">
        <f>HYPERLINK("http://www.rki.de/DE/Content/Infekt/Impfen/Materialien/Downloads_HepA/Aufklaerung_HAV-Impfung_bulgarisch.pdf?__blob=publicationFile","x")</f>
        <v>x</v>
      </c>
      <c r="FS141" s="112" t="str">
        <f>HYPERLINK("http://www.rki.de/DE/Content/Infekt/Impfen/Materialien/Downloads_Pneumokokken/Aufklaerung_Pneumo-Impfung_Bulgarisch.pdf?__blob=publicationFile","x")</f>
        <v>x</v>
      </c>
      <c r="FT141" s="112" t="str">
        <f>HYPERLINK("http://www.rki.de/DE/Content/Infekt/Impfen/Materialien/Downloads-DTaPIPVHibHepB/DTaPIPVHibHepB_bulgarisch.pdf?__blob=publicationFile","x")</f>
        <v>x</v>
      </c>
      <c r="FU141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41" s="112" t="str">
        <f>HYPERLINK("http://www.rki.de/DE/Content/Infekt/Impfen/Materialien/Downloads-Tdap-IPV/Tdap-IPV-bulgarisch.pdf?__blob=publicationFile","x")</f>
        <v>x</v>
      </c>
      <c r="FW141" s="112" t="str">
        <f>HYPERLINK("http://www.rki.de/DE/Content/Infekt/Impfen/Materialien/Downloads-Influenza_nasal/Influenza_nasal-bulgarisch.pdf?__blob=publicationFile","x")</f>
        <v>x</v>
      </c>
      <c r="FX141" s="111"/>
      <c r="FY141" s="111"/>
      <c r="FZ141" s="111"/>
      <c r="GA141" s="111"/>
      <c r="GB141" s="111"/>
      <c r="GC141" s="111"/>
      <c r="GD141" s="112" t="str">
        <f>HYPERLINK("http://www.ethno-medizinisches-zentrum.de/images/PDF-Files/lf_diabete_bulgarish.pdf","x")</f>
        <v>x</v>
      </c>
      <c r="GE141" s="111"/>
      <c r="GF141" s="111"/>
      <c r="GG141" s="111"/>
      <c r="GH141" s="111"/>
      <c r="GI141" s="111"/>
      <c r="GJ141" s="111"/>
      <c r="GK141" s="111"/>
      <c r="GL141" s="111"/>
      <c r="GM141" s="112" t="str">
        <f>HYPERLINK("http://www.rki.de/DE/Content/Infekt/Impfen/Materialien/Downloads-Influenza/Influenza-bulgarisch.pdf?__blob=publicationFile","x")</f>
        <v>x</v>
      </c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2" t="str">
        <f t="shared" si="38"/>
        <v>x</v>
      </c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2" t="str">
        <f t="shared" si="39"/>
        <v>x</v>
      </c>
      <c r="HZ141" s="112" t="str">
        <f t="shared" si="40"/>
        <v>x</v>
      </c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2"/>
      <c r="IL141" s="111"/>
      <c r="IM141" s="111"/>
      <c r="IN141" s="112" t="str">
        <f>HYPERLINK("https://www.bamf.de/SharedDocs/Anlagen/DE/Publikationen/Broschueren/willkommen-in-deutschland_bg.pdf?__blob=publicationFile","x")</f>
        <v>x</v>
      </c>
      <c r="IO141" s="112"/>
      <c r="IP141" s="111"/>
      <c r="IQ141" s="112" t="str">
        <f>HYPERLINK("http://www.bamf.de/SharedDocs/Anlagen/DE/Publikationen/Flyer/Lernen-Sie-Deutsch/lernen-sie-deutsch_bg.pdf?__blob=publicationFile","x")</f>
        <v>x</v>
      </c>
      <c r="IR141" s="112"/>
      <c r="IS141" s="111"/>
      <c r="IT141" s="111"/>
      <c r="IU141" s="111"/>
      <c r="IV141" s="112"/>
      <c r="IW141" s="112"/>
      <c r="IX141" s="112"/>
      <c r="IY141" s="112"/>
      <c r="IZ141" s="111"/>
      <c r="JA141" s="111"/>
      <c r="JB141" s="111"/>
      <c r="JC141" s="112"/>
      <c r="JD141" s="111"/>
      <c r="JE141" s="112"/>
      <c r="JF141" s="112"/>
      <c r="JG141" s="112"/>
      <c r="JH141" s="112"/>
      <c r="JI141" s="111"/>
      <c r="JJ141" s="112"/>
      <c r="JK141" s="112"/>
      <c r="JL141" s="112"/>
      <c r="JM141" s="112" t="str">
        <f>HYPERLINK("https://www.arbeitsagentur.de/web/content/DE/Formulare/Detail/index.htm?dfContentId=L6019022DSTBAI485740","x")</f>
        <v>x</v>
      </c>
      <c r="JN141" s="112"/>
      <c r="JO141" s="112"/>
      <c r="JP141" s="112"/>
      <c r="JQ141" s="112"/>
      <c r="JR141" s="112" t="str">
        <f>HYPERLINK("http://www.ibla-germany.de/merkblaetter.php","x")</f>
        <v>x</v>
      </c>
      <c r="JS141" s="112"/>
      <c r="JT141" s="111"/>
      <c r="JU141" s="111"/>
      <c r="JV141" s="111"/>
      <c r="JW141" s="112"/>
      <c r="JX141" s="112"/>
      <c r="JY141" s="111"/>
      <c r="JZ141" s="111"/>
      <c r="KA141" s="111"/>
      <c r="KB141" s="111"/>
      <c r="KC141" s="111"/>
      <c r="KD141" s="111"/>
      <c r="KE141" s="111"/>
      <c r="KF141" s="111"/>
      <c r="KG141" s="111"/>
      <c r="KH141" s="111"/>
      <c r="KI141" s="111"/>
      <c r="KJ141" s="111"/>
      <c r="KK141" s="111"/>
      <c r="KL141" s="111"/>
      <c r="KM141" s="111"/>
      <c r="KN141" s="111"/>
      <c r="KO141" s="111"/>
      <c r="KP141" s="111"/>
      <c r="KQ141" s="111"/>
      <c r="KR141" s="111"/>
      <c r="KS141" s="111"/>
      <c r="KT141" s="111"/>
      <c r="KU141" s="111"/>
      <c r="KV141" s="111"/>
      <c r="KW141" s="111"/>
      <c r="KX141" s="111"/>
      <c r="KY141" s="111"/>
      <c r="KZ141" s="111"/>
      <c r="LA141" s="111"/>
      <c r="LB141" s="111"/>
      <c r="LC141" s="111"/>
      <c r="LD141" s="111"/>
      <c r="LE141" s="111"/>
      <c r="LF141" s="111"/>
      <c r="LG141" s="111"/>
      <c r="LH141" s="111"/>
      <c r="LI141" s="111"/>
      <c r="LJ141" s="111"/>
      <c r="LK141" s="111"/>
      <c r="LL141" s="111"/>
      <c r="LM141" s="111"/>
      <c r="LN141" s="111"/>
      <c r="LO141" s="111"/>
      <c r="LP141" s="111"/>
      <c r="LQ141" s="111"/>
      <c r="LR141" s="111"/>
      <c r="LS141" s="111"/>
      <c r="LT141" s="111"/>
      <c r="LU141" s="111"/>
      <c r="LV141" s="111"/>
      <c r="LW141" s="111"/>
      <c r="LX141" s="111"/>
      <c r="LY141" s="111"/>
      <c r="LZ141" s="111"/>
      <c r="MA141" s="111"/>
      <c r="MB141" s="111"/>
      <c r="MC141" s="111"/>
      <c r="MD141" s="111"/>
      <c r="ME141" s="111"/>
      <c r="MF141" s="111"/>
      <c r="MG141" s="111"/>
      <c r="MH141" s="111"/>
      <c r="MI141" s="111"/>
    </row>
    <row r="142" spans="1:347" x14ac:dyDescent="0.25">
      <c r="A142" s="102" t="s">
        <v>78</v>
      </c>
      <c r="B142" s="127" t="s">
        <v>6</v>
      </c>
      <c r="C142" s="102"/>
      <c r="D142" s="102"/>
      <c r="E142" s="102"/>
      <c r="F142" s="102"/>
      <c r="G142" s="102"/>
      <c r="H142" s="102"/>
      <c r="I142" s="102"/>
      <c r="J142" s="102"/>
      <c r="K142" s="103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3"/>
      <c r="AW142" s="114" t="str">
        <f t="shared" ref="AW142:AW205" si="55">HYPERLINK("http://sab.landtag.sachsen.de/dokumente/landtagskurier/SAB_DeutschLernen_DinA5_WEB141115.pdf","x")</f>
        <v>x</v>
      </c>
      <c r="AX142" s="114" t="str">
        <f t="shared" ref="AX142:AX205" si="56">HYPERLINK("http://sab.landtag.sachsen.de/dokumente/landtagskurier/SAB_PL_Lernposter_WEB091115.pdf","x")</f>
        <v>x</v>
      </c>
      <c r="AY142" s="111"/>
      <c r="AZ142" s="111"/>
      <c r="BA142" s="112" t="str">
        <f t="shared" ref="BA142:BA205" si="5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142" s="112" t="str">
        <f t="shared" ref="BB142:BB205" si="58">HYPERLINK("http://wie-kann-ich-helfen.info/WoerterbuchAnalphabet_innen_%28c%29_Dagmar_Schmeelcke.pdf","x")</f>
        <v>x</v>
      </c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2" t="str">
        <f>HYPERLINK("http://www.bundessprachenamt.de/deutsch/wir_ueber_uns/nachrichten/2015/20151103/Verständigungshilfe_Mazedonisch_03_12_2015.pdf","x")</f>
        <v>x</v>
      </c>
      <c r="BM142" s="111"/>
      <c r="BN142" s="111"/>
      <c r="BO142" s="111"/>
      <c r="BP142" s="111"/>
      <c r="BQ142" s="111"/>
      <c r="BR142" s="111"/>
      <c r="BS142" s="112" t="str">
        <f t="shared" ref="BS142:BS205" si="59">HYPERLINK("http://www.goethe.de/lrn/prj/wnd/deu/lti/deindex.htm#13322010","x")</f>
        <v>x</v>
      </c>
      <c r="BT142" s="112"/>
      <c r="BU142" s="111"/>
      <c r="BV142" s="112" t="str">
        <f t="shared" ref="BV142:BV205" si="60">HYPERLINK("https://s3-eu-west-1.amazonaws.com/lingolia/download/lingolia_daf.pdf","x")</f>
        <v>x</v>
      </c>
      <c r="BW142" s="112"/>
      <c r="BX142" s="112"/>
      <c r="BY142" s="112"/>
      <c r="BZ142" s="112"/>
      <c r="CA142" s="112" t="str">
        <f t="shared" ref="CA142:CA205" si="61">HYPERLINK("http://www.hueber.de/shared/uebungen/schritte-plus","x")</f>
        <v>x</v>
      </c>
      <c r="CB142" s="112" t="str">
        <f t="shared" ref="CB142:CB205" si="62">HYPERLINK("https://www.hueber.de/shared/uebungen/menschen-hier/ab/a1-1/menu.html","x")</f>
        <v>x</v>
      </c>
      <c r="CC142" s="112" t="str">
        <f t="shared" ref="CC142:CC205" si="63">HYPERLINK("http://www.goethe-verlag.com/DE/","x")</f>
        <v>x</v>
      </c>
      <c r="CD142" s="112"/>
      <c r="CE142" s="112"/>
      <c r="CF142" s="111"/>
      <c r="CG142" s="111"/>
      <c r="CH142" s="111"/>
      <c r="CI142" s="111"/>
      <c r="CJ142" s="111"/>
      <c r="CK142" s="112" t="str">
        <f t="shared" ref="CK142:CK205" si="64">HYPERLINK("http://www.e-migrantinnen.de/index.php?de_wichtige-links","x")</f>
        <v>x</v>
      </c>
      <c r="CL142" s="112"/>
      <c r="CM142" s="112"/>
      <c r="CN142" s="112"/>
      <c r="CO142" s="112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2"/>
      <c r="DA142" s="112"/>
      <c r="DB142" s="112"/>
      <c r="DC142" s="115"/>
      <c r="DD142" s="112"/>
      <c r="DE142" s="112"/>
      <c r="DF142" s="112" t="str">
        <f t="shared" ref="DF142:DF205" si="65">HYPERLINK("http://fi-lohmar-siegburg.de/data/documents/130-37_Inklusion_im_Anfangsunterricht_-_Poster_mit_Situationsbildern.pdf","x")</f>
        <v>x</v>
      </c>
      <c r="DG142" s="115" t="str">
        <f t="shared" ref="DG142:DG205" si="66">HYPERLINK("http://s3-eu-west-1.amazonaws.com/lingolia/calendar/2016/lingolia_2016_de.pdf","x")</f>
        <v>x</v>
      </c>
      <c r="DH142" s="112" t="str">
        <f t="shared" ref="DH142:DH205" si="67">HYPERLINK("http://www.bibliomedia.ch/de/angebote/img/Wimmelbild.jpg","x")</f>
        <v>x</v>
      </c>
      <c r="DI142" s="112" t="str">
        <f t="shared" ref="DI142:DI205" si="68">HYPERLINK("http://www.bibliomedia.ch/de/angebote/dokumente/Wimmelbild_Fehler.jpg","x")</f>
        <v>x</v>
      </c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2" t="str">
        <f>HYPERLINK("http://www.kvs-sachsen.de/fileadmin/img/Mitglieder/Asylbewerber/Allg-Informationen/Anlage_1_Mazedonisch_LEK.pdf","x")</f>
        <v>x</v>
      </c>
      <c r="EN142" s="111"/>
      <c r="EO142" s="111"/>
      <c r="EP142" s="118"/>
      <c r="EQ142" s="118"/>
      <c r="ER142" s="112" t="str">
        <f>HYPERLINK("http://www.kvs-sachsen.de/fileadmin/img/Mitglieder/Asylbewerber/Allg-Informationen/Anlagen_2-1_2-2_Mazedonisch_LEK.pdf","x")</f>
        <v>x</v>
      </c>
      <c r="ES142" s="111"/>
      <c r="ET142" s="111"/>
      <c r="EU142" s="111"/>
      <c r="EV142" s="111"/>
      <c r="EW142" s="112" t="str">
        <f t="shared" ref="EW142:EW205" si="69">HYPERLINK("http://www.lak-rlp.de/fileadmin/redakteure/pdf/download/Piktogramme_Dosieretiketten_AoG.pdf","x")</f>
        <v>x</v>
      </c>
      <c r="EX142" s="111"/>
      <c r="EY142" s="111"/>
      <c r="EZ142" s="111"/>
      <c r="FA142" s="111"/>
      <c r="FB142" s="111"/>
      <c r="FC142" s="111"/>
      <c r="FD142" s="112" t="str">
        <f t="shared" ref="FD142:FD205" si="70">HYPERLINK("http://mige.ix-tech.de/index.php?id=241","x")</f>
        <v>x</v>
      </c>
      <c r="FE142" s="112" t="str">
        <f t="shared" si="54"/>
        <v>x</v>
      </c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2" t="str">
        <f t="shared" ref="HC142:HC205" si="71">HYPERLINK("https://www.zahnaerzte-wl.de/images/_PDF-suche/KZV_ZÄK/piktogrammheft.pdf","x")</f>
        <v>x</v>
      </c>
      <c r="HD142" s="112" t="str">
        <f>HYPERLINK("https://www.zahnaerzte-wl.de/images/_PDF-suche/KZV_ZÄK/ENDSTAND_Ankreuzbogen_Ich_verstehe.pdf","x")</f>
        <v>x</v>
      </c>
      <c r="HE142" s="112" t="str">
        <f>HYPERLINK("https://www.zahnaerzte-wl.de/images/_PDF-suche/KZV_ZÄK/Anschreiben_Patienten_mazedonisch.pdf","x")</f>
        <v>x</v>
      </c>
      <c r="HF142" s="112" t="str">
        <f>HYPERLINK("https://www.zahnaerzte-wl.de/images/_PDF-suche/KZV_ZÄK/Fragebogen_mazedonisch.pdf","x")</f>
        <v>x</v>
      </c>
      <c r="HG142" s="112" t="str">
        <f>HYPERLINK("https://www.zahnaerzte-wl.de/images/_PDF-suche/KZV_ZÄK/Patientenerhebungsbogen_mazedonisch.pdf","x")</f>
        <v>x</v>
      </c>
      <c r="HH142" s="112"/>
      <c r="HI142" s="112"/>
      <c r="HJ142" s="112"/>
      <c r="HK142" s="112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2" t="str">
        <f t="shared" ref="HY142:HY205" si="72">HYPERLINK("http://www.selfhelpfortrauma.org/","x")</f>
        <v>x</v>
      </c>
      <c r="HZ142" s="112" t="str">
        <f t="shared" ref="HZ142:HZ205" si="73">HYPERLINK("http://peacefulheart.se/wp-content/uploads/2014/12/Resolving-Yesterday-20141201-Self-Tapping.pdf","x")</f>
        <v>x</v>
      </c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  <c r="IY142" s="111"/>
      <c r="IZ142" s="111"/>
      <c r="JA142" s="111"/>
      <c r="JB142" s="111"/>
      <c r="JC142" s="111"/>
      <c r="JD142" s="111"/>
      <c r="JE142" s="111"/>
      <c r="JF142" s="111"/>
      <c r="JG142" s="111"/>
      <c r="JH142" s="111"/>
      <c r="JI142" s="111"/>
      <c r="JJ142" s="111"/>
      <c r="JK142" s="111"/>
      <c r="JL142" s="111"/>
      <c r="JM142" s="111"/>
      <c r="JN142" s="111"/>
      <c r="JO142" s="111"/>
      <c r="JP142" s="111"/>
      <c r="JQ142" s="111"/>
      <c r="JR142" s="111"/>
      <c r="JS142" s="111"/>
      <c r="JT142" s="111"/>
      <c r="JU142" s="111"/>
      <c r="JV142" s="111"/>
      <c r="JW142" s="111"/>
      <c r="JX142" s="111"/>
      <c r="JY142" s="112"/>
      <c r="JZ142" s="112"/>
      <c r="KA142" s="112"/>
      <c r="KB142" s="112" t="str">
        <f>HYPERLINK("http://www.refugeeguide.de/dl/RefugeeGuide_mk_1006.pdf","x")</f>
        <v>x</v>
      </c>
      <c r="KC142" s="111"/>
      <c r="KD142" s="111"/>
      <c r="KE142" s="111"/>
      <c r="KF142" s="111"/>
      <c r="KG142" s="112"/>
      <c r="KH142" s="112"/>
      <c r="KI142" s="112"/>
      <c r="KJ142" s="112"/>
      <c r="KK142" s="112"/>
      <c r="KL142" s="112"/>
      <c r="KM142" s="112"/>
      <c r="KN142" s="112"/>
      <c r="KO142" s="112"/>
      <c r="KP142" s="112"/>
      <c r="KQ142" s="112"/>
      <c r="KR142" s="112"/>
      <c r="KS142" s="112"/>
      <c r="KT142" s="112"/>
      <c r="KU142" s="112"/>
      <c r="KV142" s="112"/>
      <c r="KW142" s="112"/>
      <c r="KX142" s="112"/>
      <c r="KY142" s="112"/>
      <c r="KZ142" s="112"/>
      <c r="LA142" s="112"/>
      <c r="LB142" s="112"/>
      <c r="LC142" s="111"/>
      <c r="LD142" s="111"/>
      <c r="LE142" s="111"/>
      <c r="LF142" s="111"/>
      <c r="LG142" s="111"/>
      <c r="LH142" s="111"/>
      <c r="LI142" s="111"/>
      <c r="LJ142" s="111"/>
      <c r="LK142" s="111"/>
      <c r="LL142" s="111"/>
      <c r="LM142" s="111"/>
      <c r="LN142" s="111"/>
      <c r="LO142" s="111"/>
      <c r="LP142" s="111"/>
      <c r="LQ142" s="111"/>
      <c r="LR142" s="111"/>
      <c r="LS142" s="111"/>
      <c r="LT142" s="111"/>
      <c r="LU142" s="111"/>
      <c r="LV142" s="111"/>
      <c r="LW142" s="111"/>
      <c r="LX142" s="111"/>
      <c r="LY142" s="111"/>
      <c r="LZ142" s="111"/>
      <c r="MA142" s="111"/>
      <c r="MB142" s="111"/>
      <c r="MC142" s="111"/>
      <c r="MD142" s="111"/>
      <c r="ME142" s="111"/>
      <c r="MF142" s="111"/>
      <c r="MG142" s="111"/>
      <c r="MH142" s="111"/>
      <c r="MI142" s="111"/>
    </row>
    <row r="143" spans="1:347" x14ac:dyDescent="0.25">
      <c r="A143" s="102" t="s">
        <v>78</v>
      </c>
      <c r="B143" s="127" t="s">
        <v>153</v>
      </c>
      <c r="C143" s="102"/>
      <c r="D143" s="102"/>
      <c r="E143" s="102"/>
      <c r="F143" s="102"/>
      <c r="G143" s="102"/>
      <c r="H143" s="102"/>
      <c r="I143" s="102"/>
      <c r="J143" s="102"/>
      <c r="K143" s="103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3"/>
      <c r="AW143" s="114" t="str">
        <f t="shared" si="55"/>
        <v>x</v>
      </c>
      <c r="AX143" s="114" t="str">
        <f t="shared" si="56"/>
        <v>x</v>
      </c>
      <c r="AY143" s="111"/>
      <c r="AZ143" s="111"/>
      <c r="BA143" s="112" t="str">
        <f t="shared" si="57"/>
        <v>x</v>
      </c>
      <c r="BB143" s="112" t="str">
        <f t="shared" si="58"/>
        <v>x</v>
      </c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2" t="str">
        <f t="shared" si="59"/>
        <v>x</v>
      </c>
      <c r="BT143" s="112"/>
      <c r="BU143" s="111"/>
      <c r="BV143" s="112" t="str">
        <f t="shared" si="60"/>
        <v>x</v>
      </c>
      <c r="BW143" s="112"/>
      <c r="BX143" s="112"/>
      <c r="BY143" s="112"/>
      <c r="BZ143" s="112"/>
      <c r="CA143" s="112" t="str">
        <f t="shared" si="61"/>
        <v>x</v>
      </c>
      <c r="CB143" s="112" t="str">
        <f t="shared" si="62"/>
        <v>x</v>
      </c>
      <c r="CC143" s="112" t="str">
        <f t="shared" si="63"/>
        <v>x</v>
      </c>
      <c r="CD143" s="112"/>
      <c r="CE143" s="112"/>
      <c r="CF143" s="111"/>
      <c r="CG143" s="111"/>
      <c r="CH143" s="111"/>
      <c r="CI143" s="111"/>
      <c r="CJ143" s="111"/>
      <c r="CK143" s="112" t="str">
        <f t="shared" si="64"/>
        <v>x</v>
      </c>
      <c r="CL143" s="112"/>
      <c r="CM143" s="112"/>
      <c r="CN143" s="112"/>
      <c r="CO143" s="112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2"/>
      <c r="DA143" s="112"/>
      <c r="DB143" s="112"/>
      <c r="DC143" s="115"/>
      <c r="DD143" s="112"/>
      <c r="DE143" s="112"/>
      <c r="DF143" s="112" t="str">
        <f t="shared" si="65"/>
        <v>x</v>
      </c>
      <c r="DG143" s="115" t="str">
        <f t="shared" si="66"/>
        <v>x</v>
      </c>
      <c r="DH143" s="112" t="str">
        <f t="shared" si="67"/>
        <v>x</v>
      </c>
      <c r="DI143" s="112" t="str">
        <f t="shared" si="68"/>
        <v>x</v>
      </c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2" t="str">
        <f>HYPERLINK("http://bildung.koeln.de/materialbibliothek/download.php?idx=ffca9a983564046e13193e94deeff609","x")</f>
        <v>x</v>
      </c>
      <c r="DT143" s="112" t="str">
        <f>HYPERLINK("http://bildung.koeln.de/materialbibliothek/download.php?idx=1a02e789389f6b5edac5f907fb9f00d3","x")</f>
        <v>x</v>
      </c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8"/>
      <c r="EQ143" s="118"/>
      <c r="ER143" s="111"/>
      <c r="ES143" s="111"/>
      <c r="ET143" s="111"/>
      <c r="EU143" s="111"/>
      <c r="EV143" s="111"/>
      <c r="EW143" s="112" t="str">
        <f t="shared" si="69"/>
        <v>x</v>
      </c>
      <c r="EX143" s="111"/>
      <c r="EY143" s="111"/>
      <c r="EZ143" s="111"/>
      <c r="FA143" s="111"/>
      <c r="FB143" s="111"/>
      <c r="FC143" s="111"/>
      <c r="FD143" s="112" t="str">
        <f t="shared" si="70"/>
        <v>x</v>
      </c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2" t="str">
        <f t="shared" si="71"/>
        <v>x</v>
      </c>
      <c r="HD143" s="112" t="str">
        <f>HYPERLINK("https://www.zahnaerzte-wl.de/images/_PDF-suche/KZV_ZÄK/ENDSTAND_Ankreuzbogen_Ich_verstehe.pdf","x")</f>
        <v>x</v>
      </c>
      <c r="HE143" s="112" t="str">
        <f>HYPERLINK("https://www.zahnaerzte-wl.de/images/_PDF-suche/KZV_ZÄK/Anschreiben_romani.pdf","x")</f>
        <v>x</v>
      </c>
      <c r="HF143" s="112" t="str">
        <f>HYPERLINK("https://www.zahnaerzte-wl.de/images/_PDF-suche/KZV_ZÄK/Fragebogen_romani.pdf","x")</f>
        <v>x</v>
      </c>
      <c r="HG143" s="112" t="str">
        <f>HYPERLINK("https://www.zahnaerzte-wl.de/images/_PDF-suche/KZV_ZÄK/Patientenerhebungsbogen_romani.pdf","x")</f>
        <v>x</v>
      </c>
      <c r="HH143" s="112"/>
      <c r="HI143" s="112"/>
      <c r="HJ143" s="112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2" t="str">
        <f t="shared" si="72"/>
        <v>x</v>
      </c>
      <c r="HZ143" s="112" t="str">
        <f t="shared" si="73"/>
        <v>x</v>
      </c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  <c r="IY143" s="111"/>
      <c r="IZ143" s="111"/>
      <c r="JA143" s="111"/>
      <c r="JB143" s="111"/>
      <c r="JC143" s="111"/>
      <c r="JD143" s="111"/>
      <c r="JE143" s="111"/>
      <c r="JF143" s="111"/>
      <c r="JG143" s="111"/>
      <c r="JH143" s="111"/>
      <c r="JI143" s="111"/>
      <c r="JJ143" s="111"/>
      <c r="JK143" s="111"/>
      <c r="JL143" s="111"/>
      <c r="JM143" s="111"/>
      <c r="JN143" s="111"/>
      <c r="JO143" s="111"/>
      <c r="JP143" s="111"/>
      <c r="JQ143" s="111"/>
      <c r="JR143" s="111"/>
      <c r="JS143" s="111"/>
      <c r="JT143" s="111"/>
      <c r="JU143" s="111"/>
      <c r="JV143" s="111"/>
      <c r="JW143" s="111"/>
      <c r="JX143" s="111"/>
      <c r="JY143" s="111"/>
      <c r="JZ143" s="111"/>
      <c r="KA143" s="111"/>
      <c r="KB143" s="111"/>
      <c r="KC143" s="111"/>
      <c r="KD143" s="111"/>
      <c r="KE143" s="111"/>
      <c r="KF143" s="111"/>
      <c r="KG143" s="111"/>
      <c r="KH143" s="111"/>
      <c r="KI143" s="111"/>
      <c r="KJ143" s="111"/>
      <c r="KK143" s="111"/>
      <c r="KL143" s="111"/>
      <c r="KM143" s="111"/>
      <c r="KN143" s="111"/>
      <c r="KO143" s="111"/>
      <c r="KP143" s="111"/>
      <c r="KQ143" s="111"/>
      <c r="KR143" s="111"/>
      <c r="KS143" s="111"/>
      <c r="KT143" s="111"/>
      <c r="KU143" s="111"/>
      <c r="KV143" s="111"/>
      <c r="KW143" s="111"/>
      <c r="KX143" s="111"/>
      <c r="KY143" s="111"/>
      <c r="KZ143" s="111"/>
      <c r="LA143" s="111"/>
      <c r="LB143" s="111"/>
      <c r="LC143" s="111"/>
      <c r="LD143" s="111"/>
      <c r="LE143" s="111"/>
      <c r="LF143" s="111"/>
      <c r="LG143" s="111"/>
      <c r="LH143" s="111"/>
      <c r="LI143" s="111"/>
      <c r="LJ143" s="111"/>
      <c r="LK143" s="111"/>
      <c r="LL143" s="111"/>
      <c r="LM143" s="111"/>
      <c r="LN143" s="111"/>
      <c r="LO143" s="111"/>
      <c r="LP143" s="111"/>
      <c r="LQ143" s="111"/>
      <c r="LR143" s="111"/>
      <c r="LS143" s="111"/>
      <c r="LT143" s="111"/>
      <c r="LU143" s="111"/>
      <c r="LV143" s="111"/>
      <c r="LW143" s="111"/>
      <c r="LX143" s="111"/>
      <c r="LY143" s="111"/>
      <c r="LZ143" s="111"/>
      <c r="MA143" s="111"/>
      <c r="MB143" s="111"/>
      <c r="MC143" s="111"/>
      <c r="MD143" s="111"/>
      <c r="ME143" s="111"/>
      <c r="MF143" s="111"/>
      <c r="MG143" s="111"/>
      <c r="MH143" s="111"/>
      <c r="MI143" s="111"/>
    </row>
    <row r="144" spans="1:347" x14ac:dyDescent="0.25">
      <c r="A144" s="102" t="s">
        <v>78</v>
      </c>
      <c r="B144" s="127" t="s">
        <v>11</v>
      </c>
      <c r="C144" s="102"/>
      <c r="D144" s="102"/>
      <c r="E144" s="102"/>
      <c r="F144" s="102"/>
      <c r="G144" s="102"/>
      <c r="H144" s="102"/>
      <c r="I144" s="102"/>
      <c r="J144" s="102"/>
      <c r="K144" s="103"/>
      <c r="L144" s="111"/>
      <c r="M144" s="111"/>
      <c r="N144" s="112" t="str">
        <f>HYPERLINK("http://www.ag-fluechtlingshilfe-wetterau.de/uploads/infos/170.pdf","x")</f>
        <v>x</v>
      </c>
      <c r="O144" s="112"/>
      <c r="P144" s="112" t="str">
        <f>HYPERLINK("http://www.awb-ahrweiler.de/admin/data/ddownload/Abfall%20Sonderhinweise-tuerkisch%202014.pdf","x")</f>
        <v>x</v>
      </c>
      <c r="Q144" s="112"/>
      <c r="R144" s="112"/>
      <c r="S144" s="112"/>
      <c r="T144" s="112"/>
      <c r="U144" s="112"/>
      <c r="V144" s="112"/>
      <c r="W144" s="111"/>
      <c r="X144" s="112"/>
      <c r="Y144" s="111"/>
      <c r="Z144" s="111"/>
      <c r="AA144" s="111"/>
      <c r="AB144" s="111"/>
      <c r="AC144" s="111"/>
      <c r="AD144" s="112" t="str">
        <f>HYPERLINK("http://www.rundfunkbeitrag.de/e175/e199/Informationsflyer_Buergerinnen_und_Buerger_tuerkisch.pdf","x")</f>
        <v>x</v>
      </c>
      <c r="AE144" s="111"/>
      <c r="AF144" s="112" t="str">
        <f>HYPERLINK("http://www.kub-berlin.org/formularprojekt/de/tuerkisch-antraege-und-anlagen/","x")</f>
        <v>x</v>
      </c>
      <c r="AG144" s="111"/>
      <c r="AH144" s="111"/>
      <c r="AI144" s="111"/>
      <c r="AJ144" s="111"/>
      <c r="AK144" s="111"/>
      <c r="AL144" s="111"/>
      <c r="AM144" s="111"/>
      <c r="AN144" s="111"/>
      <c r="AO144" s="112"/>
      <c r="AP144" s="112"/>
      <c r="AQ144" s="112"/>
      <c r="AR144" s="112"/>
      <c r="AS144" s="112"/>
      <c r="AT144" s="112"/>
      <c r="AU144" s="112"/>
      <c r="AV144" s="113"/>
      <c r="AW144" s="114" t="str">
        <f t="shared" si="55"/>
        <v>x</v>
      </c>
      <c r="AX144" s="114" t="str">
        <f t="shared" si="56"/>
        <v>x</v>
      </c>
      <c r="AY144" s="111"/>
      <c r="AZ144" s="111"/>
      <c r="BA144" s="112" t="str">
        <f t="shared" si="57"/>
        <v>x</v>
      </c>
      <c r="BB144" s="112" t="str">
        <f t="shared" si="58"/>
        <v>x</v>
      </c>
      <c r="BC144" s="111"/>
      <c r="BD144" s="111"/>
      <c r="BE144" s="111"/>
      <c r="BF144" s="111"/>
      <c r="BG144" s="111"/>
      <c r="BH144" s="112" t="str">
        <f>HYPERLINK("http://www.refugeephrasebook.de/pdf/germany150920.pdf","x")</f>
        <v>x</v>
      </c>
      <c r="BI144" s="112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2" t="str">
        <f t="shared" si="59"/>
        <v>x</v>
      </c>
      <c r="BT144" s="112"/>
      <c r="BU144" s="111"/>
      <c r="BV144" s="112" t="str">
        <f t="shared" si="60"/>
        <v>x</v>
      </c>
      <c r="BW144" s="112" t="str">
        <f>HYPERLINK("http://www.welcomegrooves.de/wp-content/uploads/2015/10/welcomegrooves_DE-TUERKISCH1.pdf","x")</f>
        <v>x</v>
      </c>
      <c r="BX144" s="112"/>
      <c r="BY144" s="112"/>
      <c r="BZ144" s="112"/>
      <c r="CA144" s="112" t="str">
        <f t="shared" si="61"/>
        <v>x</v>
      </c>
      <c r="CB144" s="112" t="str">
        <f t="shared" si="62"/>
        <v>x</v>
      </c>
      <c r="CC144" s="112" t="str">
        <f t="shared" si="63"/>
        <v>x</v>
      </c>
      <c r="CD144" s="112"/>
      <c r="CE144" s="112"/>
      <c r="CF144" s="111"/>
      <c r="CG144" s="112" t="str">
        <f>HYPERLINK("http://www.braunschweig.de/leben/frauen/hilfe/Ohne-Gewalt-leben.pdf","x")</f>
        <v>x</v>
      </c>
      <c r="CH144" s="112" t="str">
        <f>HYPERLINK("http://mifkjf.rlp.de/fileadmin/mifkjf/Frauen/Gewalt_gegen_Frauen/Downloads/Broschueren_Flyer/Flyer_Gewalt_tuerkisch.pdf","x")</f>
        <v>x</v>
      </c>
      <c r="CI144" s="112" t="str">
        <f>HYPERLINK("https://www.hilfetelefon.de/fileadmin/hilfetelefon_de/Materialien/Flyer/Infoflyer_Hilfetelefon_Gewalt_gegen_Frauen141105_b2.pdf","x")</f>
        <v>x</v>
      </c>
      <c r="CJ144" s="112" t="str">
        <f>HYPERLINK("https://www.hilfetelefon.de/fileadmin/hilfetelefon_de/Materialien/weitere_werbemittel/Klappflyer_Vorder-_und_Rueckseite_opt2.pdf","x")</f>
        <v>x</v>
      </c>
      <c r="CK144" s="112" t="str">
        <f t="shared" si="64"/>
        <v>x</v>
      </c>
      <c r="CL144" s="112" t="str">
        <f>HYPERLINK("http://www.frauenberatungsstelle.de/pdf/Migrantinnen-beraten-Migrantinnen.pdf","x")</f>
        <v>x</v>
      </c>
      <c r="CM144" s="112"/>
      <c r="CN144" s="112"/>
      <c r="CO144" s="112"/>
      <c r="CP144" s="112" t="str">
        <f>HYPERLINK("http://www.schwanger-und-viele-fragen.de/tr/","x")</f>
        <v>x</v>
      </c>
      <c r="CQ144" s="112"/>
      <c r="CR144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44" s="112"/>
      <c r="CT144" s="112"/>
      <c r="CU144" s="112" t="str">
        <f>HYPERLINK("http://www.profamilia.de/fileadmin/publikationen/Erwachsene/mehrsprachig/verhuetung_tuerkisch.pdf","x")</f>
        <v>x</v>
      </c>
      <c r="CV144" s="112" t="str">
        <f>HYPERLINK("http://www.profamilia.de/fileadmin/publikationen/Reihe_Verhuetungsmethoden/Pille_Spirale_danach_tuerkisch_2011.pdf","x")</f>
        <v>x</v>
      </c>
      <c r="CW144" s="112" t="str">
        <f>HYPERLINK("http://www.profamilia.de/fileadmin/publikationen/Reihe_Verhuetungsmethoden/Einleger_tuerkisch.pdf","x")</f>
        <v>x</v>
      </c>
      <c r="CX144" s="112" t="str">
        <f>HYPERLINK("http://www.profamilia.de/fileadmin/publikationen/Reihe_Koerper_und_Sexualtitaet/Bro_Schwangerschaftsabbruch_TR_ANSICHT.pdf","x")</f>
        <v>x</v>
      </c>
      <c r="CY144" s="112" t="str">
        <f>HYPERLINK("http://www.caritas-schwarzwald-alb-donau.de/68854.html","x")</f>
        <v>x</v>
      </c>
      <c r="CZ144" s="112" t="str">
        <f>HYPERLINK("http://www.dgfpi.de/tl_files/download/medien/unwissen-macht-tk.pdf","x")</f>
        <v>x</v>
      </c>
      <c r="DA144" s="112"/>
      <c r="DB144" s="112"/>
      <c r="DC144" s="115" t="str">
        <f>HYPERLINK("http://www.kindersicherheit.de/pdf/2012_Bilderbuch-Gift-Tuerkisch.pdf","x")</f>
        <v>x</v>
      </c>
      <c r="DD144" s="112"/>
      <c r="DE144" s="112"/>
      <c r="DF144" s="112" t="str">
        <f t="shared" si="65"/>
        <v>x</v>
      </c>
      <c r="DG144" s="115" t="str">
        <f t="shared" si="66"/>
        <v>x</v>
      </c>
      <c r="DH144" s="112" t="str">
        <f t="shared" si="67"/>
        <v>x</v>
      </c>
      <c r="DI144" s="112" t="str">
        <f t="shared" si="68"/>
        <v>x</v>
      </c>
      <c r="DJ144" s="112" t="str">
        <f>HYPERLINK("http://www.bibliomedia.ch/de/angebote/dokumente/Glossar_tuerkisch.pdf","x")</f>
        <v>x</v>
      </c>
      <c r="DK144" s="112"/>
      <c r="DL144" s="112"/>
      <c r="DM144" s="112"/>
      <c r="DN144" s="112"/>
      <c r="DO144" s="112"/>
      <c r="DP144" s="111"/>
      <c r="DQ144" s="112" t="str">
        <f>HYPERLINK("http://tipdoc.de/bus/grafik/kinder-tip/SCHULTIP_give_didacta.pdf","x")</f>
        <v>x</v>
      </c>
      <c r="DR144" s="112" t="str">
        <f>HYPERLINK("https://broschueren.nordrheinwestfalendirekt.de/broschuerenservice/msw/tue-das-schulsystem-in-nordrhein-westfalen-einfach-und-schnell-erklaert/1906","x")</f>
        <v>x</v>
      </c>
      <c r="DS144" s="112" t="str">
        <f>HYPERLINK("http://bildung.koeln.de/materialbibliothek/download.php?idx=46d99ecd1cd085058204a036d1394fed","x")</f>
        <v>x</v>
      </c>
      <c r="DT144" s="112" t="str">
        <f>HYPERLINK("http://bildung.koeln.de/materialbibliothek/download.php?idx=5fa16c0085d80ec9f9262f25c773ed7f","x")</f>
        <v>x</v>
      </c>
      <c r="DU144" s="112"/>
      <c r="DV144" s="112" t="str">
        <f>HYPERLINK("https://www.bmbf.de/pub/Kausa_Elternbroschuere_tuerkisch.pdf","x")</f>
        <v>x</v>
      </c>
      <c r="DW144" s="111"/>
      <c r="DX144" s="111"/>
      <c r="DY144" s="111"/>
      <c r="DZ144" s="112" t="str">
        <f>HYPERLINK("http://www.bamf.de/SharedDocs/Anlagen/TR/Publikationen/Flyer/AnerkennungBerufsabschluss/anerkennung-berufsabschluss.pdf?__blob=publicationFile","x")</f>
        <v>x</v>
      </c>
      <c r="EA144" s="112" t="str">
        <f>HYPERLINK("http://www.bamf.de/SharedDocs/Anlagen/TR/Publikationen/Flyer/AnerkennungBerufsabschluss/anerkennung-berufsabschluss_ausland.pdf?__blob=publicationFile","x")</f>
        <v>x</v>
      </c>
      <c r="EB144" s="112" t="str">
        <f>HYPERLINK("http://www.bamf.de/SharedDocs/Anlagen/DE/Publikationen/Broschueren/willkommen-in-deutschland-info-blaue-karte-eu_tr.pdf?__blob=publicationFile","x")</f>
        <v>x</v>
      </c>
      <c r="EC144" s="112" t="str">
        <f>HYPERLINK("http://www.bamf.de/SharedDocs/Anlagen/TR/Publikationen/Flyer/Berufsbezsprachf-ESF-BAMF/berufsbezsprachf-esf-bamf.pdf?__blob=publicationFile","x")</f>
        <v>x</v>
      </c>
      <c r="ED144" s="111"/>
      <c r="EE144" s="111"/>
      <c r="EF144" s="111"/>
      <c r="EG144" s="111"/>
      <c r="EH144" s="111"/>
      <c r="EI144" s="111"/>
      <c r="EJ144" s="112"/>
      <c r="EK144" s="112"/>
      <c r="EL144" s="115"/>
      <c r="EM144" s="112" t="str">
        <f>HYPERLINK("http://www.kvs-sachsen.de/fileadmin/img/Mitglieder/Asylbewerber/Allg-Informationen/Anlage_1_Tuerkisch_LEK.pdf","x")</f>
        <v>x</v>
      </c>
      <c r="EN144" s="112" t="str">
        <f>HYPERLINK("http://www.medizin-hilft-fluechtlingen.de/images/Dokumente/gSch/gSch_tur.pdf","x")</f>
        <v>x</v>
      </c>
      <c r="EO144" s="111"/>
      <c r="EP144" s="117" t="str">
        <f>HYPERLINK("http://www.medi-bild.de/pdf/anamnese/Welche_Sprache.pdf","x")</f>
        <v>x</v>
      </c>
      <c r="EQ144" s="117" t="str">
        <f>HYPERLINK("http://www.armut-gesundheit.de/fileadmin/redakteur/dokumente/Anamnesebogen%20-%20t%C3%BCrkischnew.pdf","x")</f>
        <v>x</v>
      </c>
      <c r="ER144" s="112" t="str">
        <f>HYPERLINK("http://www.kvs-sachsen.de/fileadmin/img/Mitglieder/Asylbewerber/Allg-Informationen/Anlagen_2-1_2-2_Tuerkisch_LEK.pdf","x")</f>
        <v>x</v>
      </c>
      <c r="ES144" s="111"/>
      <c r="ET144" s="111"/>
      <c r="EU144" s="111"/>
      <c r="EV144" s="112" t="str">
        <f>HYPERLINK("http://www.adler-apotheke-hh.de/fileadmin/user_upload/PDF-Dateien/Dosierzettel_mehrsprachig_AUF_0_.pdf","x")</f>
        <v>x</v>
      </c>
      <c r="EW144" s="112" t="str">
        <f t="shared" si="69"/>
        <v>x</v>
      </c>
      <c r="EX144" s="112" t="str">
        <f>HYPERLINK("http://www.rki.de/DE/Content/Infekt/IfSG/Belehrungsbogen/belehrungsbogen_eltern_tuerkisch.pdf?__blob=publicationFile","x")</f>
        <v>x</v>
      </c>
      <c r="EY144" s="112" t="str">
        <f>HYPERLINK("http://www.bzga.de/infomaterialien/?sid=236","x")</f>
        <v>x</v>
      </c>
      <c r="EZ144" s="112" t="str">
        <f>HYPERLINK("https://www.mh-hannover.de/fileadmin/mhh/bilder/aktuelles_presse/pressestelle/bilder/Pilzverg_tuerkisch.pdf","x")</f>
        <v>x</v>
      </c>
      <c r="FA144" s="112"/>
      <c r="FB144" s="116"/>
      <c r="FC144" s="111"/>
      <c r="FD144" s="112" t="str">
        <f t="shared" si="70"/>
        <v>x</v>
      </c>
      <c r="FE144" s="112" t="str">
        <f>HYPERLINK("http://sghanstedt.elbnetz.com/ueber-uns/","x")</f>
        <v>x</v>
      </c>
      <c r="FF144" s="112" t="str">
        <f>HYPERLINK("http://www.fuhlenhagen.com/pdf_dateien/uebertzungshilfe_aerzte_mehrsprachig.pdf","x")</f>
        <v>x</v>
      </c>
      <c r="FG144" s="111"/>
      <c r="FH144" s="111"/>
      <c r="FI144" s="111"/>
      <c r="FJ144" s="112"/>
      <c r="FK144" s="112" t="str">
        <f>HYPERLINK("http://www.rki.de/DE/Content/Infekt/Impfen/Materialien/Downloads-Impfkalender/Impfkalender_Tuerkisch.pdf?__blob=publicationFile","x")</f>
        <v>x</v>
      </c>
      <c r="FL144" s="112" t="str">
        <f>HYPERLINK("http://www.ethno-medizinisches-zentrum.de/images/PDF-Files/impfwegweiser_turkisch_2013_online.pdf","x")</f>
        <v>x</v>
      </c>
      <c r="FM144" s="112"/>
      <c r="FN144" s="112" t="str">
        <f>HYPERLINK("http://www.rki.de/DE/Content/Infekt/Impfen/Materialien/Glossar-Downloads/glossar-de-tuerkisch.pdf?__blob=publicationFile","x")</f>
        <v>x</v>
      </c>
      <c r="FO144" s="112"/>
      <c r="FP144" s="112" t="str">
        <f>HYPERLINK("http://www.rki.de/DE/Content/Infekt/Impfen/Materialien/Downloads-MMR/MMR-Impfinfo-tuerkisch.pdf?__blob=publicationFile","x")</f>
        <v>x</v>
      </c>
      <c r="FQ144" s="112"/>
      <c r="FR144" s="112" t="str">
        <f>HYPERLINK("http://www.rki.de/DE/Content/Infekt/Impfen/Materialien/Downloads_HepA/Aufklaerung_HAV-Impfung_Tuerkisch.pdf?__blob=publicationFile","x")</f>
        <v>x</v>
      </c>
      <c r="FS144" s="112" t="str">
        <f>HYPERLINK("http://www.rki.de/DE/Content/Infekt/Impfen/Materialien/Downloads_Pneumokokken/Aufklaerung_Pneumo-Impfung_Tuerkisch.pdf?__blob=publicationFile","x")</f>
        <v>x</v>
      </c>
      <c r="FT144" s="112" t="str">
        <f>HYPERLINK("http://www.rki.de/DE/Content/Infekt/Impfen/Materialien/Downloads-DTaPIPVHibHepB/DTaPIPVHibHepB-tuerkisch.pdf?__blob=publicationFile","x")</f>
        <v>x</v>
      </c>
      <c r="FU144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44" s="112" t="str">
        <f>HYPERLINK("http://www.rki.de/DE/Content/Infekt/Impfen/Materialien/Downloads-Tdap-IPV/Tdap-IPV-tuerkisch.pdf?__blob=publicationFile","x")</f>
        <v>x</v>
      </c>
      <c r="FW144" s="112" t="str">
        <f>HYPERLINK("http://www.rki.de/DE/Content/Infekt/Impfen/Materialien/Downloads-Influenza_nasal/Influenza_nasal-tuerkisch.pdf?__blob=publicationFile","x")</f>
        <v>x</v>
      </c>
      <c r="FX144" s="112" t="str">
        <f>HYPERLINK("http://www.medical-tribune.de/fileadmin/PDF/Arthrose_tuerkisch.pdf","x")</f>
        <v>x</v>
      </c>
      <c r="FY144" s="112"/>
      <c r="FZ144" s="112" t="str">
        <f>HYPERLINK("http://www.medical-tribune.de/fileadmin/PDF/Bluthochdruck_tuerkisch.pdf","x")</f>
        <v>x</v>
      </c>
      <c r="GA144" s="112"/>
      <c r="GB144" s="112"/>
      <c r="GC144" s="112" t="str">
        <f>HYPERLINK("http://www.medical-tribune.de/fileadmin/PDF/Demenz_tuerkisch.pdf","x")</f>
        <v>x</v>
      </c>
      <c r="GD144" s="115" t="str">
        <f>HYPERLINK("http://www.ethno-medizinisches-zentrum.de/images/PDF-Files/lf_diabetes_turkisch.pdf","x")</f>
        <v>x</v>
      </c>
      <c r="GE144" s="112" t="str">
        <f>HYPERLINK("http://www.medical-tribune.de/fileadmin/PDF/Divertikel_tuerkisch.pdf","x")</f>
        <v>x</v>
      </c>
      <c r="GF144" s="112"/>
      <c r="GG144" s="112" t="str">
        <f>HYPERLINK("http://www.medical-tribune.de/fileadmin/PDF/Gallenstein_tuerkisch.pdf","x")</f>
        <v>x</v>
      </c>
      <c r="GH144" s="112"/>
      <c r="GI144" s="112" t="str">
        <f>HYPERLINK("http://www.tipdoc.de/bus/pdf/hepatitis/Hep_B_Webseite.pdf","x")</f>
        <v>x</v>
      </c>
      <c r="GJ144" s="112" t="str">
        <f>HYPERLINK("http://www.tipdoc.de/bus/pdf/hepatitis/Hep_C_Webseite.pdf","x")</f>
        <v>x</v>
      </c>
      <c r="GK144" s="111"/>
      <c r="GL144" s="111"/>
      <c r="GM144" s="112" t="str">
        <f>HYPERLINK("http://www.rki.de/DE/Content/Infekt/Impfen/Materialien/Downloads-Influenza/Influenza-tuerkisch.pdf?__blob=publicationFile","x")</f>
        <v>x</v>
      </c>
      <c r="GN144" s="112" t="str">
        <f>HYPERLINK("http://www.medical-tribune.de/fileadmin/PDF/Erkaeltung_tuerkisch.pdf","x")</f>
        <v>x</v>
      </c>
      <c r="GO144" s="112"/>
      <c r="GP144" s="112" t="str">
        <f>HYPERLINK("http://www.medi-bild.de/pdf/kopflaeuse2/Kopflaeuse_TURK.pdf","x")</f>
        <v>x</v>
      </c>
      <c r="GQ144" s="112"/>
      <c r="GR144" s="111"/>
      <c r="GS144" s="111"/>
      <c r="GT144" s="115" t="str">
        <f>HYPERLINK("http://www.medical-tribune.de/fileadmin/PDF/Migraene_tuerkisch.pdf","x")</f>
        <v>x</v>
      </c>
      <c r="GU144" s="112" t="str">
        <f>HYPERLINK("http://www.medical-tribune.de/fileadmin/PDF/Rueckenschmerzen_tuerkisch.pdf","x")</f>
        <v>x</v>
      </c>
      <c r="GV144" s="112"/>
      <c r="GW144" s="112" t="str">
        <f>HYPERLINK("http://www.medical-tribune.de/fileadmin/PDF/Schlafstoerungen_tuerkisch.pdf","x")</f>
        <v>x</v>
      </c>
      <c r="GX144" s="112" t="str">
        <f>HYPERLINK("http://www.medical-tribune.de/fileadmin/PDF/Schwindel_tuerkisch.pdf","x")</f>
        <v>x</v>
      </c>
      <c r="GY144" s="112" t="str">
        <f>HYPERLINK("http://www.medical-tribune.de/fileadmin/PDF/Sodbrennen_tuerkisch.pdf","x")</f>
        <v>x</v>
      </c>
      <c r="GZ144" s="112" t="str">
        <f>HYPERLINK("http://www.medical-tribune.de/fileadmin/PDF/Sportverletzungen_tuerkisch.pdf","x")</f>
        <v>x</v>
      </c>
      <c r="HA144" s="112" t="str">
        <f>HYPERLINK("http://www.medical-tribune.de/fileadmin/PDF/Thrombose_tuerkisch.pdf","x")</f>
        <v>x</v>
      </c>
      <c r="HB144" s="112"/>
      <c r="HC144" s="112" t="str">
        <f t="shared" si="71"/>
        <v>x</v>
      </c>
      <c r="HD144" s="112" t="str">
        <f>HYPERLINK("https://www.zahnaerzte-wl.de/images/_PDF-suche/KZV_ZÄK/ENDSTAND_Ankreuzbogen_Ich_verstehe.pdf","x")</f>
        <v>x</v>
      </c>
      <c r="HE144" s="112" t="str">
        <f>HYPERLINK("https://www.zahnaerzte-wl.de/images/_PDF-suche/KZV_ZÄK/Anschreiben_Patienten_tuerkisch.pdf","x")</f>
        <v>x</v>
      </c>
      <c r="HF144" s="112" t="str">
        <f>HYPERLINK("https://www.zahnaerzte-wl.de/images/_PDF-suche/KZV_ZÄK/Fragebogen_tuerkisch.pdf","x")</f>
        <v>x</v>
      </c>
      <c r="HG144" s="112" t="str">
        <f>HYPERLINK("https://www.zahnaerzte-wl.de/images/_PDF-suche/KZV_ZÄK/Patientenerhebungsbogen_tuerkisch.pdf","x")</f>
        <v>x</v>
      </c>
      <c r="HH144" s="112"/>
      <c r="HI144" s="112" t="str">
        <f>HYPERLINK("http://www.bvkm.de/fileadmin/web_data/Behinderung_und_Migration_tuerkisch_2014.pdf","x")</f>
        <v>x</v>
      </c>
      <c r="HJ144" s="112" t="str">
        <f>HYPERLINK("http://www.ibbc-berlin.de/media/bvkm_Bro_de-tuerk_Berlin_web%20Endversion.pdf","x")</f>
        <v>x</v>
      </c>
      <c r="HK144" s="112" t="str">
        <f>HYPERLINK("http://www.psychenet.de/tr/ruhsal-saglik/bilgiler/depresyon.html","x")</f>
        <v>x</v>
      </c>
      <c r="HL144" s="115" t="str">
        <f>HYPERLINK("http://www.ethno-medizinisches-zentrum.de/images/PDF-Files/lf_depression_tr.pdf","x")</f>
        <v>x</v>
      </c>
      <c r="HM144" s="115" t="str">
        <f>HYPERLINK("http://www.psychenet.de/tr/ruhsal-saglik/bilgiler/psikoz.html","x")</f>
        <v>x</v>
      </c>
      <c r="HN144" s="115" t="str">
        <f>HYPERLINK("http://www.psychenet.de/tr/ruhsal-saglik/bilgiler/somatoform-bozukluklar.html","x")</f>
        <v>x</v>
      </c>
      <c r="HO144" s="115" t="str">
        <f>HYPERLINK("http://www.psychenet.de/tr/ruhsal-saglik/bilgiler/asiri-zayiflik.html","x")</f>
        <v>x</v>
      </c>
      <c r="HP144" s="115" t="str">
        <f>HYPERLINK("http://www.psychenet.de/tr/ruhsal-saglik/bilgiler/bulimia.html","x")</f>
        <v>x</v>
      </c>
      <c r="HQ144" s="115" t="str">
        <f>HYPERLINK("http://www.psychenet.de/tr/ruhsal-saglik/bilgiler/bipolar-bozukluk.html","x")</f>
        <v>x</v>
      </c>
      <c r="HR144" s="115" t="str">
        <f>HYPERLINK("http://www.psychenet.de/tr/ruhsal-saglik/bilgiler/agorafobili-panik-bozukluk.html","x")</f>
        <v>x</v>
      </c>
      <c r="HS144" s="115" t="str">
        <f>HYPERLINK("http://www.psychenet.de/tr/ruhsal-saglik/bilgiler/sosyal-fobi.html","x")</f>
        <v>x</v>
      </c>
      <c r="HT144" s="115"/>
      <c r="HU144" s="115" t="str">
        <f>HYPERLINK("http://www.psychenet.de/tr/ruhsal-saglik/bilgiler/burnout.html","x")</f>
        <v>x</v>
      </c>
      <c r="HV144" s="115" t="str">
        <f>HYPERLINK("http://www.psychenet.de/tr/ruhsal-saglik/bilgiler/bilgiler-ve-destek.html","x")</f>
        <v>x</v>
      </c>
      <c r="HW144" s="115" t="str">
        <f>HYPERLINK("http://www.medical-tribune.de/fileadmin/PDF/Restless_Legs_tuerkisch.pdf","x")</f>
        <v>x</v>
      </c>
      <c r="HX144" s="115" t="str">
        <f>HYPERLINK("http://www.bkk-psychisch-gesund.de/fileadmin/user_upload/Dokumente/Versicherte/Broschueren/Wegweiser_Psychotherapie_tuerkisch.pdf","x")</f>
        <v>x</v>
      </c>
      <c r="HY144" s="112" t="str">
        <f t="shared" si="72"/>
        <v>x</v>
      </c>
      <c r="HZ144" s="112" t="str">
        <f t="shared" si="73"/>
        <v>x</v>
      </c>
      <c r="IA144" s="115"/>
      <c r="IB144" s="115"/>
      <c r="IC144" s="115"/>
      <c r="ID144" s="115"/>
      <c r="IE144" s="115" t="str">
        <f>HYPERLINK("http://www.psychenet.de/tr/ruhsal-saglik/bilgiler/genclerde-alkol-tueketimi.html","x")</f>
        <v>x</v>
      </c>
      <c r="IF144" s="115"/>
      <c r="IG144" s="115"/>
      <c r="IH144" s="112" t="str">
        <f>HYPERLINK("http://www.ethno-medizinisches-zentrum.de/images/PDF-Files/lf_mediensucht_tr_geschutzt.pdf","x")</f>
        <v>x</v>
      </c>
      <c r="II144" s="115" t="str">
        <f>HYPERLINK("http://www.caritas.de/hilfeundberatung/onlineberatung/suchtberatung/haeufiggestelltefragensucht/haeufiggestelltefragen-sucht","x")</f>
        <v>x</v>
      </c>
      <c r="IJ144" s="115" t="str">
        <f>HYPERLINK("http://www.bzga.de/infomaterialien/suchtvorbeugung/","x")</f>
        <v>x</v>
      </c>
      <c r="IK144" s="112" t="str">
        <f>HYPERLINK("http://www.bamf.de/SharedDocs/Anlagen/TR/Publikationen/Flyer/Lassen-Sie-Sich-Beraten/lassen-sie-sich-beraten.pdf?__blob=publicationFile","x")</f>
        <v>x</v>
      </c>
      <c r="IL144" s="111"/>
      <c r="IM144" s="111"/>
      <c r="IN144" s="112" t="str">
        <f>HYPERLINK("https://www.bamf.de/SharedDocs/Anlagen/TR/Publikationen/Broschueren/willkommen-in-deutschland-tr.pdf?__blob=publicationFile","x")</f>
        <v>x</v>
      </c>
      <c r="IO144" s="112"/>
      <c r="IP144" s="111"/>
      <c r="IQ144" s="112" t="str">
        <f>HYPERLINK("http://www.bamf.de/SharedDocs/Anlagen/TR/Publikationen/Flyer/Lernen-Sie-Deutsch/lernen-sie-deutsch.pdf?__blob=publicationFile","x")</f>
        <v>x</v>
      </c>
      <c r="IR144" s="112"/>
      <c r="IS144" s="111"/>
      <c r="IT144" s="111"/>
      <c r="IU144" s="111"/>
      <c r="IV144" s="112" t="str">
        <f>HYPERLINK("http://www.asyl.net/fileadmin/user_upload/infoblatt_anhoerung/Tuerk_final.pdf","x")</f>
        <v>x</v>
      </c>
      <c r="IW144" s="112"/>
      <c r="IX144" s="112" t="str">
        <f>HYPERLINK("http://www.berlin.de/labo/willkommen-in-berlin/service/downloads/artikel.273193.php","x")</f>
        <v>x</v>
      </c>
      <c r="IY144" s="112" t="str">
        <f>HYPERLINK("http://www.bamf.de/SharedDocs/Anlagen/TR/Publikationen/Broschueren/broschuere-eat-a4-tr.pdf?__blob=publicationFile","x")</f>
        <v>x</v>
      </c>
      <c r="IZ144" s="111"/>
      <c r="JA144" s="111"/>
      <c r="JB144" s="111"/>
      <c r="JC144" s="112"/>
      <c r="JD144" s="111"/>
      <c r="JE144" s="112"/>
      <c r="JF144" s="112"/>
      <c r="JG144" s="112" t="str">
        <f>HYPERLINK("http://www.bamf.de/SharedDocs/Anlagen/TR/Publikationen/Flyer/Ehegattennachzug/ehegattennachzug.pdf?__blob=publicationFile","x")</f>
        <v>x</v>
      </c>
      <c r="JH144" s="112"/>
      <c r="JI144" s="111"/>
      <c r="JJ144" s="112"/>
      <c r="JK144" s="112"/>
      <c r="JL144" s="112"/>
      <c r="JM144" s="112" t="str">
        <f>HYPERLINK("https://www.arbeitsagentur.de/web/content/DE/Formulare/Detail/index.htm?dfContentId=L6019022DSTBAI485740","x")</f>
        <v>x</v>
      </c>
      <c r="JN144" s="112"/>
      <c r="JO144" s="112"/>
      <c r="JP144" s="112"/>
      <c r="JQ144" s="112"/>
      <c r="JR144" s="112" t="str">
        <f>HYPERLINK("http://www.ibla-germany.de/merkblaetter.php","x")</f>
        <v>x</v>
      </c>
      <c r="JS144" s="112"/>
      <c r="JT144" s="111"/>
      <c r="JU144" s="111"/>
      <c r="JV144" s="111"/>
      <c r="JW144" s="112"/>
      <c r="JX144" s="112"/>
      <c r="JY144" s="112"/>
      <c r="JZ144" s="112"/>
      <c r="KA144" s="112"/>
      <c r="KB144" s="112" t="str">
        <f>HYPERLINK("http://www.refugeeguide.de/dl/RefugeeGuide_tu_1208.pdf","x")</f>
        <v>x</v>
      </c>
      <c r="KC144" s="112" t="str">
        <f>HYPERLINK("http://www.bpb.de/shop/buecher/grundgesetz/34367/grundgesetz-fuer-die-bundesrepublik-deutschland","x")</f>
        <v>x</v>
      </c>
      <c r="KD144" s="112" t="str">
        <f>HYPERLINK("http://www.wedel.de/fileadmin/user_upload/media/pdf/Rathaus_und_Politik/20160118_PM_Broschuere.pdf","x")</f>
        <v>x</v>
      </c>
      <c r="KE144" s="112"/>
      <c r="KF144" s="111"/>
      <c r="KG144" s="112"/>
      <c r="KH144" s="112"/>
      <c r="KI144" s="112"/>
      <c r="KJ144" s="112"/>
      <c r="KK144" s="112"/>
      <c r="KL144" s="112"/>
      <c r="KM144" s="112"/>
      <c r="KN144" s="112"/>
      <c r="KO144" s="112"/>
      <c r="KP144" s="112"/>
      <c r="KQ144" s="112"/>
      <c r="KR144" s="112"/>
      <c r="KS144" s="112"/>
      <c r="KT144" s="112"/>
      <c r="KU144" s="112"/>
      <c r="KV144" s="112"/>
      <c r="KW144" s="112"/>
      <c r="KX144" s="112"/>
      <c r="KY144" s="112"/>
      <c r="KZ144" s="112"/>
      <c r="LA144" s="112"/>
      <c r="LB144" s="112"/>
      <c r="LC144" s="111"/>
      <c r="LD144" s="111"/>
      <c r="LE144" s="111"/>
      <c r="LF144" s="111"/>
      <c r="LG144" s="111"/>
      <c r="LH144" s="111"/>
      <c r="LI144" s="111"/>
      <c r="LJ144" s="111"/>
      <c r="LK144" s="111"/>
      <c r="LL144" s="111"/>
      <c r="LM144" s="111"/>
      <c r="LN144" s="111"/>
      <c r="LO144" s="111"/>
      <c r="LP144" s="111"/>
      <c r="LQ144" s="111"/>
      <c r="LR144" s="111"/>
      <c r="LS144" s="111"/>
      <c r="LT144" s="111"/>
      <c r="LU144" s="111"/>
      <c r="LV144" s="111"/>
      <c r="LW144" s="111"/>
      <c r="LX144" s="111"/>
      <c r="LY144" s="111"/>
      <c r="LZ144" s="111"/>
      <c r="MA144" s="111"/>
      <c r="MB144" s="111"/>
      <c r="MC144" s="111"/>
      <c r="MD144" s="112" t="str">
        <f>HYPERLINK("http://www.rki.de/DE/Content/Infekt/IfSG/Belehrungsbogen/belehrungsbogen_lebensmittel_tuerkisch.pdf?__blob=publicationFile","x")</f>
        <v>x</v>
      </c>
      <c r="ME144" s="111"/>
      <c r="MF144" s="111"/>
      <c r="MG144" s="111"/>
      <c r="MH144" s="111"/>
      <c r="MI144" s="112" t="str">
        <f>HYPERLINK("http://www.kindersicherheit.de/pdf/2012_poster_achtunggiftig_8sprachig.pdf","x")</f>
        <v>x</v>
      </c>
    </row>
    <row r="145" spans="1:347" x14ac:dyDescent="0.25">
      <c r="A145" s="102" t="s">
        <v>82</v>
      </c>
      <c r="B145" s="127" t="s">
        <v>30</v>
      </c>
      <c r="C145" s="102"/>
      <c r="D145" s="102"/>
      <c r="E145" s="102"/>
      <c r="F145" s="102"/>
      <c r="G145" s="102"/>
      <c r="H145" s="102"/>
      <c r="I145" s="102"/>
      <c r="J145" s="102"/>
      <c r="K145" s="103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2"/>
      <c r="AP145" s="112"/>
      <c r="AQ145" s="112"/>
      <c r="AR145" s="112"/>
      <c r="AS145" s="112"/>
      <c r="AT145" s="112"/>
      <c r="AU145" s="112"/>
      <c r="AV145" s="113"/>
      <c r="AW145" s="114" t="str">
        <f t="shared" si="55"/>
        <v>x</v>
      </c>
      <c r="AX145" s="114" t="str">
        <f t="shared" si="56"/>
        <v>x</v>
      </c>
      <c r="AY145" s="111"/>
      <c r="AZ145" s="111"/>
      <c r="BA145" s="112" t="str">
        <f t="shared" si="57"/>
        <v>x</v>
      </c>
      <c r="BB145" s="112" t="str">
        <f t="shared" si="58"/>
        <v>x</v>
      </c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2" t="str">
        <f t="shared" si="59"/>
        <v>x</v>
      </c>
      <c r="BT145" s="112"/>
      <c r="BU145" s="111"/>
      <c r="BV145" s="112" t="str">
        <f t="shared" si="60"/>
        <v>x</v>
      </c>
      <c r="BW145" s="112" t="str">
        <f>HYPERLINK("http://www.welcomegrooves.de/wp-content/uploads/2015/11/welcomegrooves_DE-BULGARISCH_V1.pdf","x")</f>
        <v>x</v>
      </c>
      <c r="BX145" s="112"/>
      <c r="BY145" s="112"/>
      <c r="BZ145" s="112"/>
      <c r="CA145" s="112" t="str">
        <f t="shared" si="61"/>
        <v>x</v>
      </c>
      <c r="CB145" s="112" t="str">
        <f t="shared" si="62"/>
        <v>x</v>
      </c>
      <c r="CC145" s="112" t="str">
        <f t="shared" si="63"/>
        <v>x</v>
      </c>
      <c r="CD145" s="112"/>
      <c r="CE145" s="112"/>
      <c r="CF145" s="111"/>
      <c r="CG145" s="111"/>
      <c r="CH145" s="111"/>
      <c r="CI145" s="111"/>
      <c r="CJ145" s="112" t="str">
        <f>HYPERLINK("https://www.hilfetelefon.de/fileadmin/hilfetelefon_de/Materialien/weitere_werbemittel/Klappflyer_Vorder-_und_Rueckseite_opt2.pdf","x")</f>
        <v>x</v>
      </c>
      <c r="CK145" s="112" t="str">
        <f t="shared" si="64"/>
        <v>x</v>
      </c>
      <c r="CL145" s="112"/>
      <c r="CM145" s="112"/>
      <c r="CN145" s="112"/>
      <c r="CO145" s="112"/>
      <c r="CP145" s="112" t="str">
        <f>HYPERLINK("http://www.schwanger-und-viele-fragen.de/bg/","x")</f>
        <v>x</v>
      </c>
      <c r="CQ145" s="112"/>
      <c r="CR145" s="112"/>
      <c r="CS145" s="112"/>
      <c r="CT145" s="112"/>
      <c r="CU145" s="112" t="str">
        <f>HYPERLINK("http://www.profamilia.de/fileadmin/publikationen/Erwachsene/mehrsprachig/Bro_Verhuetung_bul_141016.pdf","x")</f>
        <v>x</v>
      </c>
      <c r="CV145" s="112"/>
      <c r="CW145" s="112"/>
      <c r="CX145" s="112"/>
      <c r="CY145" s="112"/>
      <c r="CZ145" s="112"/>
      <c r="DA145" s="112"/>
      <c r="DB145" s="112"/>
      <c r="DC145" s="115"/>
      <c r="DD145" s="112"/>
      <c r="DE145" s="112"/>
      <c r="DF145" s="112" t="str">
        <f t="shared" si="65"/>
        <v>x</v>
      </c>
      <c r="DG145" s="115" t="str">
        <f t="shared" si="66"/>
        <v>x</v>
      </c>
      <c r="DH145" s="112" t="str">
        <f t="shared" si="67"/>
        <v>x</v>
      </c>
      <c r="DI145" s="112" t="str">
        <f t="shared" si="68"/>
        <v>x</v>
      </c>
      <c r="DJ145" s="112" t="str">
        <f>HYPERLINK("http://www.bibliomedia.ch/de/angebote/dokumente/Glossar_bulgarisch.pdf","x")</f>
        <v>x</v>
      </c>
      <c r="DK145" s="112"/>
      <c r="DL145" s="112"/>
      <c r="DM145" s="112"/>
      <c r="DN145" s="112"/>
      <c r="DO145" s="112"/>
      <c r="DP145" s="111"/>
      <c r="DQ145" s="112" t="str">
        <f>HYPERLINK("http://tipdoc.de/bus/grafik/kinder-tip/SCHULTIP_give_BulgRoSRB.pdf","x")</f>
        <v>x</v>
      </c>
      <c r="DR145" s="111"/>
      <c r="DS145" s="112" t="str">
        <f>HYPERLINK("http://bildung.koeln.de/materialbibliothek/download.php?idx=fa5ec5a51d71668e22b39aad7ce835b7","x")</f>
        <v>x</v>
      </c>
      <c r="DT145" s="112" t="str">
        <f>HYPERLINK("http://bildung.koeln.de/materialbibliothek/download.php?idx=b6156c96f0672121e7a1d19acc23ac96","x")</f>
        <v>x</v>
      </c>
      <c r="DU145" s="112"/>
      <c r="DV145" s="112" t="str">
        <f>HYPERLINK("https://www.bmbf.de/pub/Kausa_Elternratgeber_deutsch_bulgarisch.pdf","x")</f>
        <v>x</v>
      </c>
      <c r="DW145" s="111"/>
      <c r="DX145" s="111"/>
      <c r="DY145" s="111"/>
      <c r="DZ145" s="112" t="str">
        <f>HYPERLINK("http://www.bamf.de/SharedDocs/Anlagen/DE/Publikationen/Flyer/AnerkennungBerufsabschluss/anerkennung-berufsabschluss_bg.pdf?__blob=publicationFile","x")</f>
        <v>x</v>
      </c>
      <c r="EA145" s="112"/>
      <c r="EB145" s="112"/>
      <c r="EC145" s="112"/>
      <c r="ED145" s="111"/>
      <c r="EE145" s="111"/>
      <c r="EF145" s="111"/>
      <c r="EG145" s="111"/>
      <c r="EH145" s="111"/>
      <c r="EI145" s="111"/>
      <c r="EJ145" s="112"/>
      <c r="EK145" s="112"/>
      <c r="EL145" s="111"/>
      <c r="EM145" s="111"/>
      <c r="EN145" s="111"/>
      <c r="EO145" s="111"/>
      <c r="EP145" s="117" t="str">
        <f>HYPERLINK("http://www.medi-bild.de/pdf/anamnese/Welche_Sprache.pdf","x")</f>
        <v>x</v>
      </c>
      <c r="EQ145" s="117" t="str">
        <f>HYPERLINK("http://www.armut-gesundheit.de/fileadmin/redakteur/dokumente/Anamnesebogen%20-%20bulgarischnew.pdf","x")</f>
        <v>x</v>
      </c>
      <c r="ER145" s="111"/>
      <c r="ES145" s="111"/>
      <c r="ET145" s="111"/>
      <c r="EU145" s="111"/>
      <c r="EV145" s="111"/>
      <c r="EW145" s="112" t="str">
        <f t="shared" si="69"/>
        <v>x</v>
      </c>
      <c r="EX145" s="111"/>
      <c r="EY145" s="111"/>
      <c r="EZ145" s="111"/>
      <c r="FA145" s="111"/>
      <c r="FB145" s="111"/>
      <c r="FC145" s="111"/>
      <c r="FD145" s="112" t="str">
        <f t="shared" si="70"/>
        <v>x</v>
      </c>
      <c r="FE145" s="112" t="str">
        <f>HYPERLINK("http://sghanstedt.elbnetz.com/ueber-uns/","x")</f>
        <v>x</v>
      </c>
      <c r="FF145" s="111"/>
      <c r="FG145" s="111"/>
      <c r="FH145" s="111"/>
      <c r="FI145" s="111"/>
      <c r="FJ145" s="112"/>
      <c r="FK145" s="112" t="str">
        <f>HYPERLINK("http://www.rki.de/DE/Content/Infekt/Impfen/Materialien/Downloads-Impfkalender/Impfkalender_Bulgarisch.pdf?__blob=publicationFile","x")</f>
        <v>x</v>
      </c>
      <c r="FL145" s="112" t="str">
        <f>HYPERLINK("http://www.ethno-medizinisches-zentrum.de/images/PDF-Files/impfwegweiser_bulgarisch_2013_online.pdf","x")</f>
        <v>x</v>
      </c>
      <c r="FM145" s="112"/>
      <c r="FN145" s="111"/>
      <c r="FO145" s="111"/>
      <c r="FP145" s="112" t="str">
        <f>HYPERLINK("http://www.rki.de/DE/Content/Infekt/Impfen/Materialien/Downloads-MMR/MMR-Impfinfo-bulgarisch.pdf?__blob=publicationFile","x")</f>
        <v>x</v>
      </c>
      <c r="FQ145" s="111"/>
      <c r="FR145" s="112" t="str">
        <f>HYPERLINK("http://www.rki.de/DE/Content/Infekt/Impfen/Materialien/Downloads_HepA/Aufklaerung_HAV-Impfung_bulgarisch.pdf?__blob=publicationFile","x")</f>
        <v>x</v>
      </c>
      <c r="FS145" s="112" t="str">
        <f>HYPERLINK("http://www.rki.de/DE/Content/Infekt/Impfen/Materialien/Downloads_Pneumokokken/Aufklaerung_Pneumo-Impfung_Bulgarisch.pdf?__blob=publicationFile","x")</f>
        <v>x</v>
      </c>
      <c r="FT145" s="112" t="str">
        <f>HYPERLINK("http://www.rki.de/DE/Content/Infekt/Impfen/Materialien/Downloads-DTaPIPVHibHepB/DTaPIPVHibHepB_bulgarisch.pdf?__blob=publicationFile","x")</f>
        <v>x</v>
      </c>
      <c r="FU14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45" s="112" t="str">
        <f>HYPERLINK("http://www.rki.de/DE/Content/Infekt/Impfen/Materialien/Downloads-Tdap-IPV/Tdap-IPV-bulgarisch.pdf?__blob=publicationFile","x")</f>
        <v>x</v>
      </c>
      <c r="FW145" s="112" t="str">
        <f>HYPERLINK("http://www.rki.de/DE/Content/Infekt/Impfen/Materialien/Downloads-Influenza_nasal/Influenza_nasal-bulgarisch.pdf?__blob=publicationFile","x")</f>
        <v>x</v>
      </c>
      <c r="FX145" s="111"/>
      <c r="FY145" s="111"/>
      <c r="FZ145" s="111"/>
      <c r="GA145" s="111"/>
      <c r="GB145" s="111"/>
      <c r="GC145" s="111"/>
      <c r="GD145" s="112" t="str">
        <f>HYPERLINK("http://www.ethno-medizinisches-zentrum.de/images/PDF-Files/lf_diabete_bulgarish.pdf","x")</f>
        <v>x</v>
      </c>
      <c r="GE145" s="111"/>
      <c r="GF145" s="111"/>
      <c r="GG145" s="111"/>
      <c r="GH145" s="111"/>
      <c r="GI145" s="111"/>
      <c r="GJ145" s="111"/>
      <c r="GK145" s="111"/>
      <c r="GL145" s="111"/>
      <c r="GM145" s="112" t="str">
        <f>HYPERLINK("http://www.rki.de/DE/Content/Infekt/Impfen/Materialien/Downloads-Influenza/Influenza-bulgarisch.pdf?__blob=publicationFile","x")</f>
        <v>x</v>
      </c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2" t="str">
        <f t="shared" si="71"/>
        <v>x</v>
      </c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2" t="str">
        <f t="shared" si="72"/>
        <v>x</v>
      </c>
      <c r="HZ145" s="112" t="str">
        <f t="shared" si="73"/>
        <v>x</v>
      </c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2"/>
      <c r="IL145" s="111"/>
      <c r="IM145" s="111"/>
      <c r="IN145" s="112" t="str">
        <f>HYPERLINK("https://www.bamf.de/SharedDocs/Anlagen/DE/Publikationen/Broschueren/willkommen-in-deutschland_bg.pdf?__blob=publicationFile","x")</f>
        <v>x</v>
      </c>
      <c r="IO145" s="112"/>
      <c r="IP145" s="111"/>
      <c r="IQ145" s="112" t="str">
        <f>HYPERLINK("http://www.bamf.de/SharedDocs/Anlagen/DE/Publikationen/Flyer/Lernen-Sie-Deutsch/lernen-sie-deutsch_bg.pdf?__blob=publicationFile","x")</f>
        <v>x</v>
      </c>
      <c r="IR145" s="112"/>
      <c r="IS145" s="111"/>
      <c r="IT145" s="111"/>
      <c r="IU145" s="111"/>
      <c r="IV145" s="112"/>
      <c r="IW145" s="112"/>
      <c r="IX145" s="112"/>
      <c r="IY145" s="112"/>
      <c r="IZ145" s="111"/>
      <c r="JA145" s="111"/>
      <c r="JB145" s="111"/>
      <c r="JC145" s="112"/>
      <c r="JD145" s="111"/>
      <c r="JE145" s="112"/>
      <c r="JF145" s="112"/>
      <c r="JG145" s="112"/>
      <c r="JH145" s="112"/>
      <c r="JI145" s="111"/>
      <c r="JJ145" s="112"/>
      <c r="JK145" s="112"/>
      <c r="JL145" s="112"/>
      <c r="JM145" s="112" t="str">
        <f>HYPERLINK("https://www.arbeitsagentur.de/web/content/DE/Formulare/Detail/index.htm?dfContentId=L6019022DSTBAI485740","x")</f>
        <v>x</v>
      </c>
      <c r="JN145" s="112"/>
      <c r="JO145" s="112"/>
      <c r="JP145" s="112"/>
      <c r="JQ145" s="112"/>
      <c r="JR145" s="112" t="str">
        <f>HYPERLINK("http://www.ibla-germany.de/merkblaetter.php","x")</f>
        <v>x</v>
      </c>
      <c r="JS145" s="112"/>
      <c r="JT145" s="111"/>
      <c r="JU145" s="111"/>
      <c r="JV145" s="111"/>
      <c r="JW145" s="112"/>
      <c r="JX145" s="112"/>
      <c r="JY145" s="111"/>
      <c r="JZ145" s="111"/>
      <c r="KA145" s="111"/>
      <c r="KB145" s="111"/>
      <c r="KC145" s="111"/>
      <c r="KD145" s="111"/>
      <c r="KE145" s="111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  <c r="MI145" s="111"/>
    </row>
    <row r="146" spans="1:347" x14ac:dyDescent="0.25">
      <c r="A146" s="102" t="s">
        <v>82</v>
      </c>
      <c r="B146" s="127" t="s">
        <v>18</v>
      </c>
      <c r="C146" s="102"/>
      <c r="D146" s="102"/>
      <c r="E146" s="102"/>
      <c r="F146" s="102"/>
      <c r="G146" s="102"/>
      <c r="H146" s="102"/>
      <c r="I146" s="102"/>
      <c r="J146" s="102"/>
      <c r="K146" s="103"/>
      <c r="L146" s="111"/>
      <c r="M146" s="111"/>
      <c r="N146" s="111"/>
      <c r="O146" s="111"/>
      <c r="P146" s="112" t="str">
        <f>HYPERLINK("https://willkommensteamelmshorn.files.wordpress.com/2015/11/sortieranleitung_pinneberg_2015_rumacc88nisch.pdf","x")</f>
        <v>x</v>
      </c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2"/>
      <c r="AP146" s="112"/>
      <c r="AQ146" s="112"/>
      <c r="AR146" s="112"/>
      <c r="AS146" s="112"/>
      <c r="AT146" s="112"/>
      <c r="AU146" s="112"/>
      <c r="AV146" s="113"/>
      <c r="AW146" s="114" t="str">
        <f t="shared" si="55"/>
        <v>x</v>
      </c>
      <c r="AX146" s="114" t="str">
        <f t="shared" si="56"/>
        <v>x</v>
      </c>
      <c r="AY146" s="111"/>
      <c r="AZ146" s="111"/>
      <c r="BA146" s="112" t="str">
        <f t="shared" si="57"/>
        <v>x</v>
      </c>
      <c r="BB146" s="112" t="str">
        <f t="shared" si="58"/>
        <v>x</v>
      </c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2" t="str">
        <f>HYPERLINK("http://www.frnrw.de/images/Aus_den_Initiativen/Ehrenamtler/2015/Dictionary_x10_print-2.pdf","x")</f>
        <v>x</v>
      </c>
      <c r="BN146" s="111"/>
      <c r="BO146" s="111"/>
      <c r="BP146" s="111"/>
      <c r="BQ146" s="111"/>
      <c r="BR146" s="111"/>
      <c r="BS146" s="112" t="str">
        <f t="shared" si="59"/>
        <v>x</v>
      </c>
      <c r="BT146" s="112"/>
      <c r="BU146" s="111"/>
      <c r="BV146" s="112" t="str">
        <f t="shared" si="60"/>
        <v>x</v>
      </c>
      <c r="BW146" s="112" t="str">
        <f>HYPERLINK("http://www.welcomegrooves.de/wp-content/uploads/2015/10/welcomegrooves_DE-RUMAENISCH.pdf","x")</f>
        <v>x</v>
      </c>
      <c r="BX146" s="112"/>
      <c r="BY146" s="112"/>
      <c r="BZ146" s="112"/>
      <c r="CA146" s="112" t="str">
        <f t="shared" si="61"/>
        <v>x</v>
      </c>
      <c r="CB146" s="112" t="str">
        <f t="shared" si="62"/>
        <v>x</v>
      </c>
      <c r="CC146" s="112" t="str">
        <f t="shared" si="63"/>
        <v>x</v>
      </c>
      <c r="CD146" s="112"/>
      <c r="CE146" s="112"/>
      <c r="CF146" s="111"/>
      <c r="CG146" s="111"/>
      <c r="CH146" s="112"/>
      <c r="CI146" s="112" t="str">
        <f>HYPERLINK("https://www.hilfetelefon.de/fileadmin/hilfetelefon_de/Materialien/Flyer/Infoflyer_Hilfetelefon_Gewalt_gegen_Frauen141105_b2.pdf","x")</f>
        <v>x</v>
      </c>
      <c r="CJ146" s="112" t="str">
        <f>HYPERLINK("https://www.hilfetelefon.de/fileadmin/hilfetelefon_de/Materialien/weitere_werbemittel/Klappflyer_Vorder-_und_Rueckseite_opt2.pdf","x")</f>
        <v>x</v>
      </c>
      <c r="CK146" s="112" t="str">
        <f t="shared" si="64"/>
        <v>x</v>
      </c>
      <c r="CL146" s="112" t="str">
        <f>HYPERLINK("http://www.frauenberatungsstelle.de/pdf/Migrantinnen-beraten-Migrantinnen.pdf","x")</f>
        <v>x</v>
      </c>
      <c r="CM146" s="112"/>
      <c r="CN146" s="112"/>
      <c r="CO146" s="112"/>
      <c r="CP146" s="112" t="str">
        <f>HYPERLINK("http://www.schwanger-und-viele-fragen.de/ro/","x")</f>
        <v>x</v>
      </c>
      <c r="CQ146" s="112"/>
      <c r="CR146" s="112"/>
      <c r="CS146" s="112"/>
      <c r="CT146" s="112"/>
      <c r="CU146" s="112" t="str">
        <f>HYPERLINK("http://www.profamilia.de/fileadmin/publikationen/Erwachsene/mehrsprachig/Bro_Verhuetung_rum_141016.pdf","x")</f>
        <v>x</v>
      </c>
      <c r="CV146" s="112"/>
      <c r="CW146" s="112"/>
      <c r="CX146" s="112"/>
      <c r="CY146" s="112"/>
      <c r="CZ146" s="112"/>
      <c r="DA146" s="112"/>
      <c r="DB146" s="112"/>
      <c r="DC146" s="115"/>
      <c r="DD146" s="112"/>
      <c r="DE146" s="112"/>
      <c r="DF146" s="112" t="str">
        <f t="shared" si="65"/>
        <v>x</v>
      </c>
      <c r="DG146" s="115" t="str">
        <f t="shared" si="66"/>
        <v>x</v>
      </c>
      <c r="DH146" s="112" t="str">
        <f t="shared" si="67"/>
        <v>x</v>
      </c>
      <c r="DI146" s="112" t="str">
        <f t="shared" si="68"/>
        <v>x</v>
      </c>
      <c r="DJ146" s="112"/>
      <c r="DK146" s="112"/>
      <c r="DL146" s="112"/>
      <c r="DM146" s="112"/>
      <c r="DN146" s="112"/>
      <c r="DO146" s="112"/>
      <c r="DP146" s="111"/>
      <c r="DQ146" s="112" t="str">
        <f>HYPERLINK("http://tipdoc.de/bus/grafik/kinder-tip/SCHULTIP_give_BulgRoSRB.pdf","x")</f>
        <v>x</v>
      </c>
      <c r="DR146" s="112" t="str">
        <f>HYPERLINK("https://broschueren.nordrheinwestfalendirekt.de/broschuerenservice/msw/ro-das-schulsystem-in-nordrhein-westfalen-einfach-und-schnell-erklaert/1904","x")</f>
        <v>x</v>
      </c>
      <c r="DS146" s="112" t="str">
        <f>HYPERLINK("http://bildung.koeln.de/materialbibliothek/download.php?idx=02e5214477df5fdc5798bedc8e8fd9ad","x")</f>
        <v>x</v>
      </c>
      <c r="DT146" s="112" t="str">
        <f>HYPERLINK("http://bildung.koeln.de/materialbibliothek/download.php?idx=640f7d9e84c1690234be794b70c7776c","x")</f>
        <v>x</v>
      </c>
      <c r="DU146" s="112"/>
      <c r="DV146" s="112" t="str">
        <f>HYPERLINK("https://www.bmbf.de/pub/Kausa_Elternratgeber_deutsch_rumaenisch.pdf","x")</f>
        <v>x</v>
      </c>
      <c r="DW146" s="111"/>
      <c r="DX146" s="111"/>
      <c r="DY146" s="111"/>
      <c r="DZ146" s="111"/>
      <c r="EA146" s="112" t="str">
        <f>HYPERLINK("http://www.bamf.de/SharedDocs/Anlagen/DE/Publikationen/Flyer/AnerkennungBerufsabschluss/anerkennung-berufsabschluss_ausland_ro.pdf?__blob=publicationFile","x")</f>
        <v>x</v>
      </c>
      <c r="EB146" s="112"/>
      <c r="EC146" s="112"/>
      <c r="ED146" s="111"/>
      <c r="EE146" s="111"/>
      <c r="EF146" s="111"/>
      <c r="EG146" s="111"/>
      <c r="EH146" s="111"/>
      <c r="EI146" s="111"/>
      <c r="EJ146" s="112"/>
      <c r="EK146" s="112"/>
      <c r="EL146" s="111"/>
      <c r="EM146" s="112" t="str">
        <f>HYPERLINK("http://www.kvs-sachsen.de/fileadmin/img/Mitglieder/Asylbewerber/Allg-Informationen/Anlage_1__Rumaenisch_LEK.pdf","x")</f>
        <v>x</v>
      </c>
      <c r="EN146" s="111"/>
      <c r="EO146" s="111"/>
      <c r="EP146" s="117" t="str">
        <f>HYPERLINK("http://www.medi-bild.de/pdf/anamnese/Welche_Sprache.pdf","x")</f>
        <v>x</v>
      </c>
      <c r="EQ146" s="117" t="str">
        <f>HYPERLINK("http://www.armut-gesundheit.de/fileadmin/redakteur/dokumente/Anamnesebogen%20-%20rum%C3%A4nischnew.pdf","x")</f>
        <v>x</v>
      </c>
      <c r="ER146" s="112" t="str">
        <f>HYPERLINK("http://www.kvs-sachsen.de/fileadmin/img/Mitglieder/Asylbewerber/Allg-Informationen/Anlagen_2-1_2-2_Rumaenisch_LEK.pdf","x")</f>
        <v>x</v>
      </c>
      <c r="ES146" s="111"/>
      <c r="ET146" s="111"/>
      <c r="EU146" s="111"/>
      <c r="EV146" s="111"/>
      <c r="EW146" s="112" t="str">
        <f t="shared" si="69"/>
        <v>x</v>
      </c>
      <c r="EX146" s="111"/>
      <c r="EY146" s="111"/>
      <c r="EZ146" s="111"/>
      <c r="FA146" s="111"/>
      <c r="FB146" s="111"/>
      <c r="FC146" s="111"/>
      <c r="FD146" s="112" t="str">
        <f t="shared" si="70"/>
        <v>x</v>
      </c>
      <c r="FE146" s="112" t="str">
        <f>HYPERLINK("http://sghanstedt.elbnetz.com/ueber-uns/","x")</f>
        <v>x</v>
      </c>
      <c r="FF146" s="111"/>
      <c r="FG146" s="112" t="str">
        <f>HYPERLINK("http://www.tipdoc.de/grafik/asyl/Gesundheitsheft_Asyl.pdf","x")</f>
        <v>x</v>
      </c>
      <c r="FH146" s="111"/>
      <c r="FI146" s="111"/>
      <c r="FJ146" s="112"/>
      <c r="FK146" s="112" t="str">
        <f>HYPERLINK("http://www.rki.de/DE/Content/Infekt/Impfen/Materialien/Downloads-Impfkalender/Impfkalender_Rumaenisch.pdf?__blob=publicationFile","x")</f>
        <v>x</v>
      </c>
      <c r="FL146" s="112" t="str">
        <f>HYPERLINK("http://www.ethno-medizinisches-zentrum.de/images/PDF-Files/impfwegweiser_rumanisch_2013_online.pdf","x")</f>
        <v>x</v>
      </c>
      <c r="FM146" s="112"/>
      <c r="FN146" s="112" t="str">
        <f>HYPERLINK("http://www.rki.de/DE/Content/Infekt/Impfen/Materialien/Glossar-Downloads/glossar-de-rumaenisch.pdf?__blob=publicationFile","x")</f>
        <v>x</v>
      </c>
      <c r="FO146" s="112"/>
      <c r="FP146" s="112" t="str">
        <f>HYPERLINK("http://www.rki.de/DE/Content/Infekt/Impfen/Materialien/Downloads-MMR/MMR-Impfinfo-rumaenisch.pdf?__blob=publicationFile","x")</f>
        <v>x</v>
      </c>
      <c r="FQ146" s="111"/>
      <c r="FR146" s="112" t="str">
        <f>HYPERLINK("http://www.rki.de/DE/Content/Infekt/Impfen/Materialien/Downloads_HepA/Aufklaerung_HAV-Impfung_Rumaenisch.pdf?__blob=publicationFile","x")</f>
        <v>x</v>
      </c>
      <c r="FS146" s="112" t="str">
        <f>HYPERLINK("http://www.rki.de/DE/Content/Infekt/Impfen/Materialien/Downloads_Pneumokokken/Aufklaerung_Pneumo-Impfung_Rumaenisch.pdf?__blob=publicationFile","x")</f>
        <v>x</v>
      </c>
      <c r="FT146" s="112" t="str">
        <f>HYPERLINK("http://www.rki.de/DE/Content/Infekt/Impfen/Materialien/Downloads-DTaPIPVHibHepB/DTaPIPVHibHepB-rumaenisch.pdf?__blob=publicationFile","x")</f>
        <v>x</v>
      </c>
      <c r="FU146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46" s="112" t="str">
        <f>HYPERLINK("http://www.rki.de/DE/Content/Infekt/Impfen/Materialien/Downloads-Tdap-IPV/Tdap-IPV-rumaenisch.pdf?__blob=publicationFile","x")</f>
        <v>x</v>
      </c>
      <c r="FW146" s="112" t="str">
        <f>HYPERLINK("http://www.rki.de/DE/Content/Infekt/Impfen/Materialien/Downloads-Influenza_nasal/Influenza_nasal-rumaenisch.pdf?__blob=publicationFile","x")</f>
        <v>x</v>
      </c>
      <c r="FX146" s="111"/>
      <c r="FY146" s="111"/>
      <c r="FZ146" s="111"/>
      <c r="GA146" s="111"/>
      <c r="GB146" s="111"/>
      <c r="GC146" s="111"/>
      <c r="GD146" s="112" t="str">
        <f>HYPERLINK("http://www.ethno-medizinisches-zentrum.de/images/PDF-Files/lf_diabete_rumanish.pdf","x")</f>
        <v>x</v>
      </c>
      <c r="GE146" s="111"/>
      <c r="GF146" s="111"/>
      <c r="GG146" s="111"/>
      <c r="GH146" s="111"/>
      <c r="GI146" s="111"/>
      <c r="GJ146" s="111"/>
      <c r="GK146" s="111"/>
      <c r="GL146" s="111"/>
      <c r="GM146" s="112" t="str">
        <f>HYPERLINK("http://www.rki.de/DE/Content/Infekt/Impfen/Materialien/Downloads-Influenza/Influenza-rumaenisch.pdf?__blob=publicationFile","x")</f>
        <v>x</v>
      </c>
      <c r="GN146" s="111"/>
      <c r="GO146" s="111"/>
      <c r="GP146" s="112" t="str">
        <f>HYPERLINK("http://www.tipdoc.de/grafik/pdf/kopflaeuse/Kopflaeuse_RUMAEN.pdf","x")</f>
        <v>x</v>
      </c>
      <c r="GQ146" s="112"/>
      <c r="GR146" s="112" t="str">
        <f>HYPERLINK("http://www.tipdoc.com/bus/pdf/kraetze/tipdoc_Scabies_RUMAEN.pdf","x")</f>
        <v>x</v>
      </c>
      <c r="GS146" s="112" t="str">
        <f>HYPERLINK("http://www.tipdoc.com/bus/pdf/MagenDarmHaende/MagenDarmHaende_RUMAEN.pdf","x")</f>
        <v>x</v>
      </c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2" t="str">
        <f t="shared" si="71"/>
        <v>x</v>
      </c>
      <c r="HD146" s="111"/>
      <c r="HE146" s="111"/>
      <c r="HF146" s="111"/>
      <c r="HG146" s="111"/>
      <c r="HH146" s="111"/>
      <c r="HI146" s="111"/>
      <c r="HJ146" s="111"/>
      <c r="HK146" s="112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2" t="str">
        <f t="shared" si="72"/>
        <v>x</v>
      </c>
      <c r="HZ146" s="112" t="str">
        <f t="shared" si="73"/>
        <v>x</v>
      </c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2"/>
      <c r="IL146" s="111"/>
      <c r="IM146" s="111"/>
      <c r="IN146" s="112" t="str">
        <f>HYPERLINK("https://www.bamf.de/SharedDocs/Anlagen/DE/Publikationen/Broschueren/willkommen-in-deutschland_ro.pdf?__blob=publicationFile","x")</f>
        <v>x</v>
      </c>
      <c r="IO146" s="112"/>
      <c r="IP146" s="111"/>
      <c r="IQ146" s="112" t="str">
        <f>HYPERLINK("http://www.bamf.de/SharedDocs/Anlagen/DE/Publikationen/Flyer/Lernen-Sie-Deutsch/lernen-sie-deutsch_ro.pdf?__blob=publicationFile","x")</f>
        <v>x</v>
      </c>
      <c r="IR146" s="112"/>
      <c r="IS146" s="111"/>
      <c r="IT146" s="111"/>
      <c r="IU146" s="111"/>
      <c r="IV146" s="112"/>
      <c r="IW146" s="112"/>
      <c r="IX146" s="112"/>
      <c r="IY146" s="112"/>
      <c r="IZ146" s="111"/>
      <c r="JA146" s="111"/>
      <c r="JB146" s="111"/>
      <c r="JC146" s="112"/>
      <c r="JD146" s="111"/>
      <c r="JE146" s="112"/>
      <c r="JF146" s="112"/>
      <c r="JG146" s="112"/>
      <c r="JH146" s="112"/>
      <c r="JI146" s="111"/>
      <c r="JJ146" s="112"/>
      <c r="JK146" s="112"/>
      <c r="JL146" s="112"/>
      <c r="JM146" s="112" t="str">
        <f>HYPERLINK("https://www.arbeitsagentur.de/web/content/DE/Formulare/Detail/index.htm?dfContentId=L6019022DSTBAI485740","x")</f>
        <v>x</v>
      </c>
      <c r="JN146" s="112"/>
      <c r="JO146" s="112"/>
      <c r="JP146" s="112"/>
      <c r="JQ146" s="112"/>
      <c r="JR146" s="112" t="str">
        <f>HYPERLINK("http://www.ibla-germany.de/merkblaetter.php","x")</f>
        <v>x</v>
      </c>
      <c r="JS146" s="112"/>
      <c r="JT146" s="111"/>
      <c r="JU146" s="111"/>
      <c r="JV146" s="111"/>
      <c r="JW146" s="112"/>
      <c r="JX146" s="112"/>
      <c r="JY146" s="111"/>
      <c r="JZ146" s="111"/>
      <c r="KA146" s="111"/>
      <c r="KB146" s="111"/>
      <c r="KC146" s="111"/>
      <c r="KD146" s="111"/>
      <c r="KE146" s="111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  <c r="MI146" s="111"/>
    </row>
    <row r="147" spans="1:347" x14ac:dyDescent="0.25">
      <c r="A147" s="102" t="s">
        <v>82</v>
      </c>
      <c r="B147" s="127" t="s">
        <v>7</v>
      </c>
      <c r="C147" s="102"/>
      <c r="D147" s="102"/>
      <c r="E147" s="102"/>
      <c r="F147" s="102"/>
      <c r="G147" s="102"/>
      <c r="H147" s="102"/>
      <c r="I147" s="102"/>
      <c r="J147" s="102"/>
      <c r="K147" s="103"/>
      <c r="L147" s="111"/>
      <c r="M147" s="111"/>
      <c r="N147" s="112" t="str">
        <f>HYPERLINK("http://www.ag-fluechtlingshilfe-wetterau.de/uploads/infos/170.pdf","x")</f>
        <v>x</v>
      </c>
      <c r="O147" s="112"/>
      <c r="P147" s="112" t="str">
        <f>HYPERLINK("https://willkommensteamelmshorn.files.wordpress.com/2015/11/sortieranleitung_pinneberg_2015_russisch.pdf","x")</f>
        <v>x</v>
      </c>
      <c r="Q147" s="112"/>
      <c r="R147" s="112"/>
      <c r="S147" s="112"/>
      <c r="T147" s="112"/>
      <c r="U147" s="112"/>
      <c r="V147" s="112"/>
      <c r="W147" s="111"/>
      <c r="X147" s="112"/>
      <c r="Y147" s="111"/>
      <c r="Z147" s="111"/>
      <c r="AA147" s="111"/>
      <c r="AB147" s="111"/>
      <c r="AC147" s="111"/>
      <c r="AD147" s="112" t="str">
        <f>HYPERLINK("http://www.rundfunkbeitrag.de/e175/e1634/Informationsflyer_Buerginnen_und_Buerger_russisch.pdf","x")</f>
        <v>x</v>
      </c>
      <c r="AE147" s="111"/>
      <c r="AF147" s="112" t="str">
        <f>HYPERLINK("http://www.kub-berlin.org/formularprojekt/de/russisch-antraege-und-anlagen/","x")</f>
        <v>x</v>
      </c>
      <c r="AG147" s="111"/>
      <c r="AH147" s="112" t="str">
        <f>HYPERLINK("http://sghanstedt.elbnetz.com/ueber-uns/","x")</f>
        <v>x</v>
      </c>
      <c r="AI147" s="111"/>
      <c r="AJ147" s="111"/>
      <c r="AK147" s="111"/>
      <c r="AL147" s="111"/>
      <c r="AM147" s="111"/>
      <c r="AN147" s="111"/>
      <c r="AO147" s="112"/>
      <c r="AP147" s="112"/>
      <c r="AQ147" s="112"/>
      <c r="AR147" s="112"/>
      <c r="AS147" s="112"/>
      <c r="AT147" s="112"/>
      <c r="AU147" s="112"/>
      <c r="AV147" s="113"/>
      <c r="AW147" s="114" t="str">
        <f t="shared" si="55"/>
        <v>x</v>
      </c>
      <c r="AX147" s="114" t="str">
        <f t="shared" si="56"/>
        <v>x</v>
      </c>
      <c r="AY147" s="111"/>
      <c r="AZ147" s="111"/>
      <c r="BA147" s="112" t="str">
        <f t="shared" si="57"/>
        <v>x</v>
      </c>
      <c r="BB147" s="112" t="str">
        <f t="shared" si="58"/>
        <v>x</v>
      </c>
      <c r="BC147" s="111"/>
      <c r="BD147" s="111"/>
      <c r="BE147" s="111"/>
      <c r="BF147" s="111"/>
      <c r="BG147" s="111"/>
      <c r="BH147" s="111"/>
      <c r="BI147" s="111"/>
      <c r="BJ147" s="111"/>
      <c r="BK147" s="112" t="str">
        <f>HYPERLINK("http://www.agf-trier.de/sites/default/files/bersetzungshilfe%20russisch%20allgemein.pdf","x")</f>
        <v>x</v>
      </c>
      <c r="BL147" s="111"/>
      <c r="BM147" s="112" t="str">
        <f>HYPERLINK("http://www.frnrw.de/images/Aus_den_Initiativen/Ehrenamtler/2015/Dictionary_x10_print-2.pdf","x")</f>
        <v>x</v>
      </c>
      <c r="BN147" s="111"/>
      <c r="BO147" s="111"/>
      <c r="BP147" s="111"/>
      <c r="BQ147" s="111"/>
      <c r="BR147" s="111"/>
      <c r="BS147" s="112" t="str">
        <f t="shared" si="59"/>
        <v>x</v>
      </c>
      <c r="BT147" s="112"/>
      <c r="BU147" s="111"/>
      <c r="BV147" s="112" t="str">
        <f t="shared" si="60"/>
        <v>x</v>
      </c>
      <c r="BW147" s="112" t="str">
        <f>HYPERLINK("http://www.welcomegrooves.de/wp-content/uploads/2015/10/welcomegrooves_DE-RUSSISCH.pdf","x")</f>
        <v>x</v>
      </c>
      <c r="BX147" s="112"/>
      <c r="BY147" s="112"/>
      <c r="BZ147" s="112"/>
      <c r="CA147" s="112" t="str">
        <f t="shared" si="61"/>
        <v>x</v>
      </c>
      <c r="CB147" s="112" t="str">
        <f t="shared" si="62"/>
        <v>x</v>
      </c>
      <c r="CC147" s="112" t="str">
        <f t="shared" si="63"/>
        <v>x</v>
      </c>
      <c r="CD147" s="112"/>
      <c r="CE147" s="112"/>
      <c r="CF147" s="112" t="str">
        <f>HYPERLINK("http://www.agf-trier.de/sites/default/files/bersetzungshilfe%20russisch%20f%C3%BCr%20Frauen.pdf","x")</f>
        <v>x</v>
      </c>
      <c r="CG147" s="112" t="str">
        <f>HYPERLINK("http://www.braunschweig.de/leben/frauen/hilfe/Ohne-Gewalt-leben.pdf","x")</f>
        <v>x</v>
      </c>
      <c r="CH147" s="112" t="str">
        <f>HYPERLINK("http://mifkjf.rlp.de/fileadmin/mifkjf/Frauen/Gewalt_gegen_Frauen/Downloads/Broschueren_Flyer/Flyer_Gewalt_russisch.pdf","x")</f>
        <v>x</v>
      </c>
      <c r="CI147" s="112" t="str">
        <f>HYPERLINK("https://www.hilfetelefon.de/fileadmin/hilfetelefon_de/Materialien/Flyer/Infoflyer_Hilfetelefon_Gewalt_gegen_Frauen141105_b2.pdf","x")</f>
        <v>x</v>
      </c>
      <c r="CJ147" s="112" t="str">
        <f>HYPERLINK("https://www.hilfetelefon.de/fileadmin/hilfetelefon_de/Materialien/weitere_werbemittel/Klappflyer_Vorder-_und_Rueckseite_opt2.pdf","x")</f>
        <v>x</v>
      </c>
      <c r="CK147" s="112" t="str">
        <f t="shared" si="64"/>
        <v>x</v>
      </c>
      <c r="CL147" s="112" t="str">
        <f>HYPERLINK("http://www.frauenberatungsstelle.de/pdf/Migrantinnen-beraten-Migrantinnen.pdf","x")</f>
        <v>x</v>
      </c>
      <c r="CM147" s="112"/>
      <c r="CN147" s="112"/>
      <c r="CO147" s="112"/>
      <c r="CP147" s="112" t="str">
        <f>HYPERLINK("http://www.schwanger-und-viele-fragen.de/ru/","x")</f>
        <v>x</v>
      </c>
      <c r="CQ147" s="112"/>
      <c r="CR147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47" s="112"/>
      <c r="CT147" s="112"/>
      <c r="CU147" s="112" t="str">
        <f>HYPERLINK("http://www.profamilia.de/fileadmin/publikationen/Erwachsene/mehrsprachig/verhuetung_russisch_2011.pdf","x")</f>
        <v>x</v>
      </c>
      <c r="CV147" s="112" t="str">
        <f>HYPERLINK("http://www.profamilia.de/fileadmin/publikationen/Erwachsene/mehrsprachig/Pille_danach_russisch_2012.pdf","x")</f>
        <v>x</v>
      </c>
      <c r="CW147" s="112" t="str">
        <f>HYPERLINK("http://www.profamilia.de/fileadmin/publikationen/Reihe_Verhuetungsmethoden/Einleger_Russisch.pdf","x")</f>
        <v>x</v>
      </c>
      <c r="CX147" s="112" t="str">
        <f>HYPERLINK("http://www.profamilia.de/fileadmin/publikationen/Erwachsene/mehrsprachig/schwangerschaftsabbruch_russisch.pdf","x")</f>
        <v>x</v>
      </c>
      <c r="CY147" s="112" t="str">
        <f>HYPERLINK("http://www.caritas-schwarzwald-alb-donau.de/68854.html","x")</f>
        <v>x</v>
      </c>
      <c r="CZ147" s="112" t="str">
        <f>HYPERLINK("http://www.dgfpi.de/tl_files/download/medien/unwissen-macht-ru.pdf","x")</f>
        <v>x</v>
      </c>
      <c r="DA147" s="112"/>
      <c r="DB147" s="112"/>
      <c r="DC147" s="115" t="str">
        <f>HYPERLINK("http://www.kindersicherheit.de/pdf/2012_Bilderbuch-Gift-Russisch.pdf","x")</f>
        <v>x</v>
      </c>
      <c r="DD147" s="112"/>
      <c r="DE147" s="112"/>
      <c r="DF147" s="112" t="str">
        <f t="shared" si="65"/>
        <v>x</v>
      </c>
      <c r="DG147" s="115" t="str">
        <f t="shared" si="66"/>
        <v>x</v>
      </c>
      <c r="DH147" s="112" t="str">
        <f t="shared" si="67"/>
        <v>x</v>
      </c>
      <c r="DI147" s="112" t="str">
        <f t="shared" si="68"/>
        <v>x</v>
      </c>
      <c r="DJ147" s="112" t="str">
        <f>HYPERLINK("http://www.bibliomedia.ch/de/angebote/dokumente/Glossar_russisch.pdf","x")</f>
        <v>x</v>
      </c>
      <c r="DK147" s="112"/>
      <c r="DL147" s="112"/>
      <c r="DM147" s="112"/>
      <c r="DN147" s="112"/>
      <c r="DO147" s="112"/>
      <c r="DP147" s="111"/>
      <c r="DQ147" s="112" t="str">
        <f>HYPERLINK("http://tipdoc.de/bus/grafik/kinder-tip/SCHULTIP_give_didacta.pdf","x")</f>
        <v>x</v>
      </c>
      <c r="DR147" s="112" t="str">
        <f>HYPERLINK("https://broschueren.nordrheinwestfalendirekt.de/broschuerenservice/msw/rus-das-schulsystem-in-nordrhein-westfalen-einfach-und-schnell-erklaert/1905","x")</f>
        <v>x</v>
      </c>
      <c r="DS147" s="112" t="str">
        <f>HYPERLINK("http://bildung.koeln.de/materialbibliothek/download.php?idx=89409237e8c48c84d1f410e2c231c942","x")</f>
        <v>x</v>
      </c>
      <c r="DT147" s="112" t="str">
        <f>HYPERLINK("http://bildung.koeln.de/materialbibliothek/download.php?idx=3e35937e1b8f8986880efaf07701a323","x")</f>
        <v>x</v>
      </c>
      <c r="DU147" s="112"/>
      <c r="DV147" s="112" t="str">
        <f>HYPERLINK("https://www.bmbf.de/pub/Kausa_Elternbroschuere_russisch.pdf","x")</f>
        <v>x</v>
      </c>
      <c r="DW147" s="112"/>
      <c r="DX147" s="112"/>
      <c r="DY147" s="112" t="str">
        <f>HYPERLINK("http://www.bamf.de/SharedDocs/Anlagen/DE/Publikationen/Flyer/AnerkennungBerufsabschluss/berufliche_anerkennung_akademische-heilberufe_ru.pdf?__blob=publicationFile","x")</f>
        <v>x</v>
      </c>
      <c r="DZ147" s="112" t="str">
        <f>HYPERLINK("http://www.bamf.de/SharedDocs/Anlagen/RU/Publikationen/Flyer/AnerkennungBerufsabschluss/anerkennung-berufsabschluss.pdf?__blob=publicationFile","x")</f>
        <v>x</v>
      </c>
      <c r="EA147" s="112" t="str">
        <f>HYPERLINK("http://www.bamf.de/SharedDocs/Anlagen/RU/Publikationen/Flyer/AnerkennungBerufsabschluss/anerkennung-berufsabschluss_ausland.pdf?__blob=publicationFile","x")</f>
        <v>x</v>
      </c>
      <c r="EB147" s="112" t="str">
        <f>HYPERLINK("http://www.bamf.de/SharedDocs/Anlagen/DE/Publikationen/Broschueren/willkommen-in-deutschland-info-blaue-karte-eu_ru.pdf?__blob=publicationFile","x")</f>
        <v>x</v>
      </c>
      <c r="EC147" s="112" t="str">
        <f>HYPERLINK("http://www.bamf.de/SharedDocs/Anlagen/RU/Publikationen/Flyer/Berufsbezsprachf-ESF-BAMF/berufsbezsprachf-esf-bamf.pdf?__blob=publicationFile","x")</f>
        <v>x</v>
      </c>
      <c r="ED147" s="111"/>
      <c r="EE147" s="111"/>
      <c r="EF147" s="111"/>
      <c r="EG147" s="111"/>
      <c r="EH147" s="111"/>
      <c r="EI147" s="111"/>
      <c r="EJ147" s="112"/>
      <c r="EK147" s="112"/>
      <c r="EL147" s="112"/>
      <c r="EM147" s="112" t="str">
        <f>HYPERLINK("http://www.kvs-sachsen.de/fileadmin/img/Mitglieder/Asylbewerber/Allg-Informationen/Anlage_1_Russisch_LEK.pdf","x")</f>
        <v>x</v>
      </c>
      <c r="EN147" s="112" t="str">
        <f>HYPERLINK("http://www.medizin-hilft-fluechtlingen.de/images/Dokumente/gSch/gSch_ru.pdf","x")</f>
        <v>x</v>
      </c>
      <c r="EO147" s="111"/>
      <c r="EP147" s="117" t="str">
        <f>HYPERLINK("http://www.medi-bild.de/pdf/anamnese/Welche_Sprache.pdf","x")</f>
        <v>x</v>
      </c>
      <c r="EQ147" s="117" t="str">
        <f>HYPERLINK("http://www.armut-gesundheit.de/fileadmin/redakteur/dokumente/Anamnesebogen%20-%20russischnew.pdf","x")</f>
        <v>x</v>
      </c>
      <c r="ER147" s="112" t="str">
        <f>HYPERLINK("http://www.kvs-sachsen.de/fileadmin/img/Mitglieder/Asylbewerber/Allg-Informationen/Anlagen_2-1_2-2_Russisch_LEK.pdf","x")</f>
        <v>x</v>
      </c>
      <c r="ES147" s="111"/>
      <c r="ET147" s="111"/>
      <c r="EU147" s="111"/>
      <c r="EV147" s="111"/>
      <c r="EW147" s="112" t="str">
        <f t="shared" si="69"/>
        <v>x</v>
      </c>
      <c r="EX147" s="112" t="str">
        <f>HYPERLINK("http://www.rki.de/DE/Content/Infekt/IfSG/Belehrungsbogen/belehrungsbogen_eltern_russisch.pdf?__blob=publicationFile","x")</f>
        <v>x</v>
      </c>
      <c r="EY147" s="112" t="str">
        <f>HYPERLINK("http://www.bzga.de/infomaterialien/?sid=236","x")</f>
        <v>x</v>
      </c>
      <c r="EZ147" s="112" t="str">
        <f>HYPERLINK("https://www.mh-hannover.de/fileadmin/mhh/bilder/aktuelles_presse/presseinformationen_news/-Pilzvergif_RUSSISCH_2.pdf","x")</f>
        <v>x</v>
      </c>
      <c r="FA147" s="112"/>
      <c r="FB147" s="111"/>
      <c r="FC147" s="111"/>
      <c r="FD147" s="112" t="str">
        <f t="shared" si="70"/>
        <v>x</v>
      </c>
      <c r="FE147" s="112" t="str">
        <f>HYPERLINK("http://sghanstedt.elbnetz.com/ueber-uns/","x")</f>
        <v>x</v>
      </c>
      <c r="FF147" s="111"/>
      <c r="FG147" s="112" t="str">
        <f>HYPERLINK("http://www.tipdoc.de/grafik/asyl/Gesundheitsheft_Asyl.pdf","x")</f>
        <v>x</v>
      </c>
      <c r="FH147" s="111"/>
      <c r="FI147" s="111"/>
      <c r="FJ147" s="112"/>
      <c r="FK147" s="112" t="str">
        <f>HYPERLINK("http://www.rki.de/DE/Content/Infekt/Impfen/Materialien/Downloads-Impfkalender/Impfkalender_Russisch.pdf?__blob=publicationFile","x")</f>
        <v>x</v>
      </c>
      <c r="FL147" s="112" t="str">
        <f>HYPERLINK("http://www.ethno-medizinisches-zentrum.de/images/PDF-Files/impfwegweiser_russisch_2013_online.pdf","x")</f>
        <v>x</v>
      </c>
      <c r="FM147" s="112"/>
      <c r="FN147" s="112" t="str">
        <f>HYPERLINK("http://www.rki.de/DE/Content/Infekt/Impfen/Materialien/Glossar-Downloads/glossar-de-russisch.pdf?__blob=publicationFile","x")</f>
        <v>x</v>
      </c>
      <c r="FO147" s="112" t="str">
        <f>HYPERLINK("http://tvoyashkola10.ru/img/VPD-Signs,-symptoms-and-complications-RUS.pdf","x")</f>
        <v>x</v>
      </c>
      <c r="FP147" s="112" t="str">
        <f>HYPERLINK("http://www.rki.de/DE/Content/Infekt/Impfen/Materialien/Downloads-MMR/MMR-Impfinfo-russisch.pdf?__blob=publicationFile","x")</f>
        <v>x</v>
      </c>
      <c r="FQ147" s="112"/>
      <c r="FR147" s="112" t="str">
        <f>HYPERLINK("http://www.rki.de/DE/Content/Infekt/Impfen/Materialien/Downloads_HepA/Aufklaerung_HAV-Impfung_Russisch.pdf?__blob=publicationFile","x")</f>
        <v>x</v>
      </c>
      <c r="FS147" s="112" t="str">
        <f>HYPERLINK("http://www.rki.de/DE/Content/Infekt/Impfen/Materialien/Downloads_Pneumokokken/Aufklaerung_Pneumo-Impfung_Russisch.pdf?__blob=publicationFile","x")</f>
        <v>x</v>
      </c>
      <c r="FT147" s="112" t="str">
        <f>HYPERLINK("http://www.rki.de/DE/Content/Infekt/Impfen/Materialien/Downloads-DTaPIPVHibHepB/DTaPIPVHibHepB-russisch.pdf?__blob=publicationFile","x")</f>
        <v>x</v>
      </c>
      <c r="FU147" s="112" t="str">
        <f>HYPERLINK("http://www.rki.de/DE/Content/Infekt/Impfen/Materialien/Downloads-Varizellen/Varizellen-Impfinfo-russisch.pdf;jsessionid=65B697F4EE7EDA8A1ED9E2C4CD6C74EC.2_cid363?__blob=publicationFile","x")</f>
        <v>x</v>
      </c>
      <c r="FV147" s="112" t="str">
        <f>HYPERLINK("http://www.rki.de/DE/Content/Infekt/Impfen/Materialien/Downloads-Tdap-IPV/Tdap-IPV-russisch.pdf?__blob=publicationFile","x")</f>
        <v>x</v>
      </c>
      <c r="FW147" s="112" t="str">
        <f>HYPERLINK("http://www.rki.de/DE/Content/Infekt/Impfen/Materialien/Downloads-Influenza_nasal/Influenza_nasal-russisch.pdf?__blob=publicationFile","x")</f>
        <v>x</v>
      </c>
      <c r="FX147" s="112" t="str">
        <f>HYPERLINK("http://www.medical-tribune.de/fileadmin/PDF/PI_Arthrose_russ.pdf","x")</f>
        <v>x</v>
      </c>
      <c r="FY147" s="112" t="str">
        <f>HYPERLINK("http://www.medical-tribune.de/fileadmin/PDF/Astma_russisch.pdf","x")</f>
        <v>x</v>
      </c>
      <c r="FZ147" s="112" t="str">
        <f>HYPERLINK("http://www.medical-tribune.de/fileadmin/PDF/Bluthochdruck_russisch.pdf","x")</f>
        <v>x</v>
      </c>
      <c r="GA147" s="112" t="str">
        <f>HYPERLINK("http://www.medical-tribune.de/fileadmin/PDF/Cholesterin_russisch.pdf","x")</f>
        <v>x</v>
      </c>
      <c r="GB147" s="112" t="str">
        <f>HYPERLINK("http://www.medical-tribune.de/fileadmin/PDF/COPD-Bronchitis-russ.pdf","x")</f>
        <v>x</v>
      </c>
      <c r="GC147" s="112" t="str">
        <f>HYPERLINK("http://www.medical-tribune.de/fileadmin/PDF/PI_Demenz_russ.pdf","x")</f>
        <v>x</v>
      </c>
      <c r="GD147" s="112" t="str">
        <f>HYPERLINK("http://www.ethno-medizinisches-zentrum.de/images/PDF-Files/lf_diabete_russisch.pdf","x")</f>
        <v>x</v>
      </c>
      <c r="GE147" s="112" t="str">
        <f>HYPERLINK("http://www.medical-tribune.de/fileadmin/PDF/PI_Divertikel_russ.pdf","x")</f>
        <v>x</v>
      </c>
      <c r="GF147" s="112" t="str">
        <f>HYPERLINK("http://www.medical-tribune.de/fileadmin/PDF/PAVK_russ.pdf","x")</f>
        <v>x</v>
      </c>
      <c r="GG147" s="112" t="str">
        <f>HYPERLINK("http://www.medical-tribune.de/fileadmin/PDF/PI_Gallensteine_russ.pdf","x")</f>
        <v>x</v>
      </c>
      <c r="GH147" s="112" t="str">
        <f>HYPERLINK("http://www.medical-tribune.de/fileadmin/PDF/Gicht_russisch.pdf","x")</f>
        <v>x</v>
      </c>
      <c r="GI147" s="112" t="str">
        <f>HYPERLINK("http://www.tipdoc.de/bus/pdf/hepatitis/Hep_B_Webseite.pdf","x")</f>
        <v>x</v>
      </c>
      <c r="GJ147" s="112" t="str">
        <f>HYPERLINK("http://www.tipdoc.de/bus/pdf/hepatitis/Hep_C_Webseite.pdf","x")</f>
        <v>x</v>
      </c>
      <c r="GK147" s="112" t="str">
        <f>HYPERLINK("http://www.tipdoc.de/bus/pdf/hiv/HIV%20SRF_Webseite.pdf","x")</f>
        <v>x</v>
      </c>
      <c r="GL147" s="111"/>
      <c r="GM147" s="112" t="str">
        <f>HYPERLINK("http://www.rki.de/DE/Content/Infekt/Impfen/Materialien/Downloads-Influenza/Influenza-russisch.pdf?__blob=publicationFile","x")</f>
        <v>x</v>
      </c>
      <c r="GN147" s="112" t="str">
        <f>HYPERLINK("http://www.medical-tribune.de/fileadmin/PDF/PI_Erkaeltung_russ.pdf","x")</f>
        <v>x</v>
      </c>
      <c r="GO147" s="112"/>
      <c r="GP147" s="112" t="str">
        <f>HYPERLINK("http://www.tipdoc.de/grafik/pdf/kopflaeuse/Kopflaeuse_RUSS.pdf","x")</f>
        <v>x</v>
      </c>
      <c r="GQ147" s="112" t="str">
        <f>HYPERLINK("http://www.bing.com/search?q=Medical+tribune+KHK+russ&amp;qs=n&amp;form=QBRE&amp;pq=medical+tribune+khk+russ&amp;sc=0-16&amp;sp=-1&amp;sk=&amp;cvid=9C7440E0A0144B029D31F2004BF1F219","x")</f>
        <v>x</v>
      </c>
      <c r="GR147" s="112" t="str">
        <f>HYPERLINK("http://www.tipdoc.com/bus/pdf/kraetze/tipdoc_Scabies_RUSS.pdf","x")</f>
        <v>x</v>
      </c>
      <c r="GS147" s="112" t="str">
        <f>HYPERLINK("http://www.tipdoc.com/bus/pdf/MagenDarmHaende/MagenDarmHaende_RUSS.pdf","x")</f>
        <v>x</v>
      </c>
      <c r="GT147" s="112" t="str">
        <f>HYPERLINK("http://www.medical-tribune.de/fileadmin/PDF/Migraene_russ.pdf","x")</f>
        <v>x</v>
      </c>
      <c r="GU147" s="112" t="str">
        <f>HYPERLINK("http://www.medical-tribune.de/fileadmin/PDF/Rueckenschmerzen_russisch.pdf","x")</f>
        <v>x</v>
      </c>
      <c r="GV147" s="112" t="str">
        <f>HYPERLINK("http://www.medical-tribune.de/fileadmin/PDF/Schlafapnoe_russisch.pdf","x")</f>
        <v>x</v>
      </c>
      <c r="GW147" s="112" t="str">
        <f>HYPERLINK("http://www.medical-tribune.de/fileadmin/PDF/Schlafstoerungen_russisch.pdf","x")</f>
        <v>x</v>
      </c>
      <c r="GX147" s="112" t="str">
        <f>HYPERLINK("http://www.medical-tribune.de/fileadmin/PDF/Schwindel_russisch.pdf","x")</f>
        <v>x</v>
      </c>
      <c r="GY147" s="112" t="str">
        <f>HYPERLINK("http://www.medical-tribune.de/fileadmin/PDF/Sodbrennen_russisch.pdf","x")</f>
        <v>x</v>
      </c>
      <c r="GZ147" s="112" t="str">
        <f>HYPERLINK("http://www.medical-tribune.de/fileadmin/PDF/Sportverletzungen_russisch.pdf","x")</f>
        <v>x</v>
      </c>
      <c r="HA147" s="112" t="str">
        <f>HYPERLINK("http://www.medical-tribune.de/fileadmin/PDF/Thrombose_russisch.pdf","x")</f>
        <v>x</v>
      </c>
      <c r="HB147" s="112" t="str">
        <f>HYPERLINK("http://www.medical-tribune.de/fileadmin/PDF/Verstopfung_russisch.pdf","x")</f>
        <v>x</v>
      </c>
      <c r="HC147" s="112" t="str">
        <f t="shared" si="71"/>
        <v>x</v>
      </c>
      <c r="HD147" s="111"/>
      <c r="HE147" s="111"/>
      <c r="HF147" s="111"/>
      <c r="HG147" s="111"/>
      <c r="HH147" s="111"/>
      <c r="HI147" s="112" t="str">
        <f>HYPERLINK("http://www.bvkm.de/fileadmin/web_data/Behinderung_und_Migation_russisch_2014.pdf","x")</f>
        <v>x</v>
      </c>
      <c r="HJ147" s="111"/>
      <c r="HK147" s="112"/>
      <c r="HL147" s="112" t="str">
        <f>HYPERLINK("http://www.ethno-medizinisches-zentrum.de/images/PDF-Files/lf_depression_rus.pdf","x")</f>
        <v>x</v>
      </c>
      <c r="HM147" s="112"/>
      <c r="HN147" s="112"/>
      <c r="HO147" s="112"/>
      <c r="HP147" s="112"/>
      <c r="HQ147" s="112"/>
      <c r="HR147" s="112"/>
      <c r="HS147" s="112"/>
      <c r="HT147" s="112"/>
      <c r="HU147" s="112"/>
      <c r="HV147" s="112"/>
      <c r="HW147" s="112" t="str">
        <f>HYPERLINK("http://www.medical-tribune.de/fileadmin/PDF/RestlessLegs_russ.pdf","x")</f>
        <v>x</v>
      </c>
      <c r="HX147" s="112" t="str">
        <f>HYPERLINK("http://www.bkk-psychisch-gesund.de/fileadmin/user_upload/bkk-psychisch-gesund.de/PDFs/Migrantenwegweiser_Psychotherpie_russisch.pdf","x")</f>
        <v>x</v>
      </c>
      <c r="HY147" s="112" t="str">
        <f t="shared" si="72"/>
        <v>x</v>
      </c>
      <c r="HZ147" s="112" t="str">
        <f t="shared" si="73"/>
        <v>x</v>
      </c>
      <c r="IA147" s="112"/>
      <c r="IB147" s="112"/>
      <c r="IC147" s="112"/>
      <c r="ID147" s="112"/>
      <c r="IE147" s="112"/>
      <c r="IF147" s="112"/>
      <c r="IG147" s="112"/>
      <c r="IH147" s="112" t="str">
        <f>HYPERLINK("http://www.ethno-medizinisches-zentrum.de/images/PDF-Files/lf_mediensucht_ru_geschutzt.pdf","x")</f>
        <v>x</v>
      </c>
      <c r="II147" s="112" t="str">
        <f>HYPERLINK("http://www.caritas.de/hilfeundberatung/onlineberatung/suchtberatung/haeufiggestelltefragensucht/haeufiggestelltefragen-sucht","x")</f>
        <v>x</v>
      </c>
      <c r="IJ147" s="112" t="str">
        <f>HYPERLINK("http://www.bzga.de/infomaterialien/suchtvorbeugung/","x")</f>
        <v>x</v>
      </c>
      <c r="IK147" s="112" t="str">
        <f>HYPERLINK("http://www.bamf.de/SharedDocs/Anlagen/RU/Publikationen/Flyer/Lassen-Sie-Sich-Beraten/lassen-sie-sich-beraten.pdf?__blob=publicationFile","x")</f>
        <v>x</v>
      </c>
      <c r="IL147" s="112" t="str">
        <f>HYPERLINK("http://www.bamf.de/SharedDocs/Anlagen/DE/Publikationen/Flyer/flyer-erstorientierung-asylsuchende_russisch.pdf?__blob=publicationFile","x")</f>
        <v>x</v>
      </c>
      <c r="IM147" s="111"/>
      <c r="IN147" s="112" t="str">
        <f>HYPERLINK("https://www.bamf.de/SharedDocs/Anlagen/RU/Publikationen/Broschueren/willkommen-in-deutschland-ru.pdf?__blob=publicationFile","x")</f>
        <v>x</v>
      </c>
      <c r="IO147" s="112"/>
      <c r="IP147" s="111"/>
      <c r="IQ147" s="112" t="str">
        <f>HYPERLINK("http://www.bamf.de/SharedDocs/Anlagen/RU/Publikationen/Flyer/Lernen-Sie-Deutsch/lernen-sie-deutsch.pdf?__blob=publicationFile","x")</f>
        <v>x</v>
      </c>
      <c r="IR147" s="112"/>
      <c r="IS147" s="111"/>
      <c r="IT147" s="111"/>
      <c r="IU147" s="111"/>
      <c r="IV147" s="112" t="str">
        <f>HYPERLINK("http://www.asyl.net/fileadmin/user_upload/infoblatt_anhoerung/Infoblatt_2015_russ_fin.pdf","x")</f>
        <v>x</v>
      </c>
      <c r="IW147" s="112"/>
      <c r="IX147" s="112" t="str">
        <f>HYPERLINK("http://www.berlin.de/labo/willkommen-in-berlin/service/downloads/artikel.273193.php","x")</f>
        <v>x</v>
      </c>
      <c r="IY147" s="112" t="str">
        <f>HYPERLINK("http://www.bamf.de/SharedDocs/Anlagen/RU/Publikationen/Broschueren/broschuere-eat-a4.pdf?__blob=publicationFile","x")</f>
        <v>x</v>
      </c>
      <c r="IZ147" s="111"/>
      <c r="JA147" s="112" t="str">
        <f>HYPERLINK("http://fluechtlingsrat-bw.de/informationen-fuer-fluechtlinge.html","x")</f>
        <v>x</v>
      </c>
      <c r="JB147" s="111"/>
      <c r="JC147" s="112"/>
      <c r="JD147" s="111"/>
      <c r="JE147" s="112"/>
      <c r="JF147" s="112"/>
      <c r="JG147" s="112" t="str">
        <f>HYPERLINK("http://www.bamf.de/SharedDocs/Anlagen/RU/Publikationen/Flyer/Ehegattennachzug/ehegattennachzug.pdf?__blob=publicationFile","x")</f>
        <v>x</v>
      </c>
      <c r="JH147" s="112"/>
      <c r="JI147" s="111"/>
      <c r="JJ147" s="112"/>
      <c r="JK147" s="112"/>
      <c r="JL147" s="112" t="str">
        <f>HYPERLINK("http://www.kub-berlin.org/formularprojekt/de/russisch-antraege-und-anlagen/","x")</f>
        <v>x</v>
      </c>
      <c r="JM147" s="112" t="str">
        <f>HYPERLINK("https://www.arbeitsagentur.de/web/content/DE/Formulare/Detail/index.htm?dfContentId=L6019022DSTBAI485740","x")</f>
        <v>x</v>
      </c>
      <c r="JN147" s="112"/>
      <c r="JO147" s="112"/>
      <c r="JP147" s="112"/>
      <c r="JQ147" s="112"/>
      <c r="JR147" s="112" t="str">
        <f>HYPERLINK("http://www.ibla-germany.de/merkblaetter.php","x")</f>
        <v>x</v>
      </c>
      <c r="JS147" s="112"/>
      <c r="JT147" s="112" t="str">
        <f>HYPERLINK("http://www.b-umf.de/images/willkommensbroschurerussisch-web.pdf","x")</f>
        <v>x</v>
      </c>
      <c r="JU147" s="111"/>
      <c r="JV147" s="111"/>
      <c r="JW147" s="112"/>
      <c r="JX147" s="112"/>
      <c r="JY147" s="112"/>
      <c r="JZ147" s="112"/>
      <c r="KA147" s="112"/>
      <c r="KB147" s="112" t="str">
        <f>HYPERLINK("http://www.refugeeguide.de/dl/RefugeeGuide_ru_1207.pdf","x")</f>
        <v>x</v>
      </c>
      <c r="KC147" s="111"/>
      <c r="KD147" s="112" t="str">
        <f>HYPERLINK("http://www.wedel.de/fileadmin/user_upload/media/pdf/Rathaus_und_Politik/20160118_PM_Broschuere.pdf","x")</f>
        <v>x</v>
      </c>
      <c r="KE147" s="112"/>
      <c r="KF147" s="112" t="str">
        <f>HYPERLINK("http://sab.landtag.sachsen.de/dokumente/landtagskurier/Grundwerte-A5-international_web_08012016.pdf","x")</f>
        <v>x</v>
      </c>
      <c r="KG147" s="112"/>
      <c r="KH147" s="112"/>
      <c r="KI147" s="112"/>
      <c r="KJ147" s="112"/>
      <c r="KK147" s="112"/>
      <c r="KL147" s="112"/>
      <c r="KM147" s="112"/>
      <c r="KN147" s="112"/>
      <c r="KO147" s="112"/>
      <c r="KP147" s="112"/>
      <c r="KQ147" s="112"/>
      <c r="KR147" s="112"/>
      <c r="KS147" s="112"/>
      <c r="KT147" s="112"/>
      <c r="KU147" s="112"/>
      <c r="KV147" s="112"/>
      <c r="KW147" s="112"/>
      <c r="KX147" s="112"/>
      <c r="KY147" s="112"/>
      <c r="KZ147" s="112"/>
      <c r="LA147" s="112"/>
      <c r="LB147" s="112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2" t="str">
        <f>HYPERLINK("http://www.rki.de/DE/Content/Infekt/IfSG/Belehrungsbogen/belehrungsbogen_lebensmittel_russisch.pdf?__blob=publicationFile","x")</f>
        <v>x</v>
      </c>
      <c r="ME147" s="111"/>
      <c r="MF147" s="111"/>
      <c r="MG147" s="111"/>
      <c r="MH147" s="111"/>
      <c r="MI147" s="112" t="str">
        <f>HYPERLINK("http://www.kindersicherheit.de/pdf/2012_poster_achtunggiftig_8sprachig.pdf","x")</f>
        <v>x</v>
      </c>
    </row>
    <row r="148" spans="1:347" x14ac:dyDescent="0.25">
      <c r="A148" s="102" t="s">
        <v>82</v>
      </c>
      <c r="B148" s="127" t="s">
        <v>472</v>
      </c>
      <c r="C148" s="102"/>
      <c r="D148" s="102"/>
      <c r="E148" s="102"/>
      <c r="F148" s="102"/>
      <c r="G148" s="102"/>
      <c r="H148" s="102"/>
      <c r="I148" s="102"/>
      <c r="J148" s="102"/>
      <c r="K148" s="103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2" t="str">
        <f>HYPERLINK("https://www.vrsinfo.de/fileadmin/Dateien/downloadcenter/Folder_MobilPassTicket_Refugees01012016.pdf","x")</f>
        <v>x</v>
      </c>
      <c r="AL148" s="112" t="str">
        <f>HYPERLINK("https://www.vrsinfo.de/fileadmin/Dateien/downloadcenter/Willkommen_im_VRS2016_Druck.pdf","x")</f>
        <v>x</v>
      </c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3"/>
      <c r="AW148" s="114" t="str">
        <f t="shared" si="55"/>
        <v>x</v>
      </c>
      <c r="AX148" s="114" t="str">
        <f t="shared" si="56"/>
        <v>x</v>
      </c>
      <c r="AY148" s="111"/>
      <c r="AZ148" s="111"/>
      <c r="BA148" s="112" t="str">
        <f t="shared" si="57"/>
        <v>x</v>
      </c>
      <c r="BB148" s="112" t="str">
        <f t="shared" si="58"/>
        <v>x</v>
      </c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2" t="str">
        <f t="shared" si="59"/>
        <v>x</v>
      </c>
      <c r="BT148" s="112"/>
      <c r="BU148" s="111"/>
      <c r="BV148" s="112" t="str">
        <f t="shared" si="60"/>
        <v>x</v>
      </c>
      <c r="BW148" s="112"/>
      <c r="BX148" s="112"/>
      <c r="BY148" s="112"/>
      <c r="BZ148" s="112"/>
      <c r="CA148" s="112" t="str">
        <f t="shared" si="61"/>
        <v>x</v>
      </c>
      <c r="CB148" s="112" t="str">
        <f t="shared" si="62"/>
        <v>x</v>
      </c>
      <c r="CC148" s="112" t="str">
        <f t="shared" si="63"/>
        <v>x</v>
      </c>
      <c r="CD148" s="112"/>
      <c r="CE148" s="112"/>
      <c r="CF148" s="111"/>
      <c r="CG148" s="111"/>
      <c r="CH148" s="111"/>
      <c r="CI148" s="111"/>
      <c r="CJ148" s="111"/>
      <c r="CK148" s="112" t="str">
        <f t="shared" si="64"/>
        <v>x</v>
      </c>
      <c r="CL148" s="112"/>
      <c r="CM148" s="112"/>
      <c r="CN148" s="112"/>
      <c r="CO148" s="112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2"/>
      <c r="DA148" s="112"/>
      <c r="DB148" s="112"/>
      <c r="DC148" s="115"/>
      <c r="DD148" s="112"/>
      <c r="DE148" s="112"/>
      <c r="DF148" s="112" t="str">
        <f t="shared" si="65"/>
        <v>x</v>
      </c>
      <c r="DG148" s="115" t="str">
        <f t="shared" si="66"/>
        <v>x</v>
      </c>
      <c r="DH148" s="112" t="str">
        <f t="shared" si="67"/>
        <v>x</v>
      </c>
      <c r="DI148" s="112" t="str">
        <f t="shared" si="68"/>
        <v>x</v>
      </c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8"/>
      <c r="EQ148" s="118"/>
      <c r="ER148" s="111"/>
      <c r="ES148" s="111"/>
      <c r="ET148" s="111"/>
      <c r="EU148" s="111"/>
      <c r="EV148" s="111"/>
      <c r="EW148" s="112" t="str">
        <f t="shared" si="69"/>
        <v>x</v>
      </c>
      <c r="EX148" s="111"/>
      <c r="EY148" s="111"/>
      <c r="EZ148" s="111"/>
      <c r="FA148" s="111"/>
      <c r="FB148" s="111"/>
      <c r="FC148" s="111"/>
      <c r="FD148" s="112" t="str">
        <f t="shared" si="70"/>
        <v>x</v>
      </c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2" t="str">
        <f t="shared" si="71"/>
        <v>x</v>
      </c>
      <c r="HD148" s="112"/>
      <c r="HE148" s="112"/>
      <c r="HF148" s="112"/>
      <c r="HG148" s="112"/>
      <c r="HH148" s="112"/>
      <c r="HI148" s="112"/>
      <c r="HJ148" s="112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2" t="str">
        <f t="shared" si="72"/>
        <v>x</v>
      </c>
      <c r="HZ148" s="112" t="str">
        <f t="shared" si="73"/>
        <v>x</v>
      </c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1"/>
      <c r="JF148" s="111"/>
      <c r="JG148" s="111"/>
      <c r="JH148" s="111"/>
      <c r="JI148" s="111"/>
      <c r="JJ148" s="111"/>
      <c r="JK148" s="111"/>
      <c r="JL148" s="111"/>
      <c r="JM148" s="111"/>
      <c r="JN148" s="111"/>
      <c r="JO148" s="111"/>
      <c r="JP148" s="111"/>
      <c r="JQ148" s="111"/>
      <c r="JR148" s="111"/>
      <c r="JS148" s="111"/>
      <c r="JT148" s="111"/>
      <c r="JU148" s="111"/>
      <c r="JV148" s="111"/>
      <c r="JW148" s="111"/>
      <c r="JX148" s="111"/>
      <c r="JY148" s="111"/>
      <c r="JZ148" s="111"/>
      <c r="KA148" s="111"/>
      <c r="KB148" s="111"/>
      <c r="KC148" s="111"/>
      <c r="KD148" s="111"/>
      <c r="KE148" s="111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  <c r="MI148" s="111"/>
    </row>
    <row r="149" spans="1:347" x14ac:dyDescent="0.25">
      <c r="A149" s="102" t="s">
        <v>46</v>
      </c>
      <c r="B149" s="127" t="s">
        <v>0</v>
      </c>
      <c r="C149" s="102"/>
      <c r="D149" s="102"/>
      <c r="E149" s="102"/>
      <c r="F149" s="102"/>
      <c r="G149" s="102"/>
      <c r="H149" s="102"/>
      <c r="I149" s="102"/>
      <c r="J149" s="102"/>
      <c r="K149" s="103"/>
      <c r="L149" s="111"/>
      <c r="M149" s="111"/>
      <c r="N149" s="111"/>
      <c r="O149" s="111"/>
      <c r="P149" s="112" t="str">
        <f>HYPERLINK("https://willkommensteamelmshorn.files.wordpress.com/2015/11/sortieranleitung_pinneberg_2015_albanisch.pdf","x")</f>
        <v>x</v>
      </c>
      <c r="Q149" s="111"/>
      <c r="R149" s="111"/>
      <c r="S149" s="111"/>
      <c r="T149" s="111"/>
      <c r="U149" s="111"/>
      <c r="V149" s="111"/>
      <c r="W149" s="112"/>
      <c r="X149" s="111"/>
      <c r="Y149" s="112"/>
      <c r="Z149" s="112"/>
      <c r="AA149" s="112"/>
      <c r="AB149" s="112"/>
      <c r="AC149" s="112"/>
      <c r="AD149" s="112"/>
      <c r="AE149" s="112"/>
      <c r="AF149" s="112"/>
      <c r="AG149" s="112" t="str">
        <f>HYPERLINK("http://asyl-in-moenchengladbach.de/wp-content/uploads/2015/11/100711-Flyer_alban.pdf","x")</f>
        <v>x</v>
      </c>
      <c r="AH149" s="111"/>
      <c r="AI149" s="111"/>
      <c r="AJ149" s="111"/>
      <c r="AK149" s="111"/>
      <c r="AL149" s="111"/>
      <c r="AM149" s="111"/>
      <c r="AN149" s="111"/>
      <c r="AO149" s="112"/>
      <c r="AP149" s="112"/>
      <c r="AQ149" s="112"/>
      <c r="AR149" s="112"/>
      <c r="AS149" s="112"/>
      <c r="AT149" s="112"/>
      <c r="AU149" s="112"/>
      <c r="AV149" s="113"/>
      <c r="AW149" s="114" t="str">
        <f t="shared" si="55"/>
        <v>x</v>
      </c>
      <c r="AX149" s="114" t="str">
        <f t="shared" si="56"/>
        <v>x</v>
      </c>
      <c r="AY149" s="111"/>
      <c r="AZ149" s="111"/>
      <c r="BA149" s="112" t="str">
        <f t="shared" si="57"/>
        <v>x</v>
      </c>
      <c r="BB149" s="112" t="str">
        <f t="shared" si="58"/>
        <v>x</v>
      </c>
      <c r="BC149" s="111"/>
      <c r="BD149" s="111"/>
      <c r="BE149" s="111"/>
      <c r="BF149" s="111"/>
      <c r="BG149" s="111"/>
      <c r="BH149" s="111"/>
      <c r="BI149" s="112" t="str">
        <f>HYPERLINK("https://www.advanced-online.eu/downloads/RefugeePhrasebookCards_German-Albanian.pdf","x")</f>
        <v>x</v>
      </c>
      <c r="BJ149" s="111"/>
      <c r="BK149" s="111"/>
      <c r="BL149" s="112" t="str">
        <f>HYPERLINK("http://www.bundessprachenamt.de/deutsch/wir_ueber_uns/nachrichten/2015/20151103/Verständigungshilfe_Albanisch_26_11_2015.pdf","x")</f>
        <v>x</v>
      </c>
      <c r="BM149" s="112" t="str">
        <f>HYPERLINK("http://www.frnrw.de/images/Aus_den_Initiativen/Ehrenamtler/2015/Dictionary_x10_print-2.pdf","x")</f>
        <v>x</v>
      </c>
      <c r="BN149" s="111"/>
      <c r="BO149" s="111"/>
      <c r="BP149" s="111"/>
      <c r="BQ149" s="111"/>
      <c r="BR149" s="111"/>
      <c r="BS149" s="112" t="str">
        <f t="shared" si="59"/>
        <v>x</v>
      </c>
      <c r="BT149" s="112"/>
      <c r="BU149" s="111"/>
      <c r="BV149" s="112" t="str">
        <f t="shared" si="60"/>
        <v>x</v>
      </c>
      <c r="BW149" s="112" t="str">
        <f>HYPERLINK("http://www.welcomegrooves.de/wp-content/uploads/2015/10/welcomegrooves_DE-ALBANISCH.pdf","x")</f>
        <v>x</v>
      </c>
      <c r="BX149" s="112"/>
      <c r="BY149" s="112"/>
      <c r="BZ149" s="112" t="str">
        <f>HYPERLINK("http://fluechtlingshilfe-nettetal.de/ausbildung/video-sprachkurse-deutsch-fuer-fluechtlinge/video-sprachkurs-albanisch-deutsch/","x")</f>
        <v>x</v>
      </c>
      <c r="CA149" s="112" t="str">
        <f t="shared" si="61"/>
        <v>x</v>
      </c>
      <c r="CB149" s="112" t="str">
        <f t="shared" si="62"/>
        <v>x</v>
      </c>
      <c r="CC149" s="112" t="str">
        <f t="shared" si="63"/>
        <v>x</v>
      </c>
      <c r="CD149" s="112"/>
      <c r="CE149" s="112"/>
      <c r="CF149" s="111"/>
      <c r="CG149" s="111"/>
      <c r="CH149" s="111"/>
      <c r="CI149" s="111"/>
      <c r="CJ149" s="111"/>
      <c r="CK149" s="112" t="str">
        <f t="shared" si="64"/>
        <v>x</v>
      </c>
      <c r="CL149" s="112"/>
      <c r="CM149" s="112"/>
      <c r="CN149" s="112"/>
      <c r="CO149" s="112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2"/>
      <c r="DA149" s="112" t="str">
        <f>HYPERLINK("http://sichere-orte-schaffen.de/wp-content/uploads/Minibrosch_Fluechtlinge_multilang.pdf","x")</f>
        <v>x</v>
      </c>
      <c r="DB149" s="112"/>
      <c r="DC149" s="115"/>
      <c r="DD149" s="112"/>
      <c r="DE149" s="112"/>
      <c r="DF149" s="112" t="str">
        <f t="shared" si="65"/>
        <v>x</v>
      </c>
      <c r="DG149" s="115" t="str">
        <f t="shared" si="66"/>
        <v>x</v>
      </c>
      <c r="DH149" s="112" t="str">
        <f t="shared" si="67"/>
        <v>x</v>
      </c>
      <c r="DI149" s="112" t="str">
        <f t="shared" si="68"/>
        <v>x</v>
      </c>
      <c r="DJ149" s="112" t="str">
        <f>HYPERLINK("http://www.bibliomedia.ch/de/angebote/dokumente/Glossar_albanisch.pdf","x")</f>
        <v>x</v>
      </c>
      <c r="DK149" s="112"/>
      <c r="DL149" s="112"/>
      <c r="DM149" s="112"/>
      <c r="DN149" s="112"/>
      <c r="DO149" s="112"/>
      <c r="DP149" s="111"/>
      <c r="DQ149" s="111"/>
      <c r="DR149" s="111"/>
      <c r="DS149" s="112" t="str">
        <f>HYPERLINK("http://bildung.koeln.de/materialbibliothek/download.php?idx=00d90bf2e613ea68bb3a6eb10941e749","x")</f>
        <v>x</v>
      </c>
      <c r="DT149" s="112" t="str">
        <f>HYPERLINK("http://bildung.koeln.de/materialbibliothek/download.php?idx=7fe9bcc33373e31f48b8dc613c66ad26","x")</f>
        <v>x</v>
      </c>
      <c r="DU149" s="112"/>
      <c r="DV149" s="111"/>
      <c r="DW149" s="111"/>
      <c r="DX149" s="111"/>
      <c r="DY149" s="111"/>
      <c r="DZ149" s="111"/>
      <c r="EA149" s="111"/>
      <c r="EB149" s="112"/>
      <c r="EC149" s="111"/>
      <c r="ED149" s="111"/>
      <c r="EE149" s="111"/>
      <c r="EF149" s="111"/>
      <c r="EG149" s="111"/>
      <c r="EH149" s="111"/>
      <c r="EI149" s="111"/>
      <c r="EJ149" s="112"/>
      <c r="EK149" s="112"/>
      <c r="EL149" s="111"/>
      <c r="EM149" s="112" t="str">
        <f>HYPERLINK("http://www.kvs-sachsen.de/fileadmin/img/Mitglieder/Asylbewerber/Allg-Informationen/Anlage_1_Albanisch_LEK.pdf","x")</f>
        <v>x</v>
      </c>
      <c r="EN149" s="111"/>
      <c r="EO149" s="111"/>
      <c r="EP149" s="117" t="str">
        <f>HYPERLINK("http://www.medi-bild.de/pdf/anamnese/Welche_Sprache.pdf","x")</f>
        <v>x</v>
      </c>
      <c r="EQ149" s="118"/>
      <c r="ER149" s="112" t="str">
        <f>HYPERLINK("http://www.kvs-sachsen.de/fileadmin/img/Mitglieder/Asylbewerber/Allg-Informationen/Anlagen_2-1_2-2_Albanisch_LEK.pdf","x")</f>
        <v>x</v>
      </c>
      <c r="ES149" s="112"/>
      <c r="ET149" s="112"/>
      <c r="EU149" s="111"/>
      <c r="EV149" s="112" t="str">
        <f>HYPERLINK("http://www.adler-apotheke-hh.de/fileadmin/user_upload/PDF-Dateien/Dosierzettel_mehrsprachig_AUF_0_.pdf","x")</f>
        <v>x</v>
      </c>
      <c r="EW149" s="112" t="str">
        <f t="shared" si="69"/>
        <v>x</v>
      </c>
      <c r="EX149" s="111"/>
      <c r="EY149" s="111"/>
      <c r="EZ149" s="111"/>
      <c r="FA149" s="111"/>
      <c r="FB149" s="111"/>
      <c r="FC149" s="111"/>
      <c r="FD149" s="112" t="str">
        <f t="shared" si="70"/>
        <v>x</v>
      </c>
      <c r="FE149" s="112" t="str">
        <f>HYPERLINK("http://sghanstedt.elbnetz.com/ueber-uns/","x")</f>
        <v>x</v>
      </c>
      <c r="FF149" s="112" t="str">
        <f>HYPERLINK("http://www.fuhlenhagen.com/pdf_dateien/uebertzungshilfe_aerzte_mehrsprachig.pdf","x")</f>
        <v>x</v>
      </c>
      <c r="FG149" s="112" t="str">
        <f>HYPERLINK("http://www.tipdoc.de/grafik/asyl/Gesundheitsheft_Asyl.pdf","x")</f>
        <v>x</v>
      </c>
      <c r="FH149" s="111"/>
      <c r="FI149" s="111"/>
      <c r="FJ149" s="112"/>
      <c r="FK149" s="112" t="str">
        <f>HYPERLINK("http://www.rki.de/DE/Content/Infekt/Impfen/Materialien/Downloads-Impfkalender/Impfkalender_Albanisch.pdf?__blob=publicationFile","x")</f>
        <v>x</v>
      </c>
      <c r="FL149" s="112" t="str">
        <f>HYPERLINK("http://www.ethno-medizinisches-zentrum.de/images/PDF-Files/impfwegweiser_albanisch_2013_online.pdf","x")</f>
        <v>x</v>
      </c>
      <c r="FM149" s="112"/>
      <c r="FN149" s="112" t="str">
        <f>HYPERLINK("http://www.rki.de/DE/Content/Infekt/Impfen/Materialien/Glossar-Downloads/glossar-de-albanisch.pdf?__blob=publicationFile","x")</f>
        <v>x</v>
      </c>
      <c r="FO149" s="112"/>
      <c r="FP149" s="112" t="str">
        <f>HYPERLINK("http://www.rki.de/DE/Content/Infekt/Impfen/Materialien/Downloads-MMR/MMR-Impfinfo-albanisch.pdf?__blob=publicationFile","x")</f>
        <v>x</v>
      </c>
      <c r="FQ149" s="111"/>
      <c r="FR149" s="112" t="str">
        <f>HYPERLINK("http://www.rki.de/DE/Content/Infekt/Impfen/Materialien/Downloads_HepA/Aufklaerung_HAV-Impfung_albanisch.pdf?__blob=publicationFile","x")</f>
        <v>x</v>
      </c>
      <c r="FS149" s="112" t="str">
        <f>HYPERLINK("http://www.rki.de/DE/Content/Infekt/Impfen/Materialien/Downloads_Pneumokokken/Aufklaerung_Pneumo-Impfung_Albanisch.pdf?__blob=publicationFile","x")</f>
        <v>x</v>
      </c>
      <c r="FT149" s="112" t="str">
        <f>HYPERLINK("http://www.rki.de/DE/Content/Infekt/Impfen/Materialien/Downloads-DTaPIPVHibHepB/DTaPIPVHibHepB_albanisch.pdf?__blob=publicationFile","x")</f>
        <v>x</v>
      </c>
      <c r="FU14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49" s="112" t="str">
        <f>HYPERLINK("http://www.rki.de/DE/Content/Infekt/Impfen/Materialien/Downloads-Tdap-IPV/Tdap-IPV-albanisch.pdf?__blob=publicationFile","x")</f>
        <v>x</v>
      </c>
      <c r="FW149" s="112" t="str">
        <f>HYPERLINK("http://www.rki.de/DE/Content/Infekt/Impfen/Materialien/Downloads-Influenza_nasal/Influenza_nasal-albanisch.pdf?__blob=publicationFile","x")</f>
        <v>x</v>
      </c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2" t="str">
        <f>HYPERLINK("http://www.rki.de/DE/Content/Infekt/Impfen/Materialien/Downloads-Influenza/Influenza-albanisch.pdf?__blob=publicationFile","x")</f>
        <v>x</v>
      </c>
      <c r="GN149" s="111"/>
      <c r="GO149" s="111"/>
      <c r="GP149" s="112" t="str">
        <f>HYPERLINK("http://www.tipdoc.de/grafik/pdf/kopflaeuse/Kopflaeuse_ALBAN.pdf","x")</f>
        <v>x</v>
      </c>
      <c r="GQ149" s="112"/>
      <c r="GR149" s="112" t="str">
        <f>HYPERLINK("http://www.tipdoc.com/bus/pdf/kraetze/tipdoc_Scabies_ALBAN.pdf","x")</f>
        <v>x</v>
      </c>
      <c r="GS149" s="112" t="str">
        <f>HYPERLINK("http://www.tipdoc.com/bus/pdf/MagenDarmHaende/MagenDarmHaende_ALBAN.pdf","x")</f>
        <v>x</v>
      </c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2" t="str">
        <f t="shared" si="71"/>
        <v>x</v>
      </c>
      <c r="HD149" s="112" t="str">
        <f>HYPERLINK("https://www.zahnaerzte-wl.de/images/_PDF-suche/KZV_ZÄK/ENDSTAND_Ankreuzbogen_Ich_verstehe.pdf","x")</f>
        <v>x</v>
      </c>
      <c r="HE149" s="112" t="str">
        <f>HYPERLINK("https://www.zahnaerzte-wl.de/images/_PDF-suche/KZV_ZÄK/Anschreiben_albanisch.pdf","x")</f>
        <v>x</v>
      </c>
      <c r="HF149" s="112" t="str">
        <f>HYPERLINK("https://www.zahnaerzte-wl.de/images/_PDF-suche/KZV_ZÄK/Fragebogen_albanisch.pdf","x")</f>
        <v>x</v>
      </c>
      <c r="HG149" s="112" t="str">
        <f>HYPERLINK("https://www.zahnaerzte-wl.de/images/_PDF-suche/KZV_ZÄK/Fragebogen_albanisch.pdf","x")</f>
        <v>x</v>
      </c>
      <c r="HH149" s="112"/>
      <c r="HI149" s="112"/>
      <c r="HJ149" s="112"/>
      <c r="HK149" s="112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2" t="str">
        <f t="shared" si="72"/>
        <v>x</v>
      </c>
      <c r="HZ149" s="112" t="str">
        <f t="shared" si="73"/>
        <v>x</v>
      </c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2"/>
      <c r="IL149" s="111"/>
      <c r="IM149" s="111"/>
      <c r="IN149" s="111"/>
      <c r="IO149" s="111"/>
      <c r="IP149" s="111"/>
      <c r="IQ149" s="112"/>
      <c r="IR149" s="112"/>
      <c r="IS149" s="111"/>
      <c r="IT149" s="111"/>
      <c r="IU149" s="111"/>
      <c r="IV149" s="112" t="str">
        <f>HYPERLINK("http://www.asyl.net/fileadmin/user_upload/infoblatt_anhoerung/Infoblatt_2015_alb_fin.pdf","x")</f>
        <v>x</v>
      </c>
      <c r="IW149" s="112"/>
      <c r="IX149" s="112"/>
      <c r="IY149" s="112" t="str">
        <f>HYPERLINK("http://www.bamf.de/SharedDocs/Anlagen/DE/Publikationen/Broschueren/broschuere-eat-a4-sq-albanisch.pdf?__blob=publicationFile","x")</f>
        <v>x</v>
      </c>
      <c r="IZ149" s="111"/>
      <c r="JA149" s="111"/>
      <c r="JB149" s="111"/>
      <c r="JC149" s="112" t="str">
        <f>HYPERLINK("http://www.bamf.de/SharedDocs/Anlagen/DE/Publikationen/Flyer/20140110_ura2-kinderprojekt_alb.pdf?__blob=publicationFile","x")</f>
        <v>x</v>
      </c>
      <c r="JD149" s="111"/>
      <c r="JE149" s="112"/>
      <c r="JF149" s="112"/>
      <c r="JG149" s="111"/>
      <c r="JH149" s="111"/>
      <c r="JI149" s="111"/>
      <c r="JJ149" s="112"/>
      <c r="JK149" s="112"/>
      <c r="JL149" s="112"/>
      <c r="JM149" s="112"/>
      <c r="JN149" s="112"/>
      <c r="JO149" s="112"/>
      <c r="JP149" s="112"/>
      <c r="JQ149" s="112"/>
      <c r="JR149" s="112" t="str">
        <f>HYPERLINK("http://www.ibla-germany.de/merkblaetter.php","x")</f>
        <v>x</v>
      </c>
      <c r="JS149" s="112"/>
      <c r="JT149" s="111"/>
      <c r="JU149" s="111"/>
      <c r="JV149" s="111"/>
      <c r="JW149" s="112"/>
      <c r="JX149" s="112"/>
      <c r="JY149" s="112"/>
      <c r="JZ149" s="112"/>
      <c r="KA149" s="112"/>
      <c r="KB149" s="112" t="str">
        <f>HYPERLINK("http://www.refugeeguide.de/dl/RefugeeGuide_al_929.pdf","x")</f>
        <v>x</v>
      </c>
      <c r="KC149" s="111"/>
      <c r="KD149" s="111"/>
      <c r="KE149" s="112" t="str">
        <f>HYPERLINK("http://www.frauenrechte.de/online/images/downloads/allgemein/TDF_Flyer_Women_Men.pdf","x")</f>
        <v>x</v>
      </c>
      <c r="KF149" s="111"/>
      <c r="KG149" s="112"/>
      <c r="KH149" s="112"/>
      <c r="KI149" s="112"/>
      <c r="KJ149" s="112"/>
      <c r="KK149" s="112"/>
      <c r="KL149" s="112"/>
      <c r="KM149" s="112"/>
      <c r="KN149" s="112"/>
      <c r="KO149" s="112"/>
      <c r="KP149" s="112"/>
      <c r="KQ149" s="112"/>
      <c r="KR149" s="112"/>
      <c r="KS149" s="112"/>
      <c r="KT149" s="112"/>
      <c r="KU149" s="112"/>
      <c r="KV149" s="112"/>
      <c r="KW149" s="112"/>
      <c r="KX149" s="112"/>
      <c r="KY149" s="112"/>
      <c r="KZ149" s="112"/>
      <c r="LA149" s="112"/>
      <c r="LB149" s="112"/>
      <c r="LC149" s="111"/>
      <c r="LD149" s="111"/>
      <c r="LE149" s="111"/>
      <c r="LF149" s="111"/>
      <c r="LG149" s="111"/>
      <c r="LH149" s="111"/>
      <c r="LI149" s="111"/>
      <c r="LJ149" s="111"/>
      <c r="LK149" s="111"/>
      <c r="LL149" s="111"/>
      <c r="LM149" s="111"/>
      <c r="LN149" s="111"/>
      <c r="LO149" s="111"/>
      <c r="LP149" s="111"/>
      <c r="LQ149" s="111"/>
      <c r="LR149" s="111"/>
      <c r="LS149" s="111"/>
      <c r="LT149" s="111"/>
      <c r="LU149" s="111"/>
      <c r="LV149" s="111"/>
      <c r="LW149" s="111"/>
      <c r="LX149" s="111"/>
      <c r="LY149" s="111"/>
      <c r="LZ149" s="111"/>
      <c r="MA149" s="111"/>
      <c r="MB149" s="111"/>
      <c r="MC149" s="111"/>
      <c r="MD149" s="111"/>
      <c r="ME149" s="111"/>
      <c r="MF149" s="111"/>
      <c r="MG149" s="111"/>
      <c r="MH149" s="111"/>
      <c r="MI149" s="111"/>
    </row>
    <row r="150" spans="1:347" x14ac:dyDescent="0.25">
      <c r="A150" s="102" t="s">
        <v>46</v>
      </c>
      <c r="B150" s="127" t="s">
        <v>152</v>
      </c>
      <c r="C150" s="102"/>
      <c r="D150" s="102"/>
      <c r="E150" s="102"/>
      <c r="F150" s="102"/>
      <c r="G150" s="102"/>
      <c r="H150" s="102"/>
      <c r="I150" s="102"/>
      <c r="J150" s="102"/>
      <c r="K150" s="103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3"/>
      <c r="AW150" s="114" t="str">
        <f t="shared" si="55"/>
        <v>x</v>
      </c>
      <c r="AX150" s="114" t="str">
        <f t="shared" si="56"/>
        <v>x</v>
      </c>
      <c r="AY150" s="111"/>
      <c r="AZ150" s="111"/>
      <c r="BA150" s="112" t="str">
        <f t="shared" si="57"/>
        <v>x</v>
      </c>
      <c r="BB150" s="112" t="str">
        <f t="shared" si="58"/>
        <v>x</v>
      </c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2" t="str">
        <f t="shared" si="59"/>
        <v>x</v>
      </c>
      <c r="BT150" s="112"/>
      <c r="BU150" s="111"/>
      <c r="BV150" s="112" t="str">
        <f t="shared" si="60"/>
        <v>x</v>
      </c>
      <c r="BW150" s="112"/>
      <c r="BX150" s="112"/>
      <c r="BY150" s="112"/>
      <c r="BZ150" s="112"/>
      <c r="CA150" s="112" t="str">
        <f t="shared" si="61"/>
        <v>x</v>
      </c>
      <c r="CB150" s="112" t="str">
        <f t="shared" si="62"/>
        <v>x</v>
      </c>
      <c r="CC150" s="112" t="str">
        <f t="shared" si="63"/>
        <v>x</v>
      </c>
      <c r="CD150" s="112"/>
      <c r="CE150" s="112"/>
      <c r="CF150" s="111"/>
      <c r="CG150" s="111"/>
      <c r="CH150" s="111"/>
      <c r="CI150" s="111"/>
      <c r="CJ150" s="111"/>
      <c r="CK150" s="112" t="str">
        <f t="shared" si="64"/>
        <v>x</v>
      </c>
      <c r="CL150" s="112"/>
      <c r="CM150" s="112"/>
      <c r="CN150" s="112"/>
      <c r="CO150" s="112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2"/>
      <c r="DA150" s="112"/>
      <c r="DB150" s="112"/>
      <c r="DC150" s="115"/>
      <c r="DD150" s="112"/>
      <c r="DE150" s="112"/>
      <c r="DF150" s="112" t="str">
        <f t="shared" si="65"/>
        <v>x</v>
      </c>
      <c r="DG150" s="115" t="str">
        <f t="shared" si="66"/>
        <v>x</v>
      </c>
      <c r="DH150" s="112" t="str">
        <f t="shared" si="67"/>
        <v>x</v>
      </c>
      <c r="DI150" s="112" t="str">
        <f t="shared" si="68"/>
        <v>x</v>
      </c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8"/>
      <c r="EQ150" s="118"/>
      <c r="ER150" s="111"/>
      <c r="ES150" s="111"/>
      <c r="ET150" s="111"/>
      <c r="EU150" s="111"/>
      <c r="EV150" s="111"/>
      <c r="EW150" s="112" t="str">
        <f t="shared" si="69"/>
        <v>x</v>
      </c>
      <c r="EX150" s="111"/>
      <c r="EY150" s="111"/>
      <c r="EZ150" s="111"/>
      <c r="FA150" s="111"/>
      <c r="FB150" s="111"/>
      <c r="FC150" s="111"/>
      <c r="FD150" s="112" t="str">
        <f t="shared" si="70"/>
        <v>x</v>
      </c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2" t="str">
        <f t="shared" si="71"/>
        <v>x</v>
      </c>
      <c r="HD150" s="112" t="str">
        <f>HYPERLINK("https://www.zahnaerzte-wl.de/images/_PDF-suche/KZV_ZÄK/ENDSTAND_Ankreuzbogen_Ich_verstehe.pdf","x")</f>
        <v>x</v>
      </c>
      <c r="HE150" s="112" t="str">
        <f>HYPERLINK("https://www.zahnaerzte-wl.de/images/_PDF-suche/KZV_ZÄK/Anschreiben_Patienten_montenegrisch.pdf","x")</f>
        <v>x</v>
      </c>
      <c r="HF150" s="112" t="str">
        <f>HYPERLINK("https://www.zahnaerzte-wl.de/images/_PDF-suche/KZV_ZÄK/Fragebogen_montenegrisch.pdf","x")</f>
        <v>x</v>
      </c>
      <c r="HG150" s="112" t="str">
        <f>HYPERLINK("https://www.zahnaerzte-wl.de/images/_PDF-suche/KZV_ZÄK/Patientenerhebungsbogen_montenegrisch.pdf","x")</f>
        <v>x</v>
      </c>
      <c r="HH150" s="112"/>
      <c r="HI150" s="112"/>
      <c r="HJ150" s="112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2" t="str">
        <f t="shared" si="72"/>
        <v>x</v>
      </c>
      <c r="HZ150" s="112" t="str">
        <f t="shared" si="73"/>
        <v>x</v>
      </c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</row>
    <row r="151" spans="1:347" x14ac:dyDescent="0.25">
      <c r="A151" s="102" t="s">
        <v>81</v>
      </c>
      <c r="B151" s="127" t="s">
        <v>34</v>
      </c>
      <c r="C151" s="102"/>
      <c r="D151" s="102"/>
      <c r="E151" s="102"/>
      <c r="F151" s="102"/>
      <c r="G151" s="102"/>
      <c r="H151" s="102"/>
      <c r="I151" s="102"/>
      <c r="J151" s="102"/>
      <c r="K151" s="103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2" t="str">
        <f>HYPERLINK("http://www.kub-berlin.org/formularprojekt/de/portugiesisch-antraege-und-anlagen-uebersetzungshilfen/","x")</f>
        <v>x</v>
      </c>
      <c r="AG151" s="111"/>
      <c r="AH151" s="111"/>
      <c r="AI151" s="111"/>
      <c r="AJ151" s="111"/>
      <c r="AK151" s="111"/>
      <c r="AL151" s="111"/>
      <c r="AM151" s="111"/>
      <c r="AN151" s="111"/>
      <c r="AO151" s="112"/>
      <c r="AP151" s="112"/>
      <c r="AQ151" s="112"/>
      <c r="AR151" s="112"/>
      <c r="AS151" s="112"/>
      <c r="AT151" s="112"/>
      <c r="AU151" s="112"/>
      <c r="AV151" s="113"/>
      <c r="AW151" s="114" t="str">
        <f t="shared" si="55"/>
        <v>x</v>
      </c>
      <c r="AX151" s="114" t="str">
        <f t="shared" si="56"/>
        <v>x</v>
      </c>
      <c r="AY151" s="111"/>
      <c r="AZ151" s="111"/>
      <c r="BA151" s="112" t="str">
        <f t="shared" si="57"/>
        <v>x</v>
      </c>
      <c r="BB151" s="112" t="str">
        <f t="shared" si="58"/>
        <v>x</v>
      </c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2" t="str">
        <f t="shared" si="59"/>
        <v>x</v>
      </c>
      <c r="BT151" s="112"/>
      <c r="BU151" s="111"/>
      <c r="BV151" s="112" t="str">
        <f t="shared" si="60"/>
        <v>x</v>
      </c>
      <c r="BW151" s="112" t="str">
        <f>HYPERLINK("http://www.welcomegrooves.de/wp-content/uploads/2015/11/welcomegrooves-de-portugiesisch.pdf","x")</f>
        <v>x</v>
      </c>
      <c r="BX151" s="112"/>
      <c r="BY151" s="112"/>
      <c r="BZ151" s="112"/>
      <c r="CA151" s="112" t="str">
        <f t="shared" si="61"/>
        <v>x</v>
      </c>
      <c r="CB151" s="112" t="str">
        <f t="shared" si="62"/>
        <v>x</v>
      </c>
      <c r="CC151" s="112" t="str">
        <f t="shared" si="63"/>
        <v>x</v>
      </c>
      <c r="CD151" s="112"/>
      <c r="CE151" s="112"/>
      <c r="CF151" s="111"/>
      <c r="CG151" s="111"/>
      <c r="CH151" s="111"/>
      <c r="CI151" s="111"/>
      <c r="CJ151" s="112" t="str">
        <f>HYPERLINK("https://www.hilfetelefon.de/fileadmin/hilfetelefon_de/Materialien/weitere_werbemittel/Klappflyer_Vorder-_und_Rueckseite_opt2.pdf","x")</f>
        <v>x</v>
      </c>
      <c r="CK151" s="112" t="str">
        <f t="shared" si="64"/>
        <v>x</v>
      </c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5"/>
      <c r="DD151" s="112"/>
      <c r="DE151" s="112"/>
      <c r="DF151" s="112" t="str">
        <f t="shared" si="65"/>
        <v>x</v>
      </c>
      <c r="DG151" s="115" t="str">
        <f t="shared" si="66"/>
        <v>x</v>
      </c>
      <c r="DH151" s="112" t="str">
        <f t="shared" si="67"/>
        <v>x</v>
      </c>
      <c r="DI151" s="112" t="str">
        <f t="shared" si="68"/>
        <v>x</v>
      </c>
      <c r="DJ151" s="112" t="str">
        <f>HYPERLINK("http://www.bibliomedia.ch/de/angebote/dokumente/Glossar_portugiesisch.pdf","x")</f>
        <v>x</v>
      </c>
      <c r="DK151" s="112"/>
      <c r="DL151" s="112"/>
      <c r="DM151" s="112"/>
      <c r="DN151" s="112"/>
      <c r="DO151" s="112"/>
      <c r="DP151" s="111"/>
      <c r="DQ151" s="111"/>
      <c r="DR151" s="111"/>
      <c r="DS151" s="112" t="str">
        <f>HYPERLINK("http://bildung.koeln.de/materialbibliothek/download.php?idx=de2686c222102377b8ae1e8183c8a22a","x")</f>
        <v>x</v>
      </c>
      <c r="DT151" s="112" t="str">
        <f>HYPERLINK("http://bildung.koeln.de/materialbibliothek/download.php?idx=035b9a2c186ac6facf2908441ea63b5a","x")</f>
        <v>x</v>
      </c>
      <c r="DU151" s="112"/>
      <c r="DV151" s="112" t="str">
        <f>HYPERLINK("https://www.bmbf.de/pub/KAUSA_Elternratgeber_deutsch_portugiesisch.pdf","x")</f>
        <v>x</v>
      </c>
      <c r="DW151" s="111"/>
      <c r="DX151" s="111"/>
      <c r="DY151" s="111"/>
      <c r="DZ151" s="111"/>
      <c r="EA151" s="112" t="str">
        <f>HYPERLINK("http://www.bamf.de/SharedDocs/Anlagen/DE/Publikationen/Flyer/AnerkennungBerufsabschluss/anerkennung-berufsabschluss_ausland_pt.pdf?__blob=publicationFile","x")</f>
        <v>x</v>
      </c>
      <c r="EB151" s="112"/>
      <c r="EC151" s="112" t="str">
        <f>HYPERLINK("http://www.bamf.de/SharedDocs/Anlagen/DE/Publikationen/Flyer/Berufsbezsprachf-ESF-BAMF/berufsbezsprachf-esf-bamf_por.pdf?__blob=publicationFile","x")</f>
        <v>x</v>
      </c>
      <c r="ED151" s="111"/>
      <c r="EE151" s="111"/>
      <c r="EF151" s="111"/>
      <c r="EG151" s="111"/>
      <c r="EH151" s="111"/>
      <c r="EI151" s="111"/>
      <c r="EJ151" s="112"/>
      <c r="EK151" s="112"/>
      <c r="EL151" s="111"/>
      <c r="EM151" s="112" t="str">
        <f>HYPERLINK("http://www.kvs-sachsen.de/fileadmin/img/Mitglieder/Asylbewerber/Allg-Informationen/Anlage_1_Portugiesisch_LEK.pdf","x")</f>
        <v>x</v>
      </c>
      <c r="EN151" s="111"/>
      <c r="EO151" s="111"/>
      <c r="EP151" s="117" t="str">
        <f>HYPERLINK("http://www.medi-bild.de/pdf/anamnese/Welche_Sprache.pdf","x")</f>
        <v>x</v>
      </c>
      <c r="EQ151" s="117" t="str">
        <f>HYPERLINK("http://www.armut-gesundheit.de/fileadmin/redakteur/dokumente/Anamnesebogen%20-%20portugiesischnew.pdf","x")</f>
        <v>x</v>
      </c>
      <c r="ER151" s="112" t="str">
        <f>HYPERLINK("http://www.kvs-sachsen.de/fileadmin/img/Mitglieder/Asylbewerber/Allg-Informationen/Anlagen_2-1_2-2_Portugiesisch_LEK.pdf","x")</f>
        <v>x</v>
      </c>
      <c r="ES151" s="111"/>
      <c r="ET151" s="111"/>
      <c r="EU151" s="111"/>
      <c r="EV151" s="111"/>
      <c r="EW151" s="112" t="str">
        <f t="shared" si="69"/>
        <v>x</v>
      </c>
      <c r="EX151" s="111"/>
      <c r="EY151" s="111"/>
      <c r="EZ151" s="111"/>
      <c r="FA151" s="111"/>
      <c r="FB151" s="111"/>
      <c r="FC151" s="111"/>
      <c r="FD151" s="112" t="str">
        <f t="shared" si="70"/>
        <v>x</v>
      </c>
      <c r="FE151" s="112" t="str">
        <f>HYPERLINK("http://sghanstedt.elbnetz.com/ueber-uns/","x")</f>
        <v>x</v>
      </c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2" t="str">
        <f>HYPERLINK("http://www.tipdoc.de/bus/pdf/hiv/HIV%20ESP_Webseite.pdf","x")</f>
        <v>x</v>
      </c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2" t="str">
        <f t="shared" si="71"/>
        <v>x</v>
      </c>
      <c r="HD151" s="111"/>
      <c r="HE151" s="111"/>
      <c r="HF151" s="111"/>
      <c r="HG151" s="111"/>
      <c r="HH151" s="111"/>
      <c r="HI151" s="111"/>
      <c r="HJ151" s="111"/>
      <c r="HK151" s="112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2" t="str">
        <f t="shared" si="72"/>
        <v>x</v>
      </c>
      <c r="HZ151" s="112" t="str">
        <f t="shared" si="73"/>
        <v>x</v>
      </c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2" t="str">
        <f>HYPERLINK("http://www.bamf.de/SharedDocs/Anlagen/DE/Publikationen/Flyer/Lassen-Sie-Sich-Beraten/lassen-sie-sich-beraten_pt.pdf?__blob=publicationFile","x")</f>
        <v>x</v>
      </c>
      <c r="IL151" s="111"/>
      <c r="IM151" s="111"/>
      <c r="IN151" s="112" t="str">
        <f>HYPERLINK("https://www.bamf.de/SharedDocs/Anlagen/DE/Publikationen/Broschueren/willkommen-in-deutschland_pt.pdf?__blob=publicationFile","x")</f>
        <v>x</v>
      </c>
      <c r="IO151" s="112"/>
      <c r="IP151" s="111"/>
      <c r="IQ151" s="112"/>
      <c r="IR151" s="112"/>
      <c r="IS151" s="111"/>
      <c r="IT151" s="111"/>
      <c r="IU151" s="111"/>
      <c r="IV151" s="112"/>
      <c r="IW151" s="112"/>
      <c r="IX151" s="112" t="str">
        <f>HYPERLINK("http://www.berlin.de/labo/willkommen-in-berlin/service/downloads/artikel.273193.php","x")</f>
        <v>x</v>
      </c>
      <c r="IY151" s="112" t="str">
        <f>HYPERLINK("http://www.bamf.de/SharedDocs/Anlagen/DE/Publikationen/Broschueren/broschuere-eat-a4-pt-portugiesisch.pdf?__blob=publicationFile","x")</f>
        <v>x</v>
      </c>
      <c r="IZ151" s="111"/>
      <c r="JA151" s="111"/>
      <c r="JB151" s="111"/>
      <c r="JC151" s="112"/>
      <c r="JD151" s="111"/>
      <c r="JE151" s="112"/>
      <c r="JF151" s="112"/>
      <c r="JG151" s="112"/>
      <c r="JH151" s="112"/>
      <c r="JI151" s="111"/>
      <c r="JJ151" s="112"/>
      <c r="JK151" s="112"/>
      <c r="JL151" s="112" t="str">
        <f>HYPERLINK("http://www.kub-berlin.org/formularprojekt/de/portugiesisch-antraege-und-anlagen-uebersetzungshilfen/","x")</f>
        <v>x</v>
      </c>
      <c r="JM151" s="112" t="str">
        <f>HYPERLINK("https://www.arbeitsagentur.de/web/content/DE/Formulare/Detail/index.htm?dfContentId=L6019022DSTBAI485740","x")</f>
        <v>x</v>
      </c>
      <c r="JN151" s="112"/>
      <c r="JO151" s="112"/>
      <c r="JP151" s="112"/>
      <c r="JQ151" s="112"/>
      <c r="JR151" s="112" t="str">
        <f>HYPERLINK("http://www.ibla-germany.de/merkblaetter.php","x")</f>
        <v>x</v>
      </c>
      <c r="JS151" s="112"/>
      <c r="JT151" s="111"/>
      <c r="JU151" s="111"/>
      <c r="JV151" s="111"/>
      <c r="JW151" s="112"/>
      <c r="JX151" s="112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111"/>
      <c r="LJ151" s="111"/>
      <c r="LK151" s="111"/>
      <c r="LL151" s="111"/>
      <c r="LM151" s="111"/>
      <c r="LN151" s="111"/>
      <c r="LO151" s="111"/>
      <c r="LP151" s="111"/>
      <c r="LQ151" s="111"/>
      <c r="LR151" s="111"/>
      <c r="LS151" s="111"/>
      <c r="LT151" s="111"/>
      <c r="LU151" s="111"/>
      <c r="LV151" s="111"/>
      <c r="LW151" s="111"/>
      <c r="LX151" s="111"/>
      <c r="LY151" s="111"/>
      <c r="LZ151" s="111"/>
      <c r="MA151" s="111"/>
      <c r="MB151" s="111"/>
      <c r="MC151" s="111"/>
      <c r="MD151" s="111"/>
      <c r="ME151" s="111"/>
      <c r="MF151" s="111"/>
      <c r="MG151" s="111"/>
      <c r="MH151" s="111"/>
      <c r="MI151" s="111"/>
    </row>
    <row r="152" spans="1:347" x14ac:dyDescent="0.25">
      <c r="A152" s="102" t="s">
        <v>486</v>
      </c>
      <c r="B152" s="127" t="s">
        <v>485</v>
      </c>
      <c r="C152" s="102"/>
      <c r="D152" s="102"/>
      <c r="E152" s="102"/>
      <c r="F152" s="102"/>
      <c r="G152" s="102"/>
      <c r="H152" s="102"/>
      <c r="I152" s="102"/>
      <c r="J152" s="102"/>
      <c r="K152" s="103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2"/>
      <c r="AP152" s="112"/>
      <c r="AQ152" s="112"/>
      <c r="AR152" s="112"/>
      <c r="AS152" s="112"/>
      <c r="AT152" s="112"/>
      <c r="AU152" s="112"/>
      <c r="AV152" s="113"/>
      <c r="AW152" s="114" t="str">
        <f t="shared" si="55"/>
        <v>x</v>
      </c>
      <c r="AX152" s="114" t="str">
        <f t="shared" si="56"/>
        <v>x</v>
      </c>
      <c r="AY152" s="111"/>
      <c r="AZ152" s="111"/>
      <c r="BA152" s="112" t="str">
        <f t="shared" si="57"/>
        <v>x</v>
      </c>
      <c r="BB152" s="112" t="str">
        <f t="shared" si="58"/>
        <v>x</v>
      </c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2" t="str">
        <f t="shared" si="59"/>
        <v>x</v>
      </c>
      <c r="BT152" s="112"/>
      <c r="BU152" s="111"/>
      <c r="BV152" s="112" t="str">
        <f t="shared" si="60"/>
        <v>x</v>
      </c>
      <c r="BW152" s="112"/>
      <c r="BX152" s="112"/>
      <c r="BY152" s="112"/>
      <c r="BZ152" s="112"/>
      <c r="CA152" s="112" t="str">
        <f t="shared" si="61"/>
        <v>x</v>
      </c>
      <c r="CB152" s="112" t="str">
        <f t="shared" si="62"/>
        <v>x</v>
      </c>
      <c r="CC152" s="112" t="str">
        <f t="shared" si="63"/>
        <v>x</v>
      </c>
      <c r="CD152" s="112"/>
      <c r="CE152" s="112"/>
      <c r="CF152" s="111"/>
      <c r="CG152" s="111"/>
      <c r="CH152" s="111"/>
      <c r="CI152" s="111"/>
      <c r="CJ152" s="112"/>
      <c r="CK152" s="112" t="str">
        <f t="shared" si="64"/>
        <v>x</v>
      </c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5"/>
      <c r="DD152" s="112"/>
      <c r="DE152" s="112"/>
      <c r="DF152" s="112" t="str">
        <f t="shared" si="65"/>
        <v>x</v>
      </c>
      <c r="DG152" s="115" t="str">
        <f t="shared" si="66"/>
        <v>x</v>
      </c>
      <c r="DH152" s="112" t="str">
        <f t="shared" si="67"/>
        <v>x</v>
      </c>
      <c r="DI152" s="112" t="str">
        <f t="shared" si="68"/>
        <v>x</v>
      </c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2"/>
      <c r="DV152" s="111"/>
      <c r="DW152" s="111"/>
      <c r="DX152" s="111"/>
      <c r="DY152" s="111"/>
      <c r="DZ152" s="111"/>
      <c r="EA152" s="111"/>
      <c r="EB152" s="112"/>
      <c r="EC152" s="112"/>
      <c r="ED152" s="111"/>
      <c r="EE152" s="111"/>
      <c r="EF152" s="111"/>
      <c r="EG152" s="111"/>
      <c r="EH152" s="111"/>
      <c r="EI152" s="111"/>
      <c r="EJ152" s="112"/>
      <c r="EK152" s="112"/>
      <c r="EL152" s="111"/>
      <c r="EM152" s="112" t="str">
        <f>HYPERLINK("http://www.kvs-sachsen.de/fileadmin/img/Mitglieder/Asylbewerber/Allg-Informationen/Anlage_1_Burmese_LEK.PDF","x")</f>
        <v>x</v>
      </c>
      <c r="EN152" s="112"/>
      <c r="EO152" s="111"/>
      <c r="EP152" s="117"/>
      <c r="EQ152" s="117"/>
      <c r="ER152" s="112" t="str">
        <f>HYPERLINK("http://www.kvs-sachsen.de/fileadmin/img/Mitglieder/Asylbewerber/Allg-Informationen/Anlagen_2-1_2-2_Burmese_LEK.PDF","x")</f>
        <v>x</v>
      </c>
      <c r="ES152" s="111"/>
      <c r="ET152" s="111"/>
      <c r="EU152" s="111"/>
      <c r="EV152" s="111"/>
      <c r="EW152" s="112" t="str">
        <f t="shared" si="69"/>
        <v>x</v>
      </c>
      <c r="EX152" s="111"/>
      <c r="EY152" s="111"/>
      <c r="EZ152" s="111"/>
      <c r="FA152" s="111"/>
      <c r="FB152" s="111"/>
      <c r="FC152" s="111"/>
      <c r="FD152" s="112" t="str">
        <f t="shared" si="70"/>
        <v>x</v>
      </c>
      <c r="FE152" s="112"/>
      <c r="FF152" s="111"/>
      <c r="FG152" s="111"/>
      <c r="FH152" s="111"/>
      <c r="FI152" s="111"/>
      <c r="FJ152" s="112"/>
      <c r="FK152" s="112"/>
      <c r="FL152" s="111"/>
      <c r="FM152" s="111"/>
      <c r="FN152" s="112"/>
      <c r="FO152" s="112"/>
      <c r="FP152" s="112"/>
      <c r="FQ152" s="111"/>
      <c r="FR152" s="112"/>
      <c r="FS152" s="112"/>
      <c r="FT152" s="112"/>
      <c r="FU152" s="112"/>
      <c r="FV152" s="112"/>
      <c r="FW152" s="112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2"/>
      <c r="GI152" s="111"/>
      <c r="GJ152" s="111"/>
      <c r="GK152" s="111"/>
      <c r="GL152" s="111"/>
      <c r="GM152" s="112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2" t="str">
        <f t="shared" si="71"/>
        <v>x</v>
      </c>
      <c r="HD152" s="111"/>
      <c r="HE152" s="111"/>
      <c r="HF152" s="111"/>
      <c r="HG152" s="111"/>
      <c r="HH152" s="111"/>
      <c r="HI152" s="111"/>
      <c r="HJ152" s="111"/>
      <c r="HK152" s="112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2" t="str">
        <f t="shared" si="72"/>
        <v>x</v>
      </c>
      <c r="HZ152" s="112" t="str">
        <f t="shared" si="73"/>
        <v>x</v>
      </c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2"/>
      <c r="IL152" s="111"/>
      <c r="IM152" s="111"/>
      <c r="IN152" s="111"/>
      <c r="IO152" s="111"/>
      <c r="IP152" s="111"/>
      <c r="IQ152" s="112"/>
      <c r="IR152" s="112"/>
      <c r="IS152" s="111"/>
      <c r="IT152" s="111"/>
      <c r="IU152" s="111"/>
      <c r="IV152" s="112"/>
      <c r="IW152" s="112"/>
      <c r="IX152" s="112"/>
      <c r="IY152" s="112"/>
      <c r="IZ152" s="111"/>
      <c r="JA152" s="111"/>
      <c r="JB152" s="111"/>
      <c r="JC152" s="112"/>
      <c r="JD152" s="111"/>
      <c r="JE152" s="112"/>
      <c r="JF152" s="112"/>
      <c r="JG152" s="112"/>
      <c r="JH152" s="112"/>
      <c r="JI152" s="111"/>
      <c r="JJ152" s="112"/>
      <c r="JK152" s="112"/>
      <c r="JL152" s="112"/>
      <c r="JM152" s="112"/>
      <c r="JN152" s="112"/>
      <c r="JO152" s="112"/>
      <c r="JP152" s="112"/>
      <c r="JQ152" s="112"/>
      <c r="JR152" s="112"/>
      <c r="JS152" s="112"/>
      <c r="JT152" s="112"/>
      <c r="JU152" s="111"/>
      <c r="JV152" s="111"/>
      <c r="JW152" s="112"/>
      <c r="JX152" s="112"/>
      <c r="JY152" s="111"/>
      <c r="JZ152" s="111"/>
      <c r="KA152" s="111"/>
      <c r="KB152" s="111"/>
      <c r="KC152" s="111"/>
      <c r="KD152" s="111"/>
      <c r="KE152" s="111"/>
      <c r="KF152" s="112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1"/>
      <c r="MI152" s="111"/>
    </row>
    <row r="153" spans="1:347" x14ac:dyDescent="0.25">
      <c r="A153" s="102" t="s">
        <v>388</v>
      </c>
      <c r="B153" s="127" t="s">
        <v>4</v>
      </c>
      <c r="C153" s="102"/>
      <c r="D153" s="102"/>
      <c r="E153" s="102"/>
      <c r="F153" s="102"/>
      <c r="G153" s="102"/>
      <c r="H153" s="102"/>
      <c r="I153" s="102"/>
      <c r="J153" s="102"/>
      <c r="K153" s="103"/>
      <c r="L153" s="111"/>
      <c r="M153" s="111"/>
      <c r="N153" s="112" t="str">
        <f>HYPERLINK("http://www.ag-fluechtlingshilfe-wetterau.de/uploads/infos/170.pdf","x")</f>
        <v>x</v>
      </c>
      <c r="O153" s="112" t="str">
        <f>HYPERLINK("http://www.ag-fluechtlingshilfe-wetterau.de/uploads/infos/220.pdf","x")</f>
        <v>x</v>
      </c>
      <c r="P153" s="112" t="str">
        <f>HYPERLINK("http://www.awb-ahrweiler.de/admin/data/ddownload/Abfall%20Sonderhinweise-englisch_2014.pdf","x")</f>
        <v>x</v>
      </c>
      <c r="Q153" s="112" t="str">
        <f>HYPERLINK("http://www.ag-fluechtlingshilfe-wetterau.de/uploads/infos/221.pdf","x")</f>
        <v>x</v>
      </c>
      <c r="R153" s="112" t="str">
        <f>HYPERLINK("http://www.konto.org/download/merkblatt-basiskonto-asylbewerber-english.pdf","x")</f>
        <v>x</v>
      </c>
      <c r="S153" s="112"/>
      <c r="T153" s="112" t="str">
        <f>HYPERLINK("https://antworten.sparkasse.de/wp-content/uploads/2015/10/English.pdf","x")</f>
        <v>x</v>
      </c>
      <c r="U153" s="112" t="str">
        <f>HYPERLINK("http://www.ag-fluechtlingshilfe-wetterau.de/uploads/infos/191.pdf","x")</f>
        <v>x</v>
      </c>
      <c r="V153" s="112"/>
      <c r="W153" s="112"/>
      <c r="X15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3" s="112"/>
      <c r="AA153" s="112"/>
      <c r="AB153" s="112"/>
      <c r="AC153" s="112" t="str">
        <f>HYPERLINK("http://www.vzhh.de/vzhh/409638/vzhh_refugees_telephone_internet.pdf","x")</f>
        <v>x</v>
      </c>
      <c r="AD153" s="112" t="str">
        <f>HYPERLINK("http://www.vzhh.de/vzhh/410647/vzhh_refugees_rundfunk.pdf","x")</f>
        <v>x</v>
      </c>
      <c r="AE153" s="112" t="str">
        <f>HYPERLINK("http://www.vzhh.de/vzhh/411476/vzhh_refugees_rundfunk_befreiung.pdf","x")</f>
        <v>x</v>
      </c>
      <c r="AF153" s="112" t="str">
        <f>HYPERLINK("http://www.kub-berlin.org/formularprojekt/de/englisch-antraege-und-anlagen-uebersetzungshilfen/","x")</f>
        <v>x</v>
      </c>
      <c r="AG153" s="112" t="str">
        <f>HYPERLINK("http://asyl-in-moenchengladbach.de/wp-content/uploads/2015/11/100711-Flyer_GB.pdf","x")</f>
        <v>x</v>
      </c>
      <c r="AH153" s="112" t="str">
        <f>HYPERLINK("http://sghanstedt.elbnetz.com/ueber-uns/","x")</f>
        <v>x</v>
      </c>
      <c r="AI153" s="112" t="str">
        <f>HYPERLINK("https://www.adac.de/sp/stiftung/_mmm/pdf/SGE_FOL_Verkehrssicherheit_Fl%C3%BCchtlinge_A3_01_16_Internet_250277.pdf","x")</f>
        <v>x</v>
      </c>
      <c r="AJ153" s="112" t="str">
        <f>HYPERLINK("http://www.stadt-koeln.de/mediaasset/content/kvb_kinderleicht_und_spielend_einfach__englisch_.pdf","x")</f>
        <v>x</v>
      </c>
      <c r="AK153" s="112" t="str">
        <f>HYPERLINK("https://www.vrsinfo.de/fileadmin/Dateien/downloadcenter/Folder_MobilPassTicket_Refugees01012016.pdf","x")</f>
        <v>x</v>
      </c>
      <c r="AL153" s="112" t="str">
        <f>HYPERLINK("https://www.vrsinfo.de/fileadmin/Dateien/downloadcenter/Willkommen_im_VRS2016_Druck.pdf","x")</f>
        <v>x</v>
      </c>
      <c r="AM153" s="112"/>
      <c r="AN153" s="112" t="str">
        <f>HYPERLINK("https://www.deutschebahn.com/file/de/2191748/eYdgZpqGpp5sMJ2KMKtg2r8aE4Q/10123812/data/infos_fuer_fluechtlinge.pdf","x")</f>
        <v>x</v>
      </c>
      <c r="AO153" s="112"/>
      <c r="AP153" s="112"/>
      <c r="AQ153" s="112"/>
      <c r="AR153" s="112"/>
      <c r="AS153" s="112"/>
      <c r="AT153" s="112"/>
      <c r="AU153" s="112" t="str">
        <f>HYPERLINK("http://www.stadt-koeln.de/mediaasset/content/festkomitee_flyer_2016_d_gb.pdf","x")</f>
        <v>x</v>
      </c>
      <c r="AV153" s="113"/>
      <c r="AW153" s="114" t="str">
        <f t="shared" si="55"/>
        <v>x</v>
      </c>
      <c r="AX153" s="114" t="str">
        <f t="shared" si="56"/>
        <v>x</v>
      </c>
      <c r="AY153" s="112" t="str">
        <f>HYPERLINK("http://fi-lohmar-siegburg.de/data/documents/Findefix_arabisch-Bildwoerterbuch.pdf","x")</f>
        <v>x</v>
      </c>
      <c r="AZ153" s="111"/>
      <c r="BA153" s="112" t="str">
        <f t="shared" si="57"/>
        <v>x</v>
      </c>
      <c r="BB153" s="112" t="str">
        <f t="shared" si="58"/>
        <v>x</v>
      </c>
      <c r="BC153" s="111"/>
      <c r="BD153" s="111"/>
      <c r="BE153" s="112" t="str">
        <f>HYPERLINK("http://fi-lohmar-siegburg.de/data/documents/communicationboard-arabic-english.pdf","x")</f>
        <v>x</v>
      </c>
      <c r="BF153" s="112"/>
      <c r="BG153" s="111"/>
      <c r="BH153" s="112" t="str">
        <f>HYPERLINK("http://www.refugeephrasebook.de/pdf/germany150920.pdf","x")</f>
        <v>x</v>
      </c>
      <c r="BI153" s="112" t="str">
        <f>HYPERLINK("https://www.advanced-online.eu/downloads/RefugeePhrasebookCards_German-English.pdf","x")</f>
        <v>x</v>
      </c>
      <c r="BJ153" s="112" t="str">
        <f>HYPERLINK("http://www.klett-sprachen.de/download/8638/W100255_Refugees_Welcome_Wortschatz.pdf","x")</f>
        <v>x</v>
      </c>
      <c r="BK153" s="111"/>
      <c r="BL153" s="112" t="str">
        <f>HYPERLINK("http://www.bundessprachenamt.de/deutsch/wir_ueber_uns/nachrichten/2015/20151103/Verständigungshilfe_Englisch_26_11_2015.pdf","x")</f>
        <v>x</v>
      </c>
      <c r="BM153" s="112" t="str">
        <f>HYPERLINK("http://www.frnrw.de/images/Aus_den_Initiativen/Ehrenamtler/2015/Dictionary_x10_print-2.pdf","x")</f>
        <v>x</v>
      </c>
      <c r="BN153" s="112" t="str">
        <f>HYPERLINK("http://www.medbox.org/toolboxes/kleines-worterbuch-little-dictionary-deutsch-englisch-arabisch/preview","x")</f>
        <v>x</v>
      </c>
      <c r="BO153" s="112" t="str">
        <f>HYPERLINK("http://mylanguages.org/dari_phrases.php","x")</f>
        <v>x</v>
      </c>
      <c r="BP153" s="111"/>
      <c r="BQ153" s="111"/>
      <c r="BR153" s="111"/>
      <c r="BS153" s="112" t="str">
        <f t="shared" si="59"/>
        <v>x</v>
      </c>
      <c r="BT153" s="112"/>
      <c r="BU153" s="111"/>
      <c r="BV153" s="112" t="str">
        <f t="shared" si="60"/>
        <v>x</v>
      </c>
      <c r="BW153" s="112" t="str">
        <f>HYPERLINK("http://www.welcomegrooves.de/wp-content/uploads/2015/10/welcomegrooves_DE-ENGLISH1.pdf","x")</f>
        <v>x</v>
      </c>
      <c r="BX153" s="112"/>
      <c r="BY153" s="112"/>
      <c r="BZ153" s="112"/>
      <c r="CA153" s="112" t="str">
        <f t="shared" si="61"/>
        <v>x</v>
      </c>
      <c r="CB153" s="112" t="str">
        <f t="shared" si="62"/>
        <v>x</v>
      </c>
      <c r="CC153" s="112" t="str">
        <f t="shared" si="63"/>
        <v>x</v>
      </c>
      <c r="CD153" s="112"/>
      <c r="CE153" s="112"/>
      <c r="CF153" s="111"/>
      <c r="CG153" s="112" t="str">
        <f>HYPERLINK("http://www.braunschweig.de/leben/frauen/hilfe/Ohne-Gewalt-leben.pdf","x")</f>
        <v>x</v>
      </c>
      <c r="CH153" s="112" t="str">
        <f>HYPERLINK("http://mifkjf.rlp.de/fileadmin/mifkjf/Frauen/Gewalt_gegen_Frauen/Downloads/Broschueren_Flyer/Flyer_Gewalt_englisch.pdf","x")</f>
        <v>x</v>
      </c>
      <c r="CI153" s="112" t="str">
        <f>HYPERLINK("https://www.hilfetelefon.de/fileadmin/hilfetelefon_de/Materialien/Flyer/Infoflyer_Hilfetelefon_Gewalt_gegen_Frauen141105_b2.pdf","x")</f>
        <v>x</v>
      </c>
      <c r="CJ153" s="112" t="str">
        <f>HYPERLINK("https://www.hilfetelefon.de/fileadmin/hilfetelefon_de/Materialien/weitere_werbemittel/Klappflyer_Vorder-_und_Rueckseite_opt2.pdf","x")</f>
        <v>x</v>
      </c>
      <c r="CK153" s="112" t="str">
        <f t="shared" si="64"/>
        <v>x</v>
      </c>
      <c r="CL153" s="112" t="str">
        <f>HYPERLINK("http://www.frauenberatungsstelle.de/pdf/Migrantinnen-beraten-Migrantinnen.pdf","x")</f>
        <v>x</v>
      </c>
      <c r="CM153" s="112" t="str">
        <f>HYPERLINK("http://www.frauenleben.org/spezielle_beratungsangebote/sexualisierte_gewalt.htm","x")</f>
        <v>x</v>
      </c>
      <c r="CN153" s="112"/>
      <c r="CO153" s="112"/>
      <c r="CP153" s="112" t="str">
        <f>HYPERLINK("http://www.schwanger-und-viele-fragen.de/en/","x")</f>
        <v>x</v>
      </c>
      <c r="CQ153" s="112"/>
      <c r="CR15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3" s="112" t="str">
        <f>HYPERLINK("http://en.beststart.org/for_parents/are-you-looking-resources-languages-other-english-and-french","x")</f>
        <v>x</v>
      </c>
      <c r="CT153" s="112"/>
      <c r="CU153" s="112" t="str">
        <f>HYPERLINK("http://www.profamilia.de/fileadmin/publikationen/Erwachsene/mehrsprachig/Bro_Verhuetung_engl_2013.pdf","x")</f>
        <v>x</v>
      </c>
      <c r="CV153" s="112" t="str">
        <f>HYPERLINK("http://www.profamilia.de/fileadmin/publikationen/Erwachsene/mehrsprachig/Bro_Pille_danach_Faltblatt_140122_RZ.pdf","x")</f>
        <v>x</v>
      </c>
      <c r="CW153" s="112" t="str">
        <f>HYPERLINK("http://www.profamilia.de/fileadmin/publikationen/Reihe_Verhuetungsmethoden/Einleger_englisch.pdf","x")</f>
        <v>x</v>
      </c>
      <c r="CX153" s="112" t="str">
        <f>HYPERLINK("http://www.profamilia.de/fileadmin/publikationen/Reihe_Koerper_und_Sexualtitaet/Schwangerschaftsabbruch_englisch_2010.pdf","x")</f>
        <v>x</v>
      </c>
      <c r="CY153" s="112" t="str">
        <f>HYPERLINK("http://www.caritas-schwarzwald-alb-donau.de/68854.html","x")</f>
        <v>x</v>
      </c>
      <c r="CZ153" s="112" t="str">
        <f>HYPERLINK("http://www.dgfpi.de/tl_files/download/medien/unwissen-macht-en.pdf","x")</f>
        <v>x</v>
      </c>
      <c r="DA153" s="112"/>
      <c r="DB153" s="112"/>
      <c r="DC153" s="115" t="str">
        <f>HYPERLINK("http://www.kindersicherheit.de/pdf/2013_BAG_Tomi_and_Mila_Deutsch_English.pdf","x")</f>
        <v>x</v>
      </c>
      <c r="DD153" s="112"/>
      <c r="DE153" s="112"/>
      <c r="DF153" s="112" t="str">
        <f t="shared" si="65"/>
        <v>x</v>
      </c>
      <c r="DG153" s="115" t="str">
        <f t="shared" si="66"/>
        <v>x</v>
      </c>
      <c r="DH153" s="112" t="str">
        <f t="shared" si="67"/>
        <v>x</v>
      </c>
      <c r="DI153" s="112" t="str">
        <f t="shared" si="68"/>
        <v>x</v>
      </c>
      <c r="DJ153" s="112"/>
      <c r="DK153" s="112"/>
      <c r="DL153" s="112"/>
      <c r="DM153" s="112"/>
      <c r="DN153" s="112"/>
      <c r="DO153" s="112" t="str">
        <f>HYPERLINK("http://www.wdrmaus.de/sachgeschichten/maus-international/","x")</f>
        <v>x</v>
      </c>
      <c r="DP153" s="111"/>
      <c r="DQ153" s="111"/>
      <c r="DR153" s="112" t="str">
        <f>HYPERLINK("https://broschueren.nordrheinwestfalendirekt.de/broschuerenservice/msw/eng-das-schulsystem-in-nordrhein-westfalen-einfach-und-schnell-erklaert/1902","x")</f>
        <v>x</v>
      </c>
      <c r="DS153" s="112" t="str">
        <f>HYPERLINK("http://bildung.koeln.de/materialbibliothek/download.php?idx=8e2a9f658e9fa830ce17dc18f0fb0268","x")</f>
        <v>x</v>
      </c>
      <c r="DT153" s="112" t="str">
        <f>HYPERLINK("http://bildung.koeln.de/materialbibliothek/download.php?idx=90aff7e7259385cadb46c517317f1446","x")</f>
        <v>x</v>
      </c>
      <c r="DU153" s="112"/>
      <c r="DV153" s="112" t="str">
        <f>HYPERLINK("https://www.bmbf.de/pub/Kausa_Elternbroschuere_englisch.pdf","x")</f>
        <v>x</v>
      </c>
      <c r="DW153" s="112"/>
      <c r="DX153" s="112" t="str">
        <f>HYPERLINK("http://www.wissenschaft.nrw.de/studium/informieren/informationen-fuer-fluechtlinge-die-in-nrw-studieren-moechten/","x")</f>
        <v>x</v>
      </c>
      <c r="DY153" s="112" t="str">
        <f>HYPERLINK("http://www.bamf.de/SharedDocs/Anlagen/DE/Publikationen/Flyer/AnerkennungBerufsabschluss/berufliche_anerkennung_akademische-heilberufe_en.pdf?__blob=publicationFile","x")</f>
        <v>x</v>
      </c>
      <c r="DZ153" s="112" t="str">
        <f>HYPERLINK("http://www.bamf.de/SharedDocs/Anlagen/EN/Publikationen/Flyer/AnerkennungBerufsabschluss/anerkennung-berufsabschluss.pdf?__blob=publicationFile","x")</f>
        <v>x</v>
      </c>
      <c r="EA153" s="112" t="str">
        <f>HYPERLINK("http://www.bamf.de/SharedDocs/Anlagen/EN/Publikationen/Flyer/AnerkennungBerufsabschluss/anerkennung-berufsabschluss_ausland.pdf?__blob=publicationFile","x")</f>
        <v>x</v>
      </c>
      <c r="EB153" s="112" t="str">
        <f>HYPERLINK("http://www.bamf.de/SharedDocs/Anlagen/EN/Publikationen/Broschueren/willkommen-in-deutschland-info-blaue-karte-eu_en.pdf?__blob=publicationFile","x")</f>
        <v>x</v>
      </c>
      <c r="EC153" s="112" t="str">
        <f>HYPERLINK("http://www.bamf.de/SharedDocs/Anlagen/EN/Publikationen/Flyer/Berufsbezsprachf-ESF-BAMF/berufsbezsprachf-esf-bamf.pdf?__blob=publicationFile","x")</f>
        <v>x</v>
      </c>
      <c r="ED153" s="111"/>
      <c r="EE153" s="111"/>
      <c r="EF153" s="111"/>
      <c r="EG153" s="111"/>
      <c r="EH153" s="111"/>
      <c r="EI153" s="111"/>
      <c r="EJ153" s="112"/>
      <c r="EK153" s="112" t="str">
        <f>HYPERLINK("http://fluechtlingsrat-bw.de/files/Dateien/Dokumente/Materialbestellung/2014-12-flyer%20arbeitserlaubnis%20EN%20WEB.pdf","x")</f>
        <v>x</v>
      </c>
      <c r="EL153" s="112" t="str">
        <f>HYPERLINK("http://www.aponet.de/englisch/20151019-fuer-den-notfall-wichtige-rufnummern-im-ueberblick.html","x")</f>
        <v>x</v>
      </c>
      <c r="EM153" s="112" t="str">
        <f>HYPERLINK("http://www.kvs-sachsen.de/fileadmin/img/Mitglieder/Asylbewerber/Allg-Informationen/Anlage_1_Englisch_LEK.pdf","x")</f>
        <v>x</v>
      </c>
      <c r="EN153" s="112" t="str">
        <f>HYPERLINK("http://www.medizin-hilft-fluechtlingen.de/images/Dokumente/gSch/gSch_eng.pdf","x")</f>
        <v>x</v>
      </c>
      <c r="EO153" s="112" t="str">
        <f>HYPERLINK("http://www.aponet.de/englisch/medical-care-for-asylum-seekers.html","x")</f>
        <v>x</v>
      </c>
      <c r="EP153" s="117" t="str">
        <f>HYPERLINK("http://www.medi-bild.de/pdf/anamnese/Welche_Sprache.pdf","x")</f>
        <v>x</v>
      </c>
      <c r="EQ153" s="117" t="str">
        <f>HYPERLINK("http://www.armut-gesundheit.de/fileadmin/redakteur/dokumente/Anamnesebogen%20-%20englischnew.pdf","x")</f>
        <v>x</v>
      </c>
      <c r="ER153" s="112" t="str">
        <f>HYPERLINK("http://www.kvs-sachsen.de/fileadmin/img/Mitglieder/Asylbewerber/Allg-Informationen/Anlagen_2-1_2-2_Englisch_LEK.pdf","x")</f>
        <v>x</v>
      </c>
      <c r="ES153" s="111"/>
      <c r="ET153" s="111"/>
      <c r="EU153" s="112" t="str">
        <f>HYPERLINK("http://www.medizin-hilft-fluechtlingen.de/images/Dokumente/ein/ein_engl.pdf","x")</f>
        <v>x</v>
      </c>
      <c r="EV153" s="112" t="str">
        <f>HYPERLINK("http://www.adler-apotheke-hh.de/fileadmin/user_upload/PDF-Dateien/Dosierzettel_mehrsprachig_AUF_0_.pdf","x")</f>
        <v>x</v>
      </c>
      <c r="EW153" s="112" t="str">
        <f t="shared" si="69"/>
        <v>x</v>
      </c>
      <c r="EX153" s="112" t="str">
        <f>HYPERLINK("http://www.rki.de/DE/Content/Infekt/IfSG/Belehrungsbogen/belehrungsbogen_eltern_englisch.pdf?__blob=publicationFile","x")</f>
        <v>x</v>
      </c>
      <c r="EY153" s="112" t="str">
        <f>HYPERLINK("http://www.bzga.de/infomaterialien/?sid=236","x")</f>
        <v>x</v>
      </c>
      <c r="EZ153" s="112" t="str">
        <f>HYPERLINK("https://www.mh-hannover.de/fileadmin/mhh/bilder/aktuelles_presse/pressestelle/bilder/Pilzvergif_English.pdf","x")</f>
        <v>x</v>
      </c>
      <c r="FA153" s="112"/>
      <c r="FB153" s="112" t="str">
        <f>HYPERLINK("http://static.apotheken-umschau.de/media/gp/article_506373/bildwoerterbuch.pdf","x")</f>
        <v>x</v>
      </c>
      <c r="FC153" s="112" t="str">
        <f>HYPERLINK("https://www.studentenwerke.de/sites/default/files/gesundheitswoerterbuch.pdf","x")</f>
        <v>x</v>
      </c>
      <c r="FD153" s="112" t="str">
        <f t="shared" si="70"/>
        <v>x</v>
      </c>
      <c r="FE153" s="112" t="str">
        <f>HYPERLINK("http://sghanstedt.elbnetz.com/ueber-uns/","x")</f>
        <v>x</v>
      </c>
      <c r="FF153" s="112" t="str">
        <f>HYPERLINK("http://www.fuhlenhagen.com/pdf_dateien/uebertzungshilfe_aerzte_mehrsprachig.pdf","x")</f>
        <v>x</v>
      </c>
      <c r="FG153" s="112" t="str">
        <f>HYPERLINK("http://www.tipdoc.de/grafik/asyl/Gesundheitsheft_Asyl.pdf","x")</f>
        <v>x</v>
      </c>
      <c r="FH153" s="111"/>
      <c r="FI153" s="111"/>
      <c r="FJ153" s="112" t="str">
        <f>HYPERLINK("http://www.bundesgesundheitsministerium.de/fileadmin/dateien/Publikationen/Gesundheit/Broschueren/Ratgeber_Asylsuchende/Ratgeber_Asylsuchende_engl.pdf","x")</f>
        <v>x</v>
      </c>
      <c r="FK153" s="112" t="str">
        <f>HYPERLINK("http://www.rki.de/DE/Content/Infekt/Impfen/Materialien/Downloads-Impfkalender/Impfkalender_Englisch.pdf?__blob=publicationFile","x")</f>
        <v>x</v>
      </c>
      <c r="FL153" s="112" t="str">
        <f>HYPERLINK("http://www.ethno-medizinisches-zentrum.de/images/PDF-Files/impfwegweiser_englisch_2013_online.pdf","x")</f>
        <v>x</v>
      </c>
      <c r="FM153" s="112"/>
      <c r="FN153" s="112" t="str">
        <f>HYPERLINK("http://www.rki.de/DE/Content/Infekt/Impfen/Materialien/Glossar-Downloads/glossar-de-englisch.pdf?__blob=publicationFile","x")</f>
        <v>x</v>
      </c>
      <c r="FO153" s="112" t="str">
        <f>HYPERLINK("http://www.euro.who.int/__data/assets/pdf_file/0005/160754/VPDs_Signs-symptoms-complications.pdf?ua=1","x")</f>
        <v>x</v>
      </c>
      <c r="FP153" s="112" t="str">
        <f>HYPERLINK("http://www.rki.de/DE/Content/Infekt/Impfen/Materialien/Downloads-MMR/MMR-Impfinfo-englisch.pdf?__blob=publicationFile","x")</f>
        <v>x</v>
      </c>
      <c r="FQ153" s="112" t="str">
        <f>HYPERLINK("http://www.rki.de/DE/Content/InfAZ/P/Polio/Ausbruch_Syrien/Informationsblatt_Polio_Englisch.pdf?__blob=publicationFile","x")</f>
        <v>x</v>
      </c>
      <c r="FR153" s="112" t="str">
        <f>HYPERLINK("http://www.rki.de/DE/Content/Infekt/Impfen/Materialien/Downloads_HepA/Aufklaerung_HAV-Impfung_Englisch.pdf?__blob=publicationFile","x")</f>
        <v>x</v>
      </c>
      <c r="FS153" s="112" t="str">
        <f>HYPERLINK("http://www.rki.de/DE/Content/Infekt/Impfen/Materialien/Downloads_Pneumokokken/Aufklaerung_Pneumo-Impfung_Englisch.pdf?__blob=publicationFile","x")</f>
        <v>x</v>
      </c>
      <c r="FT153" s="112" t="str">
        <f>HYPERLINK("http://www.rki.de/DE/Content/Infekt/Impfen/Materialien/Downloads-DTaPIPVHibHepB/DTaPIPVHibHepB-englisch.pdf?__blob=publicationFile","x")</f>
        <v>x</v>
      </c>
      <c r="FU153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3" s="112" t="str">
        <f>HYPERLINK("http://www.rki.de/DE/Content/Infekt/Impfen/Materialien/Downloads-Tdap-IPV/Tdap-IPV-englisch.pdf?__blob=publicationFile","x")</f>
        <v>x</v>
      </c>
      <c r="FW153" s="112" t="str">
        <f>HYPERLINK("http://www.rki.de/DE/Content/Infekt/Impfen/Materialien/Downloads-Influenza_nasal/Influenza_nasal-englisch.pdf?__blob=publicationFile","x")</f>
        <v>x</v>
      </c>
      <c r="FX153" s="111"/>
      <c r="FY153" s="112"/>
      <c r="FZ153" s="112"/>
      <c r="GA153" s="111"/>
      <c r="GB153" s="111"/>
      <c r="GC153" s="111"/>
      <c r="GD153" s="112" t="str">
        <f>HYPERLINK("http://www.ethno-medizinisches-zentrum.de/images/PDF-Files/lf_diabete_englisch.pdf","x")</f>
        <v>x</v>
      </c>
      <c r="GE153" s="111"/>
      <c r="GF153" s="111"/>
      <c r="GG153" s="111"/>
      <c r="GH153" s="112"/>
      <c r="GI153" s="111"/>
      <c r="GJ153" s="111"/>
      <c r="GK153" s="112" t="str">
        <f>HYPERLINK("http://www.tipdoc.de/bus/pdf/hiv/HIV%20ESP_Webseite.pdf","x")</f>
        <v>x</v>
      </c>
      <c r="GL153" s="111"/>
      <c r="GM153" s="112" t="str">
        <f>HYPERLINK("http://www.rki.de/DE/Content/Infekt/Impfen/Materialien/Downloads-Influenza/Influenza-englisch.pdf?__blob=publicationFile","x")</f>
        <v>x</v>
      </c>
      <c r="GN153" s="111"/>
      <c r="GO153" s="112" t="str">
        <f>HYPERLINK("http://www.aponet.de/englisch/20151111-so-unterscheiden-sich-grippe-und-erkaeltung.html","x")</f>
        <v>x</v>
      </c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2" t="str">
        <f t="shared" si="71"/>
        <v>x</v>
      </c>
      <c r="HD153" s="112" t="str">
        <f>HYPERLINK("https://www.zahnaerzte-wl.de/images/_PDF-suche/KZV_ZÄK/ENDSTAND_Ankreuzbogen_Ich_verstehe.pdf","x")</f>
        <v>x</v>
      </c>
      <c r="HE153" s="112" t="str">
        <f>HYPERLINK("https://www.zahnaerzte-wl.de/images/_PDF-suche/KZV_ZÄK/Anschreiben_Patienten_englisch.pdf","x")</f>
        <v>x</v>
      </c>
      <c r="HF153" s="112" t="str">
        <f>HYPERLINK("https://www.zahnaerzte-wl.de/images/_PDF-suche/KZV_ZÄK/Fragebogen_englisch.pdf","x")</f>
        <v>x</v>
      </c>
      <c r="HG153" s="112" t="str">
        <f>HYPERLINK("https://www.zahnaerzte-wl.de/images/_PDF-suche/KZV_ZÄK/Patientenerhebungsbogen_englisch.pdf","x")</f>
        <v>x</v>
      </c>
      <c r="HH153" s="112"/>
      <c r="HI153" s="112" t="str">
        <f>HYPERLINK("http://www.bvkm.de/fileadmin/web_data/Behinderung_und_Migration_englisch_2014.pdf","x")</f>
        <v>x</v>
      </c>
      <c r="HJ153" s="112"/>
      <c r="HK153" s="112" t="str">
        <f>HYPERLINK("http://www.psychenet.de/en/mental-health/knowledge/depression.html","x")</f>
        <v>x</v>
      </c>
      <c r="HL153" s="111"/>
      <c r="HM153" s="112" t="str">
        <f>HYPERLINK("http://www.psychenet.de/en/mental-health/knowledge/psychoses.html","x")</f>
        <v>x</v>
      </c>
      <c r="HN153" s="112" t="str">
        <f>HYPERLINK("http://www.psychenet.de/en/mental-health/knowledge/somatoform-disorders.html","x")</f>
        <v>x</v>
      </c>
      <c r="HO153" s="112" t="str">
        <f>HYPERLINK("http://www.psychenet.de/en/mental-health/knowledge/anorexia.html","x")</f>
        <v>x</v>
      </c>
      <c r="HP153" s="112" t="str">
        <f>HYPERLINK("http://www.psychenet.de/en/mental-health/knowledge/bulimia.html","x")</f>
        <v>x</v>
      </c>
      <c r="HQ153" s="112" t="str">
        <f>HYPERLINK("http://www.psychenet.de/en/mental-health/knowledge/bipolar-disorder.html","x")</f>
        <v>x</v>
      </c>
      <c r="HR153" s="112" t="str">
        <f>HYPERLINK("http://www.psychenet.de/en/mental-health/knowledge/panic-and-agoraphobia.html","x")</f>
        <v>x</v>
      </c>
      <c r="HS153" s="112" t="str">
        <f>HYPERLINK("http://www.psychenet.de/en/mental-health/knowledge/social-phobia.html","x")</f>
        <v>x</v>
      </c>
      <c r="HT153" s="112" t="str">
        <f>HYPERLINK("http://www.psychenet.de/en/mental-health/knowledge/generalized-anxiety-disorder.html","x")</f>
        <v>x</v>
      </c>
      <c r="HU153" s="112"/>
      <c r="HV153" s="112" t="str">
        <f>HYPERLINK("http://www.psychenet.de/en/mental-health/knowledge/information-and-support.html","x")</f>
        <v>x</v>
      </c>
      <c r="HW153" s="112"/>
      <c r="HX153" s="112" t="str">
        <f>HYPERLINK("http://www.bkk-psychisch-gesund.de/fileadmin/user_upload/Dokumente/Versicherte/Broschueren/Wegweiser_Psychotherapie_englisch.pdf","x")</f>
        <v>x</v>
      </c>
      <c r="HY153" s="112" t="str">
        <f t="shared" si="72"/>
        <v>x</v>
      </c>
      <c r="HZ153" s="112" t="str">
        <f t="shared" si="73"/>
        <v>x</v>
      </c>
      <c r="IA153" s="112" t="str">
        <f>HYPERLINK("http://peacefulheart.se/wp-content/uploads/2012/02/TTT_English_2013.pdf","x")</f>
        <v>x</v>
      </c>
      <c r="IB153" s="112"/>
      <c r="IC153" s="112"/>
      <c r="ID153" s="112" t="str">
        <f>HYPERLINK("http://www.susannestein.de/VIA-online/trauma-picture-book.pdf","x")</f>
        <v>x</v>
      </c>
      <c r="IE153" s="112" t="str">
        <f>HYPERLINK("http://www.psychenet.de/en/mental-health/knowledge/alcohol-in-adolescence.html","x")</f>
        <v>x</v>
      </c>
      <c r="IF153" s="112"/>
      <c r="IG153" s="112"/>
      <c r="IH153" s="111"/>
      <c r="II153" s="112" t="str">
        <f>HYPERLINK("http://www.caritas.de/hilfeundberatung/onlineberatung/suchtberatung/haeufiggestelltefragensucht/haeufiggestelltefragen-sucht","x")</f>
        <v>x</v>
      </c>
      <c r="IJ153" s="112" t="str">
        <f>HYPERLINK("http://www.dhs.de/fileadmin/user_upload/pdf/Broschueren/Ein_Angebot_an_alle-Englisch.pdf","x")</f>
        <v>x</v>
      </c>
      <c r="IK153" s="112" t="str">
        <f>HYPERLINK("http://www.bamf.de/SharedDocs/Anlagen/EN/Publikationen/Flyer/Lassen-Sie-Sich-Beraten/lassen-sie-sich-beraten.pdf?__blob=publicationFile","x")</f>
        <v>x</v>
      </c>
      <c r="IL153" s="115" t="str">
        <f>HYPERLINK("http://www.bamf.de/SharedDocs/Anlagen/EN/Publikationen/Flyer/flyer-erstorientierung-asylsuchende.pdf?__blob=publicationFile","x")</f>
        <v>x</v>
      </c>
      <c r="IM153" s="112" t="str">
        <f>HYPERLINK("http://www.frnrw.de/index.php/inhaltliche-themen/arbeitshilfen/item/3710-erstinfos-fuer-asylsuchende","x")</f>
        <v>x</v>
      </c>
      <c r="IN153" s="112" t="str">
        <f>HYPERLINK("http://www.bamf.de/SharedDocs/Anlagen/EN/Publikationen/Broschueren/willkommen-in-deutschland.pdf;jsessionid=2D72CB108E4AC02BBB9659E7D9A589B2.1_cid368?__blob=publicationFile","x")</f>
        <v>x</v>
      </c>
      <c r="IO153" s="112"/>
      <c r="IP153" s="112"/>
      <c r="IQ153" s="112" t="str">
        <f>HYPERLINK("http://www.bamf.de/SharedDocs/Anlagen/EN/Publikationen/Flyer/Lernen-Sie-Deutsch/lernen-sie-deutsch.pdf?__blob=publicationFile","x")</f>
        <v>x</v>
      </c>
      <c r="IR153" s="112" t="str">
        <f>HYPERLINK("http://www.asyl.net/fileadmin/user_upload/redaktion/Dokumente/Arbeitshilfen/150910_Wie_l%C3%A4uft_ein_Asylverfahren_ab_%C3%9Cberblickstext_Englisch.pdf","x")</f>
        <v>x</v>
      </c>
      <c r="IS153" s="111"/>
      <c r="IT153" s="112" t="str">
        <f>HYPERLINK("http://www.bamf.de/SharedDocs/Anlagen/EN/Publikationen/Flyer/ablauf-asylverfahren.pdf;jsessionid=DBD4307960D761935FCC3E0325D459A1.1_cid294?__blob=publicationFile","x")</f>
        <v>x</v>
      </c>
      <c r="IU153" s="111"/>
      <c r="IV153" s="112" t="str">
        <f>HYPERLINK("http://www.asyl.net/fileadmin/user_upload/infoblatt_anhoerung/Infoblatt_2015_en_fin.pdf","x")</f>
        <v>x</v>
      </c>
      <c r="IW153" s="112"/>
      <c r="IX153" s="112" t="str">
        <f>HYPERLINK("http://www.berlin.de/labo/willkommen-in-berlin/service/downloads/artikel.273193.php","x")</f>
        <v>x</v>
      </c>
      <c r="IY153" s="112" t="str">
        <f>HYPERLINK("http://www.bamf.de/SharedDocs/Anlagen/EN/Publikationen/Broschueren/broschuere-eat-a4.pdf?__blob=publicationFile","x")</f>
        <v>x</v>
      </c>
      <c r="IZ153" s="111"/>
      <c r="JA153" s="112" t="str">
        <f>HYPERLINK("http://fluechtlingsrat-bw.de/informationen-fuer-fluechtlinge.html","x")</f>
        <v>x</v>
      </c>
      <c r="JB153" s="111"/>
      <c r="JC153" s="112" t="str">
        <f>HYPERLINK("http://www.bamf.de/SharedDocs/Anlagen/EN/Publikationen/Flyer/20150223_ura2_en.pdf?__blob=publicationFile","x")</f>
        <v>x</v>
      </c>
      <c r="JD153" s="111"/>
      <c r="JE153" s="112"/>
      <c r="JF153" s="112"/>
      <c r="JG153" s="112" t="str">
        <f>HYPERLINK("http://www.bamf.de/SharedDocs/Anlagen/EN/Publikationen/Flyer/Ehegattennachzug/ehegattennachzug.pdf?__blob=publicationFile","x")</f>
        <v>x</v>
      </c>
      <c r="JH153" s="112" t="str">
        <f>HYPERLINK("https://familyreunion-syria.diplo.de/webportal/index.html#start","x")</f>
        <v>x</v>
      </c>
      <c r="JI153" s="112" t="str">
        <f>HYPERLINK("http://ec.europa.eu/dgs/home-affairs/what-we-do/networks/european_migration_network/docs/emn-glossary-en-version.pdf","x")</f>
        <v>x</v>
      </c>
      <c r="JJ153" s="112"/>
      <c r="JK153" s="112" t="str">
        <f>HYPERLINK("https://www.arbeitsagentur.de/web/wcm/idc/groups/public/documents/webdatei/mdaw/mjgz/~edisp/l6019022dstbai784628.pdf?_ba.sid=L6019022DSTBAI784625","x")</f>
        <v>x</v>
      </c>
      <c r="JL153" s="112" t="str">
        <f>HYPERLINK("http://www.kub-berlin.org/formularprojekt/de/englisch-antraege-und-anlagen-uebersetzungshilfen/","x")</f>
        <v>x</v>
      </c>
      <c r="JM153" s="112" t="str">
        <f>HYPERLINK("https://www.arbeitsagentur.de/web/content/DE/Formulare/Detail/index.htm?dfContentId=L6019022DSTBAI485740","x")</f>
        <v>x</v>
      </c>
      <c r="JN153" s="112"/>
      <c r="JO153" s="112"/>
      <c r="JP153" s="112"/>
      <c r="JQ153" s="112"/>
      <c r="JR153" s="112" t="str">
        <f>HYPERLINK("http://www.ibla-germany.de/merkblaetter.php","x")</f>
        <v>x</v>
      </c>
      <c r="JS153" s="112"/>
      <c r="JT153" s="112" t="str">
        <f>HYPERLINK("http://www.b-umf.de/images/willkommen/willkommensbroschureenglisch-web.pdf","x")</f>
        <v>x</v>
      </c>
      <c r="JU153" s="111"/>
      <c r="JV153" s="111"/>
      <c r="JW153" s="112"/>
      <c r="JX153" s="112" t="str">
        <f>HYPERLINK("https://www.arbeitsagentur.de/web/wcm/idc/groups/public/documents/webdatei/mdaw/mjgz/~edisp/l6019022dstbai784636.pdf?_ba.sid=L6019022DSTBAI784633","x")</f>
        <v>x</v>
      </c>
      <c r="JY153" s="112"/>
      <c r="JZ153" s="112"/>
      <c r="KA153" s="112"/>
      <c r="KB153" s="112" t="str">
        <f>HYPERLINK("http://www.refugeeguide.de/dl/RefugeeGuide_en_925.pdf","x")</f>
        <v>x</v>
      </c>
      <c r="KC153" s="112" t="str">
        <f>HYPERLINK("http://www.gesetze-im-internet.de/englisch_gg/basic_law_for_the_federal_republic_of_germany.pdf","x")</f>
        <v>x</v>
      </c>
      <c r="KD153" s="112" t="str">
        <f>HYPERLINK("http://www.wedel.de/fileadmin/user_upload/media/pdf/Rathaus_und_Politik/20160118_PM_Broschuere.pdf","x")</f>
        <v>x</v>
      </c>
      <c r="KE153" s="112" t="str">
        <f>HYPERLINK("http://www.frauenrechte.de/online/images/downloads/allgemein/TDF_Flyer_Women_Men.pdf","x")</f>
        <v>x</v>
      </c>
      <c r="KF153" s="112" t="str">
        <f>HYPERLINK("http://sab.landtag.sachsen.de/dokumente/landtagskurier/Grundwerte-A5-international_web_08012016.pdf","x")</f>
        <v>x</v>
      </c>
      <c r="KG153" s="112"/>
      <c r="KH153" s="112"/>
      <c r="KI153" s="112"/>
      <c r="KJ153" s="112"/>
      <c r="KK153" s="112"/>
      <c r="KL153" s="112"/>
      <c r="KM153" s="112"/>
      <c r="KN153" s="112"/>
      <c r="KO153" s="112"/>
      <c r="KP153" s="112"/>
      <c r="KQ153" s="112"/>
      <c r="KR153" s="112"/>
      <c r="KS153" s="112"/>
      <c r="KT153" s="112"/>
      <c r="KU153" s="112"/>
      <c r="KV153" s="112"/>
      <c r="KW153" s="112"/>
      <c r="KX153" s="112"/>
      <c r="KY153" s="112"/>
      <c r="KZ153" s="112"/>
      <c r="LA153" s="112"/>
      <c r="LB153" s="112"/>
      <c r="LC153" s="111"/>
      <c r="LD153" s="112"/>
      <c r="LE153" s="112"/>
      <c r="LF153" s="112"/>
      <c r="LG153" s="112"/>
      <c r="LH153" s="112"/>
      <c r="LI153" s="112"/>
      <c r="LJ153" s="112"/>
      <c r="LK153" s="112"/>
      <c r="LL153" s="112"/>
      <c r="LM153" s="112"/>
      <c r="LN153" s="112"/>
      <c r="LO153" s="112"/>
      <c r="LP153" s="112"/>
      <c r="LQ153" s="112"/>
      <c r="LR153" s="112"/>
      <c r="LS153" s="112"/>
      <c r="LT153" s="112"/>
      <c r="LU153" s="112"/>
      <c r="LV153" s="112"/>
      <c r="LW153" s="112"/>
      <c r="LX153" s="112"/>
      <c r="LY153" s="112"/>
      <c r="LZ153" s="112"/>
      <c r="MA153" s="112"/>
      <c r="MB153" s="112"/>
      <c r="MC153" s="111"/>
      <c r="MD153" s="112" t="str">
        <f>HYPERLINK("http://www.rki.de/DE/Content/Infekt/IfSG/Belehrungsbogen/belehrungsbogen_lebensmittel_englisch.pdf?__blob=publicationFile","x")</f>
        <v>x</v>
      </c>
      <c r="ME153" s="112"/>
      <c r="MF153" s="112" t="str">
        <f>HYPERLINK("http://www.gdv.de/wp-content/uploads/2016/01/Information_Brandschutz_Fluechtlingsheim_-Sicherheit_mehrsprachig.pdf","x")</f>
        <v>x</v>
      </c>
      <c r="MG153" s="112" t="str">
        <f>HYPERLINK("http://www.gdv.de/wp-content/uploads/2016/01/Information_Verhalten-im-Brandfall_mehrsprachig.pdf","x")</f>
        <v>x</v>
      </c>
      <c r="MH153" s="112" t="str">
        <f>HYPERLINK("http://www.aha-region.de/fileadmin/Download/pdf/aha_Plakat_Muelltrennung_en.pdf","x")</f>
        <v>x</v>
      </c>
      <c r="MI153" s="112" t="str">
        <f>HYPERLINK("http://www.kindersicherheit.de/pdf/2012_poster_achtunggiftig_8sprachig.pdf","x")</f>
        <v>x</v>
      </c>
    </row>
    <row r="154" spans="1:347" x14ac:dyDescent="0.25">
      <c r="A154" s="102" t="s">
        <v>389</v>
      </c>
      <c r="B154" s="127" t="s">
        <v>4</v>
      </c>
      <c r="C154" s="102"/>
      <c r="D154" s="102"/>
      <c r="E154" s="102"/>
      <c r="F154" s="102"/>
      <c r="G154" s="102"/>
      <c r="H154" s="102"/>
      <c r="I154" s="102"/>
      <c r="J154" s="102"/>
      <c r="K154" s="103"/>
      <c r="L154" s="111"/>
      <c r="M154" s="111"/>
      <c r="N154" s="112" t="str">
        <f>HYPERLINK("http://www.ag-fluechtlingshilfe-wetterau.de/uploads/infos/170.pdf","x")</f>
        <v>x</v>
      </c>
      <c r="O154" s="112" t="str">
        <f>HYPERLINK("http://www.ag-fluechtlingshilfe-wetterau.de/uploads/infos/220.pdf","x")</f>
        <v>x</v>
      </c>
      <c r="P154" s="112" t="str">
        <f>HYPERLINK("http://www.awb-ahrweiler.de/admin/data/ddownload/Abfall%20Sonderhinweise-englisch_2014.pdf","x")</f>
        <v>x</v>
      </c>
      <c r="Q154" s="112" t="str">
        <f>HYPERLINK("http://www.ag-fluechtlingshilfe-wetterau.de/uploads/infos/221.pdf","x")</f>
        <v>x</v>
      </c>
      <c r="R154" s="112" t="str">
        <f>HYPERLINK("http://www.konto.org/download/merkblatt-basiskonto-asylbewerber-english.pdf","x")</f>
        <v>x</v>
      </c>
      <c r="S154" s="112"/>
      <c r="T154" s="112" t="str">
        <f>HYPERLINK("https://antworten.sparkasse.de/wp-content/uploads/2015/10/English.pdf","x")</f>
        <v>x</v>
      </c>
      <c r="U154" s="112" t="str">
        <f>HYPERLINK("http://www.ag-fluechtlingshilfe-wetterau.de/uploads/infos/191.pdf","x")</f>
        <v>x</v>
      </c>
      <c r="V154" s="112"/>
      <c r="W154" s="112"/>
      <c r="X15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4" s="112"/>
      <c r="AA154" s="112"/>
      <c r="AB154" s="112"/>
      <c r="AC154" s="112" t="str">
        <f>HYPERLINK("http://www.vzhh.de/vzhh/409638/vzhh_refugees_telephone_internet.pdf","x")</f>
        <v>x</v>
      </c>
      <c r="AD154" s="112" t="str">
        <f>HYPERLINK("http://www.vzhh.de/vzhh/410647/vzhh_refugees_rundfunk.pdf","x")</f>
        <v>x</v>
      </c>
      <c r="AE154" s="112" t="str">
        <f>HYPERLINK("http://www.vzhh.de/vzhh/411476/vzhh_refugees_rundfunk_befreiung.pdf","x")</f>
        <v>x</v>
      </c>
      <c r="AF154" s="112" t="str">
        <f>HYPERLINK("http://www.kub-berlin.org/formularprojekt/de/englisch-antraege-und-anlagen-uebersetzungshilfen/","x")</f>
        <v>x</v>
      </c>
      <c r="AG154" s="112" t="str">
        <f>HYPERLINK("http://asyl-in-moenchengladbach.de/wp-content/uploads/2015/11/100711-Flyer_GB.pdf","x")</f>
        <v>x</v>
      </c>
      <c r="AH154" s="112" t="str">
        <f>HYPERLINK("http://sghanstedt.elbnetz.com/ueber-uns/","x")</f>
        <v>x</v>
      </c>
      <c r="AI154" s="112" t="str">
        <f>HYPERLINK("https://www.adac.de/sp/stiftung/_mmm/pdf/SGE_FOL_Verkehrssicherheit_Fl%C3%BCchtlinge_A3_01_16_Internet_250277.pdf","x")</f>
        <v>x</v>
      </c>
      <c r="AJ154" s="112" t="str">
        <f>HYPERLINK("http://www.stadt-koeln.de/mediaasset/content/kvb_kinderleicht_und_spielend_einfach__englisch_.pdf","x")</f>
        <v>x</v>
      </c>
      <c r="AK154" s="112" t="str">
        <f>HYPERLINK("https://www.vrsinfo.de/fileadmin/Dateien/downloadcenter/Folder_MobilPassTicket_Refugees01012016.pdf","x")</f>
        <v>x</v>
      </c>
      <c r="AL154" s="112" t="str">
        <f>HYPERLINK("https://www.vrsinfo.de/fileadmin/Dateien/downloadcenter/Willkommen_im_VRS2016_Druck.pdf","x")</f>
        <v>x</v>
      </c>
      <c r="AM154" s="112"/>
      <c r="AN154" s="112" t="str">
        <f>HYPERLINK("https://www.deutschebahn.com/file/de/2191748/eYdgZpqGpp5sMJ2KMKtg2r8aE4Q/10123812/data/infos_fuer_fluechtlinge.pdf","x")</f>
        <v>x</v>
      </c>
      <c r="AO154" s="112"/>
      <c r="AP154" s="112"/>
      <c r="AQ154" s="112"/>
      <c r="AR154" s="112"/>
      <c r="AS154" s="112"/>
      <c r="AT154" s="112"/>
      <c r="AU154" s="112" t="str">
        <f>HYPERLINK("http://www.stadt-koeln.de/mediaasset/content/festkomitee_flyer_2016_d_gb.pdf","x")</f>
        <v>x</v>
      </c>
      <c r="AV154" s="113"/>
      <c r="AW154" s="114" t="str">
        <f t="shared" si="55"/>
        <v>x</v>
      </c>
      <c r="AX154" s="114" t="str">
        <f t="shared" si="56"/>
        <v>x</v>
      </c>
      <c r="AY154" s="112" t="str">
        <f>HYPERLINK("http://fi-lohmar-siegburg.de/data/documents/Findefix_arabisch-Bildwoerterbuch.pdf","x")</f>
        <v>x</v>
      </c>
      <c r="AZ154" s="111"/>
      <c r="BA154" s="112" t="str">
        <f t="shared" si="57"/>
        <v>x</v>
      </c>
      <c r="BB154" s="112" t="str">
        <f t="shared" si="58"/>
        <v>x</v>
      </c>
      <c r="BC154" s="111"/>
      <c r="BD154" s="111"/>
      <c r="BE154" s="112" t="str">
        <f>HYPERLINK("http://fi-lohmar-siegburg.de/data/documents/communicationboard-arabic-english.pdf","x")</f>
        <v>x</v>
      </c>
      <c r="BF154" s="112"/>
      <c r="BG154" s="111"/>
      <c r="BH154" s="112" t="str">
        <f>HYPERLINK("http://www.refugeephrasebook.de/pdf/germany150920.pdf","x")</f>
        <v>x</v>
      </c>
      <c r="BI154" s="112" t="str">
        <f>HYPERLINK("https://www.advanced-online.eu/downloads/RefugeePhrasebookCards_German-English.pdf","x")</f>
        <v>x</v>
      </c>
      <c r="BJ154" s="112" t="str">
        <f>HYPERLINK("http://www.klett-sprachen.de/download/8638/W100255_Refugees_Welcome_Wortschatz.pdf","x")</f>
        <v>x</v>
      </c>
      <c r="BK154" s="111"/>
      <c r="BL154" s="112" t="str">
        <f>HYPERLINK("http://www.bundessprachenamt.de/deutsch/wir_ueber_uns/nachrichten/2015/20151103/Verständigungshilfe_Englisch_26_11_2015.pdf","x")</f>
        <v>x</v>
      </c>
      <c r="BM154" s="112" t="str">
        <f>HYPERLINK("http://www.frnrw.de/images/Aus_den_Initiativen/Ehrenamtler/2015/Dictionary_x10_print-2.pdf","x")</f>
        <v>x</v>
      </c>
      <c r="BN154" s="112" t="str">
        <f>HYPERLINK("http://www.medbox.org/toolboxes/kleines-worterbuch-little-dictionary-deutsch-englisch-arabisch/preview","x")</f>
        <v>x</v>
      </c>
      <c r="BO154" s="112" t="str">
        <f>HYPERLINK("http://mylanguages.org/dari_phrases.php","x")</f>
        <v>x</v>
      </c>
      <c r="BP154" s="111"/>
      <c r="BQ154" s="111"/>
      <c r="BR154" s="111"/>
      <c r="BS154" s="112" t="str">
        <f t="shared" si="59"/>
        <v>x</v>
      </c>
      <c r="BT154" s="112"/>
      <c r="BU154" s="111"/>
      <c r="BV154" s="112" t="str">
        <f t="shared" si="60"/>
        <v>x</v>
      </c>
      <c r="BW154" s="112" t="str">
        <f>HYPERLINK("http://www.welcomegrooves.de/wp-content/uploads/2015/10/welcomegrooves_DE-ENGLISH1.pdf","x")</f>
        <v>x</v>
      </c>
      <c r="BX154" s="112"/>
      <c r="BY154" s="112"/>
      <c r="BZ154" s="112"/>
      <c r="CA154" s="112" t="str">
        <f t="shared" si="61"/>
        <v>x</v>
      </c>
      <c r="CB154" s="112" t="str">
        <f t="shared" si="62"/>
        <v>x</v>
      </c>
      <c r="CC154" s="112" t="str">
        <f t="shared" si="63"/>
        <v>x</v>
      </c>
      <c r="CD154" s="112"/>
      <c r="CE154" s="112"/>
      <c r="CF154" s="111"/>
      <c r="CG154" s="112" t="str">
        <f>HYPERLINK("http://www.braunschweig.de/leben/frauen/hilfe/Ohne-Gewalt-leben.pdf","x")</f>
        <v>x</v>
      </c>
      <c r="CH154" s="112" t="str">
        <f>HYPERLINK("http://mifkjf.rlp.de/fileadmin/mifkjf/Frauen/Gewalt_gegen_Frauen/Downloads/Broschueren_Flyer/Flyer_Gewalt_englisch.pdf","x")</f>
        <v>x</v>
      </c>
      <c r="CI154" s="112" t="str">
        <f>HYPERLINK("https://www.hilfetelefon.de/fileadmin/hilfetelefon_de/Materialien/Flyer/Infoflyer_Hilfetelefon_Gewalt_gegen_Frauen141105_b2.pdf","x")</f>
        <v>x</v>
      </c>
      <c r="CJ154" s="112" t="str">
        <f>HYPERLINK("https://www.hilfetelefon.de/fileadmin/hilfetelefon_de/Materialien/weitere_werbemittel/Klappflyer_Vorder-_und_Rueckseite_opt2.pdf","x")</f>
        <v>x</v>
      </c>
      <c r="CK154" s="112" t="str">
        <f t="shared" si="64"/>
        <v>x</v>
      </c>
      <c r="CL154" s="112" t="str">
        <f>HYPERLINK("http://www.frauenberatungsstelle.de/pdf/Migrantinnen-beraten-Migrantinnen.pdf","x")</f>
        <v>x</v>
      </c>
      <c r="CM154" s="112" t="str">
        <f>HYPERLINK("http://www.frauenleben.org/spezielle_beratungsangebote/sexualisierte_gewalt.htm","x")</f>
        <v>x</v>
      </c>
      <c r="CN154" s="112"/>
      <c r="CO154" s="112"/>
      <c r="CP154" s="112" t="str">
        <f>HYPERLINK("http://www.schwanger-und-viele-fragen.de/en/","x")</f>
        <v>x</v>
      </c>
      <c r="CQ154" s="112"/>
      <c r="CR15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4" s="112" t="str">
        <f>HYPERLINK("http://en.beststart.org/for_parents/are-you-looking-resources-languages-other-english-and-french","x")</f>
        <v>x</v>
      </c>
      <c r="CT154" s="112"/>
      <c r="CU154" s="112" t="str">
        <f>HYPERLINK("http://www.profamilia.de/fileadmin/publikationen/Erwachsene/mehrsprachig/Bro_Verhuetung_engl_2013.pdf","x")</f>
        <v>x</v>
      </c>
      <c r="CV154" s="112" t="str">
        <f>HYPERLINK("http://www.profamilia.de/fileadmin/publikationen/Erwachsene/mehrsprachig/Bro_Pille_danach_Faltblatt_140122_RZ.pdf","x")</f>
        <v>x</v>
      </c>
      <c r="CW154" s="112" t="str">
        <f>HYPERLINK("http://www.profamilia.de/fileadmin/publikationen/Reihe_Verhuetungsmethoden/Einleger_englisch.pdf","x")</f>
        <v>x</v>
      </c>
      <c r="CX154" s="112" t="str">
        <f>HYPERLINK("http://www.profamilia.de/fileadmin/publikationen/Reihe_Koerper_und_Sexualtitaet/Schwangerschaftsabbruch_englisch_2010.pdf","x")</f>
        <v>x</v>
      </c>
      <c r="CY154" s="112" t="str">
        <f>HYPERLINK("http://www.caritas-schwarzwald-alb-donau.de/68854.html","x")</f>
        <v>x</v>
      </c>
      <c r="CZ154" s="112" t="str">
        <f>HYPERLINK("http://www.dgfpi.de/tl_files/download/medien/unwissen-macht-en.pdf","x")</f>
        <v>x</v>
      </c>
      <c r="DA154" s="112"/>
      <c r="DB154" s="112"/>
      <c r="DC154" s="115" t="str">
        <f>HYPERLINK("http://www.kindersicherheit.de/pdf/2013_BAG_Tomi_and_Mila_Deutsch_English.pdf","x")</f>
        <v>x</v>
      </c>
      <c r="DD154" s="112"/>
      <c r="DE154" s="112"/>
      <c r="DF154" s="112" t="str">
        <f t="shared" si="65"/>
        <v>x</v>
      </c>
      <c r="DG154" s="115" t="str">
        <f t="shared" si="66"/>
        <v>x</v>
      </c>
      <c r="DH154" s="112" t="str">
        <f t="shared" si="67"/>
        <v>x</v>
      </c>
      <c r="DI154" s="112" t="str">
        <f t="shared" si="68"/>
        <v>x</v>
      </c>
      <c r="DJ154" s="112"/>
      <c r="DK154" s="112"/>
      <c r="DL154" s="112"/>
      <c r="DM154" s="112"/>
      <c r="DN154" s="112"/>
      <c r="DO154" s="112" t="str">
        <f>HYPERLINK("http://www.wdrmaus.de/sachgeschichten/maus-international/","x")</f>
        <v>x</v>
      </c>
      <c r="DP154" s="111"/>
      <c r="DQ154" s="111"/>
      <c r="DR154" s="112" t="str">
        <f>HYPERLINK("https://broschueren.nordrheinwestfalendirekt.de/broschuerenservice/msw/eng-das-schulsystem-in-nordrhein-westfalen-einfach-und-schnell-erklaert/1902","x")</f>
        <v>x</v>
      </c>
      <c r="DS154" s="112" t="str">
        <f>HYPERLINK("http://bildung.koeln.de/materialbibliothek/download.php?idx=8e2a9f658e9fa830ce17dc18f0fb0268","x")</f>
        <v>x</v>
      </c>
      <c r="DT154" s="112" t="str">
        <f>HYPERLINK("http://bildung.koeln.de/materialbibliothek/download.php?idx=90aff7e7259385cadb46c517317f1446","x")</f>
        <v>x</v>
      </c>
      <c r="DU154" s="112"/>
      <c r="DV154" s="112" t="str">
        <f>HYPERLINK("https://www.bmbf.de/pub/Kausa_Elternbroschuere_englisch.pdf","x")</f>
        <v>x</v>
      </c>
      <c r="DW154" s="112"/>
      <c r="DX154" s="112" t="str">
        <f>HYPERLINK("http://www.wissenschaft.nrw.de/studium/informieren/informationen-fuer-fluechtlinge-die-in-nrw-studieren-moechten/","x")</f>
        <v>x</v>
      </c>
      <c r="DY154" s="112" t="str">
        <f>HYPERLINK("http://www.bamf.de/SharedDocs/Anlagen/DE/Publikationen/Flyer/AnerkennungBerufsabschluss/berufliche_anerkennung_akademische-heilberufe_en.pdf?__blob=publicationFile","x")</f>
        <v>x</v>
      </c>
      <c r="DZ154" s="112" t="str">
        <f>HYPERLINK("http://www.bamf.de/SharedDocs/Anlagen/EN/Publikationen/Flyer/AnerkennungBerufsabschluss/anerkennung-berufsabschluss.pdf?__blob=publicationFile","x")</f>
        <v>x</v>
      </c>
      <c r="EA154" s="112" t="str">
        <f>HYPERLINK("http://www.bamf.de/SharedDocs/Anlagen/EN/Publikationen/Flyer/AnerkennungBerufsabschluss/anerkennung-berufsabschluss_ausland.pdf?__blob=publicationFile","x")</f>
        <v>x</v>
      </c>
      <c r="EB154" s="112" t="str">
        <f>HYPERLINK("http://www.bamf.de/SharedDocs/Anlagen/EN/Publikationen/Broschueren/willkommen-in-deutschland-info-blaue-karte-eu_en.pdf?__blob=publicationFile","x")</f>
        <v>x</v>
      </c>
      <c r="EC154" s="112" t="str">
        <f>HYPERLINK("http://www.bamf.de/SharedDocs/Anlagen/EN/Publikationen/Flyer/Berufsbezsprachf-ESF-BAMF/berufsbezsprachf-esf-bamf.pdf?__blob=publicationFile","x")</f>
        <v>x</v>
      </c>
      <c r="ED154" s="111"/>
      <c r="EE154" s="111"/>
      <c r="EF154" s="111"/>
      <c r="EG154" s="111"/>
      <c r="EH154" s="111"/>
      <c r="EI154" s="111"/>
      <c r="EJ154" s="112"/>
      <c r="EK154" s="112" t="str">
        <f>HYPERLINK("http://fluechtlingsrat-bw.de/files/Dateien/Dokumente/Materialbestellung/2014-12-flyer%20arbeitserlaubnis%20EN%20WEB.pdf","x")</f>
        <v>x</v>
      </c>
      <c r="EL154" s="112" t="str">
        <f>HYPERLINK("http://www.aponet.de/englisch/20151019-fuer-den-notfall-wichtige-rufnummern-im-ueberblick.html","x")</f>
        <v>x</v>
      </c>
      <c r="EM154" s="112" t="str">
        <f>HYPERLINK("http://www.kvs-sachsen.de/fileadmin/img/Mitglieder/Asylbewerber/Allg-Informationen/Anlage_1_Englisch_LEK.pdf","x")</f>
        <v>x</v>
      </c>
      <c r="EN154" s="112" t="str">
        <f>HYPERLINK("http://www.medizin-hilft-fluechtlingen.de/images/Dokumente/gSch/gSch_eng.pdf","x")</f>
        <v>x</v>
      </c>
      <c r="EO154" s="112" t="str">
        <f>HYPERLINK("http://www.aponet.de/englisch/medical-care-for-asylum-seekers.html","x")</f>
        <v>x</v>
      </c>
      <c r="EP154" s="117" t="str">
        <f>HYPERLINK("http://www.medi-bild.de/pdf/anamnese/Welche_Sprache.pdf","x")</f>
        <v>x</v>
      </c>
      <c r="EQ154" s="117" t="str">
        <f>HYPERLINK("http://www.armut-gesundheit.de/fileadmin/redakteur/dokumente/Anamnesebogen%20-%20englischnew.pdf","x")</f>
        <v>x</v>
      </c>
      <c r="ER154" s="112" t="str">
        <f>HYPERLINK("http://www.kvs-sachsen.de/fileadmin/img/Mitglieder/Asylbewerber/Allg-Informationen/Anlagen_2-1_2-2_Englisch_LEK.pdf","x")</f>
        <v>x</v>
      </c>
      <c r="ES154" s="111"/>
      <c r="ET154" s="111"/>
      <c r="EU154" s="112" t="str">
        <f>HYPERLINK("http://www.medizin-hilft-fluechtlingen.de/images/Dokumente/ein/ein_engl.pdf","x")</f>
        <v>x</v>
      </c>
      <c r="EV154" s="112" t="str">
        <f>HYPERLINK("http://www.adler-apotheke-hh.de/fileadmin/user_upload/PDF-Dateien/Dosierzettel_mehrsprachig_AUF_0_.pdf","x")</f>
        <v>x</v>
      </c>
      <c r="EW154" s="112" t="str">
        <f t="shared" si="69"/>
        <v>x</v>
      </c>
      <c r="EX154" s="112" t="str">
        <f>HYPERLINK("http://www.rki.de/DE/Content/Infekt/IfSG/Belehrungsbogen/belehrungsbogen_eltern_englisch.pdf?__blob=publicationFile","x")</f>
        <v>x</v>
      </c>
      <c r="EY154" s="112" t="str">
        <f>HYPERLINK("http://www.bzga.de/infomaterialien/?sid=236","x")</f>
        <v>x</v>
      </c>
      <c r="EZ154" s="112" t="str">
        <f>HYPERLINK("https://www.mh-hannover.de/fileadmin/mhh/bilder/aktuelles_presse/pressestelle/bilder/Pilzvergif_English.pdf","x")</f>
        <v>x</v>
      </c>
      <c r="FA154" s="112"/>
      <c r="FB154" s="112" t="str">
        <f>HYPERLINK("http://static.apotheken-umschau.de/media/gp/article_506373/bildwoerterbuch.pdf","x")</f>
        <v>x</v>
      </c>
      <c r="FC154" s="112" t="str">
        <f>HYPERLINK("https://www.studentenwerke.de/sites/default/files/gesundheitswoerterbuch.pdf","x")</f>
        <v>x</v>
      </c>
      <c r="FD154" s="112" t="str">
        <f t="shared" si="70"/>
        <v>x</v>
      </c>
      <c r="FE154" s="112" t="str">
        <f>HYPERLINK("http://sghanstedt.elbnetz.com/ueber-uns/","x")</f>
        <v>x</v>
      </c>
      <c r="FF154" s="112" t="str">
        <f>HYPERLINK("http://www.fuhlenhagen.com/pdf_dateien/uebertzungshilfe_aerzte_mehrsprachig.pdf","x")</f>
        <v>x</v>
      </c>
      <c r="FG154" s="112" t="str">
        <f>HYPERLINK("http://www.tipdoc.de/grafik/asyl/Gesundheitsheft_Asyl.pdf","x")</f>
        <v>x</v>
      </c>
      <c r="FH154" s="111"/>
      <c r="FI154" s="111"/>
      <c r="FJ154" s="112" t="str">
        <f>HYPERLINK("http://www.bundesgesundheitsministerium.de/fileadmin/dateien/Publikationen/Gesundheit/Broschueren/Ratgeber_Asylsuchende/Ratgeber_Asylsuchende_engl.pdf","x")</f>
        <v>x</v>
      </c>
      <c r="FK154" s="112" t="str">
        <f>HYPERLINK("http://www.rki.de/DE/Content/Infekt/Impfen/Materialien/Downloads-Impfkalender/Impfkalender_Englisch.pdf?__blob=publicationFile","x")</f>
        <v>x</v>
      </c>
      <c r="FL154" s="112" t="str">
        <f>HYPERLINK("http://www.ethno-medizinisches-zentrum.de/images/PDF-Files/impfwegweiser_englisch_2013_online.pdf","x")</f>
        <v>x</v>
      </c>
      <c r="FM154" s="112"/>
      <c r="FN154" s="112" t="str">
        <f>HYPERLINK("http://www.rki.de/DE/Content/Infekt/Impfen/Materialien/Glossar-Downloads/glossar-de-englisch.pdf?__blob=publicationFile","x")</f>
        <v>x</v>
      </c>
      <c r="FO154" s="112" t="str">
        <f>HYPERLINK("http://www.euro.who.int/__data/assets/pdf_file/0005/160754/VPDs_Signs-symptoms-complications.pdf?ua=1","x")</f>
        <v>x</v>
      </c>
      <c r="FP154" s="112" t="str">
        <f>HYPERLINK("http://www.rki.de/DE/Content/Infekt/Impfen/Materialien/Downloads-MMR/MMR-Impfinfo-englisch.pdf?__blob=publicationFile","x")</f>
        <v>x</v>
      </c>
      <c r="FQ154" s="112" t="str">
        <f>HYPERLINK("http://www.rki.de/DE/Content/InfAZ/P/Polio/Ausbruch_Syrien/Informationsblatt_Polio_Englisch.pdf?__blob=publicationFile","x")</f>
        <v>x</v>
      </c>
      <c r="FR154" s="112" t="str">
        <f>HYPERLINK("http://www.rki.de/DE/Content/Infekt/Impfen/Materialien/Downloads_HepA/Aufklaerung_HAV-Impfung_Englisch.pdf?__blob=publicationFile","x")</f>
        <v>x</v>
      </c>
      <c r="FS154" s="112" t="str">
        <f>HYPERLINK("http://www.rki.de/DE/Content/Infekt/Impfen/Materialien/Downloads_Pneumokokken/Aufklaerung_Pneumo-Impfung_Englisch.pdf?__blob=publicationFile","x")</f>
        <v>x</v>
      </c>
      <c r="FT154" s="112" t="str">
        <f>HYPERLINK("http://www.rki.de/DE/Content/Infekt/Impfen/Materialien/Downloads-DTaPIPVHibHepB/DTaPIPVHibHepB-englisch.pdf?__blob=publicationFile","x")</f>
        <v>x</v>
      </c>
      <c r="FU154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4" s="112" t="str">
        <f>HYPERLINK("http://www.rki.de/DE/Content/Infekt/Impfen/Materialien/Downloads-Tdap-IPV/Tdap-IPV-englisch.pdf?__blob=publicationFile","x")</f>
        <v>x</v>
      </c>
      <c r="FW154" s="112" t="str">
        <f>HYPERLINK("http://www.rki.de/DE/Content/Infekt/Impfen/Materialien/Downloads-Influenza_nasal/Influenza_nasal-englisch.pdf?__blob=publicationFile","x")</f>
        <v>x</v>
      </c>
      <c r="FX154" s="111"/>
      <c r="FY154" s="112"/>
      <c r="FZ154" s="112"/>
      <c r="GA154" s="111"/>
      <c r="GB154" s="111"/>
      <c r="GC154" s="111"/>
      <c r="GD154" s="112" t="str">
        <f>HYPERLINK("http://www.ethno-medizinisches-zentrum.de/images/PDF-Files/lf_diabete_englisch.pdf","x")</f>
        <v>x</v>
      </c>
      <c r="GE154" s="111"/>
      <c r="GF154" s="111"/>
      <c r="GG154" s="111"/>
      <c r="GH154" s="112"/>
      <c r="GI154" s="111"/>
      <c r="GJ154" s="111"/>
      <c r="GK154" s="112" t="str">
        <f>HYPERLINK("http://www.tipdoc.de/bus/pdf/hiv/HIV%20ESP_Webseite.pdf","x")</f>
        <v>x</v>
      </c>
      <c r="GL154" s="111"/>
      <c r="GM154" s="112" t="str">
        <f>HYPERLINK("http://www.rki.de/DE/Content/Infekt/Impfen/Materialien/Downloads-Influenza/Influenza-englisch.pdf?__blob=publicationFile","x")</f>
        <v>x</v>
      </c>
      <c r="GN154" s="111"/>
      <c r="GO154" s="112" t="str">
        <f>HYPERLINK("http://www.aponet.de/englisch/20151111-so-unterscheiden-sich-grippe-und-erkaeltung.html","x")</f>
        <v>x</v>
      </c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2" t="str">
        <f t="shared" si="71"/>
        <v>x</v>
      </c>
      <c r="HD154" s="112" t="str">
        <f>HYPERLINK("https://www.zahnaerzte-wl.de/images/_PDF-suche/KZV_ZÄK/ENDSTAND_Ankreuzbogen_Ich_verstehe.pdf","x")</f>
        <v>x</v>
      </c>
      <c r="HE154" s="112" t="str">
        <f>HYPERLINK("https://www.zahnaerzte-wl.de/images/_PDF-suche/KZV_ZÄK/Anschreiben_Patienten_englisch.pdf","x")</f>
        <v>x</v>
      </c>
      <c r="HF154" s="112" t="str">
        <f>HYPERLINK("https://www.zahnaerzte-wl.de/images/_PDF-suche/KZV_ZÄK/Fragebogen_englisch.pdf","x")</f>
        <v>x</v>
      </c>
      <c r="HG154" s="112" t="str">
        <f>HYPERLINK("https://www.zahnaerzte-wl.de/images/_PDF-suche/KZV_ZÄK/Patientenerhebungsbogen_englisch.pdf","x")</f>
        <v>x</v>
      </c>
      <c r="HH154" s="112"/>
      <c r="HI154" s="112" t="str">
        <f>HYPERLINK("http://www.bvkm.de/fileadmin/web_data/Behinderung_und_Migration_englisch_2014.pdf","x")</f>
        <v>x</v>
      </c>
      <c r="HJ154" s="112"/>
      <c r="HK154" s="112" t="str">
        <f>HYPERLINK("http://www.psychenet.de/en/mental-health/knowledge/depression.html","x")</f>
        <v>x</v>
      </c>
      <c r="HL154" s="111"/>
      <c r="HM154" s="112" t="str">
        <f>HYPERLINK("http://www.psychenet.de/en/mental-health/knowledge/psychoses.html","x")</f>
        <v>x</v>
      </c>
      <c r="HN154" s="112" t="str">
        <f>HYPERLINK("http://www.psychenet.de/en/mental-health/knowledge/somatoform-disorders.html","x")</f>
        <v>x</v>
      </c>
      <c r="HO154" s="112" t="str">
        <f>HYPERLINK("http://www.psychenet.de/en/mental-health/knowledge/anorexia.html","x")</f>
        <v>x</v>
      </c>
      <c r="HP154" s="112" t="str">
        <f>HYPERLINK("http://www.psychenet.de/en/mental-health/knowledge/bulimia.html","x")</f>
        <v>x</v>
      </c>
      <c r="HQ154" s="112" t="str">
        <f>HYPERLINK("http://www.psychenet.de/en/mental-health/knowledge/bipolar-disorder.html","x")</f>
        <v>x</v>
      </c>
      <c r="HR154" s="112" t="str">
        <f>HYPERLINK("http://www.psychenet.de/en/mental-health/knowledge/panic-and-agoraphobia.html","x")</f>
        <v>x</v>
      </c>
      <c r="HS154" s="112" t="str">
        <f>HYPERLINK("http://www.psychenet.de/en/mental-health/knowledge/social-phobia.html","x")</f>
        <v>x</v>
      </c>
      <c r="HT154" s="112" t="str">
        <f>HYPERLINK("http://www.psychenet.de/en/mental-health/knowledge/generalized-anxiety-disorder.html","x")</f>
        <v>x</v>
      </c>
      <c r="HU154" s="112"/>
      <c r="HV154" s="112" t="str">
        <f>HYPERLINK("http://www.psychenet.de/en/mental-health/knowledge/information-and-support.html","x")</f>
        <v>x</v>
      </c>
      <c r="HW154" s="112"/>
      <c r="HX154" s="112" t="str">
        <f>HYPERLINK("http://www.bkk-psychisch-gesund.de/fileadmin/user_upload/Dokumente/Versicherte/Broschueren/Wegweiser_Psychotherapie_englisch.pdf","x")</f>
        <v>x</v>
      </c>
      <c r="HY154" s="112" t="str">
        <f t="shared" si="72"/>
        <v>x</v>
      </c>
      <c r="HZ154" s="112" t="str">
        <f t="shared" si="73"/>
        <v>x</v>
      </c>
      <c r="IA154" s="112" t="str">
        <f>HYPERLINK("http://peacefulheart.se/wp-content/uploads/2012/02/TTT_English_2013.pdf","x")</f>
        <v>x</v>
      </c>
      <c r="IB154" s="112"/>
      <c r="IC154" s="112"/>
      <c r="ID154" s="112" t="str">
        <f>HYPERLINK("http://www.susannestein.de/VIA-online/trauma-picture-book.pdf","x")</f>
        <v>x</v>
      </c>
      <c r="IE154" s="112" t="str">
        <f>HYPERLINK("http://www.psychenet.de/en/mental-health/knowledge/alcohol-in-adolescence.html","x")</f>
        <v>x</v>
      </c>
      <c r="IF154" s="112"/>
      <c r="IG154" s="112"/>
      <c r="IH154" s="111"/>
      <c r="II154" s="112" t="str">
        <f>HYPERLINK("http://www.caritas.de/hilfeundberatung/onlineberatung/suchtberatung/haeufiggestelltefragensucht/haeufiggestelltefragen-sucht","x")</f>
        <v>x</v>
      </c>
      <c r="IJ154" s="112" t="str">
        <f>HYPERLINK("http://www.dhs.de/fileadmin/user_upload/pdf/Broschueren/Ein_Angebot_an_alle-Englisch.pdf","x")</f>
        <v>x</v>
      </c>
      <c r="IK154" s="112" t="str">
        <f>HYPERLINK("http://www.bamf.de/SharedDocs/Anlagen/EN/Publikationen/Flyer/Lassen-Sie-Sich-Beraten/lassen-sie-sich-beraten.pdf?__blob=publicationFile","x")</f>
        <v>x</v>
      </c>
      <c r="IL154" s="115" t="str">
        <f>HYPERLINK("http://www.bamf.de/SharedDocs/Anlagen/EN/Publikationen/Flyer/flyer-erstorientierung-asylsuchende.pdf?__blob=publicationFile","x")</f>
        <v>x</v>
      </c>
      <c r="IM154" s="112" t="str">
        <f>HYPERLINK("http://www.frnrw.de/index.php/inhaltliche-themen/arbeitshilfen/item/3710-erstinfos-fuer-asylsuchende","x")</f>
        <v>x</v>
      </c>
      <c r="IN154" s="112" t="str">
        <f>HYPERLINK("http://www.bamf.de/SharedDocs/Anlagen/EN/Publikationen/Broschueren/willkommen-in-deutschland.pdf;jsessionid=2D72CB108E4AC02BBB9659E7D9A589B2.1_cid368?__blob=publicationFile","x")</f>
        <v>x</v>
      </c>
      <c r="IO154" s="112"/>
      <c r="IP154" s="112"/>
      <c r="IQ154" s="112" t="str">
        <f>HYPERLINK("http://www.bamf.de/SharedDocs/Anlagen/EN/Publikationen/Flyer/Lernen-Sie-Deutsch/lernen-sie-deutsch.pdf?__blob=publicationFile","x")</f>
        <v>x</v>
      </c>
      <c r="IR154" s="112" t="str">
        <f>HYPERLINK("http://www.asyl.net/fileadmin/user_upload/redaktion/Dokumente/Arbeitshilfen/150910_Wie_l%C3%A4uft_ein_Asylverfahren_ab_%C3%9Cberblickstext_Englisch.pdf","x")</f>
        <v>x</v>
      </c>
      <c r="IS154" s="111"/>
      <c r="IT154" s="112" t="str">
        <f>HYPERLINK("http://www.bamf.de/SharedDocs/Anlagen/EN/Publikationen/Flyer/ablauf-asylverfahren.pdf;jsessionid=DBD4307960D761935FCC3E0325D459A1.1_cid294?__blob=publicationFile","x")</f>
        <v>x</v>
      </c>
      <c r="IU154" s="111"/>
      <c r="IV154" s="112" t="str">
        <f>HYPERLINK("http://www.asyl.net/fileadmin/user_upload/infoblatt_anhoerung/Infoblatt_2015_en_fin.pdf","x")</f>
        <v>x</v>
      </c>
      <c r="IW154" s="112"/>
      <c r="IX154" s="112" t="str">
        <f>HYPERLINK("http://www.berlin.de/labo/willkommen-in-berlin/service/downloads/artikel.273193.php","x")</f>
        <v>x</v>
      </c>
      <c r="IY154" s="112" t="str">
        <f>HYPERLINK("http://www.bamf.de/SharedDocs/Anlagen/EN/Publikationen/Broschueren/broschuere-eat-a4.pdf?__blob=publicationFile","x")</f>
        <v>x</v>
      </c>
      <c r="IZ154" s="111"/>
      <c r="JA154" s="112" t="str">
        <f>HYPERLINK("http://fluechtlingsrat-bw.de/informationen-fuer-fluechtlinge.html","x")</f>
        <v>x</v>
      </c>
      <c r="JB154" s="111"/>
      <c r="JC154" s="112" t="str">
        <f>HYPERLINK("http://www.bamf.de/SharedDocs/Anlagen/EN/Publikationen/Flyer/20150223_ura2_en.pdf?__blob=publicationFile","x")</f>
        <v>x</v>
      </c>
      <c r="JD154" s="111"/>
      <c r="JE154" s="112"/>
      <c r="JF154" s="112"/>
      <c r="JG154" s="112" t="str">
        <f>HYPERLINK("http://www.bamf.de/SharedDocs/Anlagen/EN/Publikationen/Flyer/Ehegattennachzug/ehegattennachzug.pdf?__blob=publicationFile","x")</f>
        <v>x</v>
      </c>
      <c r="JH154" s="112" t="str">
        <f>HYPERLINK("https://familyreunion-syria.diplo.de/webportal/index.html#start","x")</f>
        <v>x</v>
      </c>
      <c r="JI154" s="112" t="str">
        <f>HYPERLINK("http://ec.europa.eu/dgs/home-affairs/what-we-do/networks/european_migration_network/docs/emn-glossary-en-version.pdf","x")</f>
        <v>x</v>
      </c>
      <c r="JJ154" s="112"/>
      <c r="JK154" s="112" t="str">
        <f>HYPERLINK("https://www.arbeitsagentur.de/web/wcm/idc/groups/public/documents/webdatei/mdaw/mjgz/~edisp/l6019022dstbai784628.pdf?_ba.sid=L6019022DSTBAI784625","x")</f>
        <v>x</v>
      </c>
      <c r="JL154" s="112" t="str">
        <f>HYPERLINK("http://www.kub-berlin.org/formularprojekt/de/englisch-antraege-und-anlagen-uebersetzungshilfen/","x")</f>
        <v>x</v>
      </c>
      <c r="JM154" s="112" t="str">
        <f>HYPERLINK("https://www.arbeitsagentur.de/web/content/DE/Formulare/Detail/index.htm?dfContentId=L6019022DSTBAI485740","x")</f>
        <v>x</v>
      </c>
      <c r="JN154" s="112"/>
      <c r="JO154" s="112"/>
      <c r="JP154" s="112"/>
      <c r="JQ154" s="112"/>
      <c r="JR154" s="112" t="str">
        <f>HYPERLINK("http://www.ibla-germany.de/merkblaetter.php","x")</f>
        <v>x</v>
      </c>
      <c r="JS154" s="112"/>
      <c r="JT154" s="112" t="str">
        <f>HYPERLINK("http://www.b-umf.de/images/willkommen/willkommensbroschureenglisch-web.pdf","x")</f>
        <v>x</v>
      </c>
      <c r="JU154" s="111"/>
      <c r="JV154" s="111"/>
      <c r="JW154" s="112"/>
      <c r="JX154" s="112" t="str">
        <f>HYPERLINK("https://www.arbeitsagentur.de/web/wcm/idc/groups/public/documents/webdatei/mdaw/mjgz/~edisp/l6019022dstbai784636.pdf?_ba.sid=L6019022DSTBAI784633","x")</f>
        <v>x</v>
      </c>
      <c r="JY154" s="112"/>
      <c r="JZ154" s="112"/>
      <c r="KA154" s="112"/>
      <c r="KB154" s="112" t="str">
        <f>HYPERLINK("http://www.refugeeguide.de/dl/RefugeeGuide_en_925.pdf","x")</f>
        <v>x</v>
      </c>
      <c r="KC154" s="112" t="str">
        <f>HYPERLINK("http://www.gesetze-im-internet.de/englisch_gg/basic_law_for_the_federal_republic_of_germany.pdf","x")</f>
        <v>x</v>
      </c>
      <c r="KD154" s="112" t="str">
        <f>HYPERLINK("http://www.wedel.de/fileadmin/user_upload/media/pdf/Rathaus_und_Politik/20160118_PM_Broschuere.pdf","x")</f>
        <v>x</v>
      </c>
      <c r="KE154" s="112" t="str">
        <f>HYPERLINK("http://www.frauenrechte.de/online/images/downloads/allgemein/TDF_Flyer_Women_Men.pdf","x")</f>
        <v>x</v>
      </c>
      <c r="KF154" s="112" t="str">
        <f>HYPERLINK("http://sab.landtag.sachsen.de/dokumente/landtagskurier/Grundwerte-A5-international_web_08012016.pdf","x")</f>
        <v>x</v>
      </c>
      <c r="KG154" s="112"/>
      <c r="KH154" s="112"/>
      <c r="KI154" s="112"/>
      <c r="KJ154" s="112"/>
      <c r="KK154" s="112"/>
      <c r="KL154" s="112"/>
      <c r="KM154" s="112"/>
      <c r="KN154" s="112"/>
      <c r="KO154" s="112"/>
      <c r="KP154" s="112"/>
      <c r="KQ154" s="112"/>
      <c r="KR154" s="112"/>
      <c r="KS154" s="112"/>
      <c r="KT154" s="112"/>
      <c r="KU154" s="112"/>
      <c r="KV154" s="112"/>
      <c r="KW154" s="112"/>
      <c r="KX154" s="112"/>
      <c r="KY154" s="112"/>
      <c r="KZ154" s="112"/>
      <c r="LA154" s="112"/>
      <c r="LB154" s="112"/>
      <c r="LC154" s="111"/>
      <c r="LD154" s="112"/>
      <c r="LE154" s="112"/>
      <c r="LF154" s="112"/>
      <c r="LG154" s="112"/>
      <c r="LH154" s="112"/>
      <c r="LI154" s="112"/>
      <c r="LJ154" s="112"/>
      <c r="LK154" s="112"/>
      <c r="LL154" s="112"/>
      <c r="LM154" s="112"/>
      <c r="LN154" s="112"/>
      <c r="LO154" s="112"/>
      <c r="LP154" s="112"/>
      <c r="LQ154" s="112"/>
      <c r="LR154" s="112"/>
      <c r="LS154" s="112"/>
      <c r="LT154" s="112"/>
      <c r="LU154" s="112"/>
      <c r="LV154" s="112"/>
      <c r="LW154" s="112"/>
      <c r="LX154" s="112"/>
      <c r="LY154" s="112"/>
      <c r="LZ154" s="112"/>
      <c r="MA154" s="112"/>
      <c r="MB154" s="112"/>
      <c r="MC154" s="111"/>
      <c r="MD154" s="112" t="str">
        <f>HYPERLINK("http://www.rki.de/DE/Content/Infekt/IfSG/Belehrungsbogen/belehrungsbogen_lebensmittel_englisch.pdf?__blob=publicationFile","x")</f>
        <v>x</v>
      </c>
      <c r="ME154" s="112"/>
      <c r="MF154" s="112" t="str">
        <f>HYPERLINK("http://www.gdv.de/wp-content/uploads/2016/01/Information_Brandschutz_Fluechtlingsheim_-Sicherheit_mehrsprachig.pdf","x")</f>
        <v>x</v>
      </c>
      <c r="MG154" s="112" t="str">
        <f>HYPERLINK("http://www.gdv.de/wp-content/uploads/2016/01/Information_Verhalten-im-Brandfall_mehrsprachig.pdf","x")</f>
        <v>x</v>
      </c>
      <c r="MH154" s="112" t="str">
        <f>HYPERLINK("http://www.aha-region.de/fileadmin/Download/pdf/aha_Plakat_Muelltrennung_en.pdf","x")</f>
        <v>x</v>
      </c>
      <c r="MI154" s="112" t="str">
        <f>HYPERLINK("http://www.kindersicherheit.de/pdf/2012_poster_achtunggiftig_8sprachig.pdf","x")</f>
        <v>x</v>
      </c>
    </row>
    <row r="155" spans="1:347" x14ac:dyDescent="0.25">
      <c r="A155" s="102" t="s">
        <v>390</v>
      </c>
      <c r="B155" s="127" t="s">
        <v>4</v>
      </c>
      <c r="C155" s="102"/>
      <c r="D155" s="102"/>
      <c r="E155" s="102"/>
      <c r="F155" s="102"/>
      <c r="G155" s="102"/>
      <c r="H155" s="102"/>
      <c r="I155" s="102"/>
      <c r="J155" s="102"/>
      <c r="K155" s="103"/>
      <c r="L155" s="111"/>
      <c r="M155" s="111"/>
      <c r="N155" s="112" t="str">
        <f>HYPERLINK("http://www.ag-fluechtlingshilfe-wetterau.de/uploads/infos/170.pdf","x")</f>
        <v>x</v>
      </c>
      <c r="O155" s="112" t="str">
        <f>HYPERLINK("http://www.ag-fluechtlingshilfe-wetterau.de/uploads/infos/220.pdf","x")</f>
        <v>x</v>
      </c>
      <c r="P155" s="112" t="str">
        <f>HYPERLINK("http://www.awb-ahrweiler.de/admin/data/ddownload/Abfall%20Sonderhinweise-englisch_2014.pdf","x")</f>
        <v>x</v>
      </c>
      <c r="Q155" s="112" t="str">
        <f>HYPERLINK("http://www.ag-fluechtlingshilfe-wetterau.de/uploads/infos/221.pdf","x")</f>
        <v>x</v>
      </c>
      <c r="R155" s="112" t="str">
        <f>HYPERLINK("http://www.konto.org/download/merkblatt-basiskonto-asylbewerber-english.pdf","x")</f>
        <v>x</v>
      </c>
      <c r="S155" s="112"/>
      <c r="T155" s="112" t="str">
        <f>HYPERLINK("https://antworten.sparkasse.de/wp-content/uploads/2015/10/English.pdf","x")</f>
        <v>x</v>
      </c>
      <c r="U155" s="112" t="str">
        <f>HYPERLINK("http://www.ag-fluechtlingshilfe-wetterau.de/uploads/infos/191.pdf","x")</f>
        <v>x</v>
      </c>
      <c r="V155" s="112"/>
      <c r="W155" s="112"/>
      <c r="X15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5" s="112"/>
      <c r="AA155" s="112"/>
      <c r="AB155" s="112"/>
      <c r="AC155" s="112" t="str">
        <f>HYPERLINK("http://www.vzhh.de/vzhh/409638/vzhh_refugees_telephone_internet.pdf","x")</f>
        <v>x</v>
      </c>
      <c r="AD155" s="112" t="str">
        <f>HYPERLINK("http://www.vzhh.de/vzhh/410647/vzhh_refugees_rundfunk.pdf","x")</f>
        <v>x</v>
      </c>
      <c r="AE155" s="112" t="str">
        <f>HYPERLINK("http://www.vzhh.de/vzhh/411476/vzhh_refugees_rundfunk_befreiung.pdf","x")</f>
        <v>x</v>
      </c>
      <c r="AF155" s="112" t="str">
        <f>HYPERLINK("http://www.kub-berlin.org/formularprojekt/de/englisch-antraege-und-anlagen-uebersetzungshilfen/","x")</f>
        <v>x</v>
      </c>
      <c r="AG155" s="112" t="str">
        <f>HYPERLINK("http://asyl-in-moenchengladbach.de/wp-content/uploads/2015/11/100711-Flyer_GB.pdf","x")</f>
        <v>x</v>
      </c>
      <c r="AH155" s="112" t="str">
        <f>HYPERLINK("http://sghanstedt.elbnetz.com/ueber-uns/","x")</f>
        <v>x</v>
      </c>
      <c r="AI155" s="112" t="str">
        <f>HYPERLINK("https://www.adac.de/sp/stiftung/_mmm/pdf/SGE_FOL_Verkehrssicherheit_Fl%C3%BCchtlinge_A3_01_16_Internet_250277.pdf","x")</f>
        <v>x</v>
      </c>
      <c r="AJ155" s="112" t="str">
        <f>HYPERLINK("http://www.stadt-koeln.de/mediaasset/content/kvb_kinderleicht_und_spielend_einfach__englisch_.pdf","x")</f>
        <v>x</v>
      </c>
      <c r="AK155" s="112" t="str">
        <f>HYPERLINK("https://www.vrsinfo.de/fileadmin/Dateien/downloadcenter/Folder_MobilPassTicket_Refugees01012016.pdf","x")</f>
        <v>x</v>
      </c>
      <c r="AL155" s="112" t="str">
        <f>HYPERLINK("https://www.vrsinfo.de/fileadmin/Dateien/downloadcenter/Willkommen_im_VRS2016_Druck.pdf","x")</f>
        <v>x</v>
      </c>
      <c r="AM155" s="112"/>
      <c r="AN155" s="112" t="str">
        <f>HYPERLINK("https://www.deutschebahn.com/file/de/2191748/eYdgZpqGpp5sMJ2KMKtg2r8aE4Q/10123812/data/infos_fuer_fluechtlinge.pdf","x")</f>
        <v>x</v>
      </c>
      <c r="AO155" s="112"/>
      <c r="AP155" s="112"/>
      <c r="AQ155" s="112"/>
      <c r="AR155" s="112"/>
      <c r="AS155" s="112"/>
      <c r="AT155" s="112"/>
      <c r="AU155" s="112" t="str">
        <f>HYPERLINK("http://www.stadt-koeln.de/mediaasset/content/festkomitee_flyer_2016_d_gb.pdf","x")</f>
        <v>x</v>
      </c>
      <c r="AV155" s="113"/>
      <c r="AW155" s="114" t="str">
        <f t="shared" si="55"/>
        <v>x</v>
      </c>
      <c r="AX155" s="114" t="str">
        <f t="shared" si="56"/>
        <v>x</v>
      </c>
      <c r="AY155" s="112" t="str">
        <f>HYPERLINK("http://fi-lohmar-siegburg.de/data/documents/Findefix_arabisch-Bildwoerterbuch.pdf","x")</f>
        <v>x</v>
      </c>
      <c r="AZ155" s="111"/>
      <c r="BA155" s="112" t="str">
        <f t="shared" si="57"/>
        <v>x</v>
      </c>
      <c r="BB155" s="112" t="str">
        <f t="shared" si="58"/>
        <v>x</v>
      </c>
      <c r="BC155" s="111"/>
      <c r="BD155" s="111"/>
      <c r="BE155" s="112" t="str">
        <f>HYPERLINK("http://fi-lohmar-siegburg.de/data/documents/communicationboard-arabic-english.pdf","x")</f>
        <v>x</v>
      </c>
      <c r="BF155" s="112"/>
      <c r="BG155" s="111"/>
      <c r="BH155" s="112" t="str">
        <f>HYPERLINK("http://www.refugeephrasebook.de/pdf/germany150920.pdf","x")</f>
        <v>x</v>
      </c>
      <c r="BI155" s="112" t="str">
        <f>HYPERLINK("https://www.advanced-online.eu/downloads/RefugeePhrasebookCards_German-English.pdf","x")</f>
        <v>x</v>
      </c>
      <c r="BJ155" s="112" t="str">
        <f>HYPERLINK("http://www.klett-sprachen.de/download/8638/W100255_Refugees_Welcome_Wortschatz.pdf","x")</f>
        <v>x</v>
      </c>
      <c r="BK155" s="111"/>
      <c r="BL155" s="112" t="str">
        <f>HYPERLINK("http://www.bundessprachenamt.de/deutsch/wir_ueber_uns/nachrichten/2015/20151103/Verständigungshilfe_Englisch_26_11_2015.pdf","x")</f>
        <v>x</v>
      </c>
      <c r="BM155" s="112" t="str">
        <f>HYPERLINK("http://www.frnrw.de/images/Aus_den_Initiativen/Ehrenamtler/2015/Dictionary_x10_print-2.pdf","x")</f>
        <v>x</v>
      </c>
      <c r="BN155" s="112" t="str">
        <f>HYPERLINK("http://www.medbox.org/toolboxes/kleines-worterbuch-little-dictionary-deutsch-englisch-arabisch/preview","x")</f>
        <v>x</v>
      </c>
      <c r="BO155" s="112" t="str">
        <f>HYPERLINK("http://mylanguages.org/dari_phrases.php","x")</f>
        <v>x</v>
      </c>
      <c r="BP155" s="111"/>
      <c r="BQ155" s="111"/>
      <c r="BR155" s="111"/>
      <c r="BS155" s="112" t="str">
        <f t="shared" si="59"/>
        <v>x</v>
      </c>
      <c r="BT155" s="112"/>
      <c r="BU155" s="111"/>
      <c r="BV155" s="112" t="str">
        <f t="shared" si="60"/>
        <v>x</v>
      </c>
      <c r="BW155" s="112" t="str">
        <f>HYPERLINK("http://www.welcomegrooves.de/wp-content/uploads/2015/10/welcomegrooves_DE-ENGLISH1.pdf","x")</f>
        <v>x</v>
      </c>
      <c r="BX155" s="112"/>
      <c r="BY155" s="112"/>
      <c r="BZ155" s="112"/>
      <c r="CA155" s="112" t="str">
        <f t="shared" si="61"/>
        <v>x</v>
      </c>
      <c r="CB155" s="112" t="str">
        <f t="shared" si="62"/>
        <v>x</v>
      </c>
      <c r="CC155" s="112" t="str">
        <f t="shared" si="63"/>
        <v>x</v>
      </c>
      <c r="CD155" s="112"/>
      <c r="CE155" s="112"/>
      <c r="CF155" s="111"/>
      <c r="CG155" s="112" t="str">
        <f>HYPERLINK("http://www.braunschweig.de/leben/frauen/hilfe/Ohne-Gewalt-leben.pdf","x")</f>
        <v>x</v>
      </c>
      <c r="CH155" s="112" t="str">
        <f>HYPERLINK("http://mifkjf.rlp.de/fileadmin/mifkjf/Frauen/Gewalt_gegen_Frauen/Downloads/Broschueren_Flyer/Flyer_Gewalt_englisch.pdf","x")</f>
        <v>x</v>
      </c>
      <c r="CI155" s="112" t="str">
        <f>HYPERLINK("https://www.hilfetelefon.de/fileadmin/hilfetelefon_de/Materialien/Flyer/Infoflyer_Hilfetelefon_Gewalt_gegen_Frauen141105_b2.pdf","x")</f>
        <v>x</v>
      </c>
      <c r="CJ155" s="112" t="str">
        <f>HYPERLINK("https://www.hilfetelefon.de/fileadmin/hilfetelefon_de/Materialien/weitere_werbemittel/Klappflyer_Vorder-_und_Rueckseite_opt2.pdf","x")</f>
        <v>x</v>
      </c>
      <c r="CK155" s="112" t="str">
        <f t="shared" si="64"/>
        <v>x</v>
      </c>
      <c r="CL155" s="112" t="str">
        <f>HYPERLINK("http://www.frauenberatungsstelle.de/pdf/Migrantinnen-beraten-Migrantinnen.pdf","x")</f>
        <v>x</v>
      </c>
      <c r="CM155" s="112" t="str">
        <f>HYPERLINK("http://www.frauenleben.org/spezielle_beratungsangebote/sexualisierte_gewalt.htm","x")</f>
        <v>x</v>
      </c>
      <c r="CN155" s="112"/>
      <c r="CO155" s="112"/>
      <c r="CP155" s="112" t="str">
        <f>HYPERLINK("http://www.schwanger-und-viele-fragen.de/en/","x")</f>
        <v>x</v>
      </c>
      <c r="CQ155" s="112"/>
      <c r="CR15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5" s="112" t="str">
        <f>HYPERLINK("http://en.beststart.org/for_parents/are-you-looking-resources-languages-other-english-and-french","x")</f>
        <v>x</v>
      </c>
      <c r="CT155" s="112"/>
      <c r="CU155" s="112" t="str">
        <f>HYPERLINK("http://www.profamilia.de/fileadmin/publikationen/Erwachsene/mehrsprachig/Bro_Verhuetung_engl_2013.pdf","x")</f>
        <v>x</v>
      </c>
      <c r="CV155" s="112" t="str">
        <f>HYPERLINK("http://www.profamilia.de/fileadmin/publikationen/Erwachsene/mehrsprachig/Bro_Pille_danach_Faltblatt_140122_RZ.pdf","x")</f>
        <v>x</v>
      </c>
      <c r="CW155" s="112" t="str">
        <f>HYPERLINK("http://www.profamilia.de/fileadmin/publikationen/Reihe_Verhuetungsmethoden/Einleger_englisch.pdf","x")</f>
        <v>x</v>
      </c>
      <c r="CX155" s="112" t="str">
        <f>HYPERLINK("http://www.profamilia.de/fileadmin/publikationen/Reihe_Koerper_und_Sexualtitaet/Schwangerschaftsabbruch_englisch_2010.pdf","x")</f>
        <v>x</v>
      </c>
      <c r="CY155" s="112" t="str">
        <f>HYPERLINK("http://www.caritas-schwarzwald-alb-donau.de/68854.html","x")</f>
        <v>x</v>
      </c>
      <c r="CZ155" s="112" t="str">
        <f>HYPERLINK("http://www.dgfpi.de/tl_files/download/medien/unwissen-macht-en.pdf","x")</f>
        <v>x</v>
      </c>
      <c r="DA155" s="112"/>
      <c r="DB155" s="112"/>
      <c r="DC155" s="115" t="str">
        <f>HYPERLINK("http://www.kindersicherheit.de/pdf/2013_BAG_Tomi_and_Mila_Deutsch_English.pdf","x")</f>
        <v>x</v>
      </c>
      <c r="DD155" s="112"/>
      <c r="DE155" s="112"/>
      <c r="DF155" s="112" t="str">
        <f t="shared" si="65"/>
        <v>x</v>
      </c>
      <c r="DG155" s="115" t="str">
        <f t="shared" si="66"/>
        <v>x</v>
      </c>
      <c r="DH155" s="112" t="str">
        <f t="shared" si="67"/>
        <v>x</v>
      </c>
      <c r="DI155" s="112" t="str">
        <f t="shared" si="68"/>
        <v>x</v>
      </c>
      <c r="DJ155" s="112"/>
      <c r="DK155" s="112"/>
      <c r="DL155" s="112"/>
      <c r="DM155" s="112"/>
      <c r="DN155" s="112"/>
      <c r="DO155" s="112" t="str">
        <f>HYPERLINK("http://www.wdrmaus.de/sachgeschichten/maus-international/","x")</f>
        <v>x</v>
      </c>
      <c r="DP155" s="111"/>
      <c r="DQ155" s="111"/>
      <c r="DR155" s="112" t="str">
        <f>HYPERLINK("https://broschueren.nordrheinwestfalendirekt.de/broschuerenservice/msw/eng-das-schulsystem-in-nordrhein-westfalen-einfach-und-schnell-erklaert/1902","x")</f>
        <v>x</v>
      </c>
      <c r="DS155" s="112" t="str">
        <f>HYPERLINK("http://bildung.koeln.de/materialbibliothek/download.php?idx=8e2a9f658e9fa830ce17dc18f0fb0268","x")</f>
        <v>x</v>
      </c>
      <c r="DT155" s="112" t="str">
        <f>HYPERLINK("http://bildung.koeln.de/materialbibliothek/download.php?idx=90aff7e7259385cadb46c517317f1446","x")</f>
        <v>x</v>
      </c>
      <c r="DU155" s="112"/>
      <c r="DV155" s="112" t="str">
        <f>HYPERLINK("https://www.bmbf.de/pub/Kausa_Elternbroschuere_englisch.pdf","x")</f>
        <v>x</v>
      </c>
      <c r="DW155" s="112"/>
      <c r="DX155" s="112" t="str">
        <f>HYPERLINK("http://www.wissenschaft.nrw.de/studium/informieren/informationen-fuer-fluechtlinge-die-in-nrw-studieren-moechten/","x")</f>
        <v>x</v>
      </c>
      <c r="DY155" s="112" t="str">
        <f>HYPERLINK("http://www.bamf.de/SharedDocs/Anlagen/DE/Publikationen/Flyer/AnerkennungBerufsabschluss/berufliche_anerkennung_akademische-heilberufe_en.pdf?__blob=publicationFile","x")</f>
        <v>x</v>
      </c>
      <c r="DZ155" s="112" t="str">
        <f>HYPERLINK("http://www.bamf.de/SharedDocs/Anlagen/EN/Publikationen/Flyer/AnerkennungBerufsabschluss/anerkennung-berufsabschluss.pdf?__blob=publicationFile","x")</f>
        <v>x</v>
      </c>
      <c r="EA155" s="112" t="str">
        <f>HYPERLINK("http://www.bamf.de/SharedDocs/Anlagen/EN/Publikationen/Flyer/AnerkennungBerufsabschluss/anerkennung-berufsabschluss_ausland.pdf?__blob=publicationFile","x")</f>
        <v>x</v>
      </c>
      <c r="EB155" s="112" t="str">
        <f>HYPERLINK("http://www.bamf.de/SharedDocs/Anlagen/EN/Publikationen/Broschueren/willkommen-in-deutschland-info-blaue-karte-eu_en.pdf?__blob=publicationFile","x")</f>
        <v>x</v>
      </c>
      <c r="EC155" s="112" t="str">
        <f>HYPERLINK("http://www.bamf.de/SharedDocs/Anlagen/EN/Publikationen/Flyer/Berufsbezsprachf-ESF-BAMF/berufsbezsprachf-esf-bamf.pdf?__blob=publicationFile","x")</f>
        <v>x</v>
      </c>
      <c r="ED155" s="111"/>
      <c r="EE155" s="111"/>
      <c r="EF155" s="111"/>
      <c r="EG155" s="111"/>
      <c r="EH155" s="111"/>
      <c r="EI155" s="111"/>
      <c r="EJ155" s="112"/>
      <c r="EK155" s="112" t="str">
        <f>HYPERLINK("http://fluechtlingsrat-bw.de/files/Dateien/Dokumente/Materialbestellung/2014-12-flyer%20arbeitserlaubnis%20EN%20WEB.pdf","x")</f>
        <v>x</v>
      </c>
      <c r="EL155" s="112" t="str">
        <f>HYPERLINK("http://www.aponet.de/englisch/20151019-fuer-den-notfall-wichtige-rufnummern-im-ueberblick.html","x")</f>
        <v>x</v>
      </c>
      <c r="EM155" s="112" t="str">
        <f>HYPERLINK("http://www.kvs-sachsen.de/fileadmin/img/Mitglieder/Asylbewerber/Allg-Informationen/Anlage_1_Englisch_LEK.pdf","x")</f>
        <v>x</v>
      </c>
      <c r="EN155" s="112" t="str">
        <f>HYPERLINK("http://www.medizin-hilft-fluechtlingen.de/images/Dokumente/gSch/gSch_eng.pdf","x")</f>
        <v>x</v>
      </c>
      <c r="EO155" s="112" t="str">
        <f>HYPERLINK("http://www.aponet.de/englisch/medical-care-for-asylum-seekers.html","x")</f>
        <v>x</v>
      </c>
      <c r="EP155" s="117" t="str">
        <f>HYPERLINK("http://www.medi-bild.de/pdf/anamnese/Welche_Sprache.pdf","x")</f>
        <v>x</v>
      </c>
      <c r="EQ155" s="117" t="str">
        <f>HYPERLINK("http://www.armut-gesundheit.de/fileadmin/redakteur/dokumente/Anamnesebogen%20-%20englischnew.pdf","x")</f>
        <v>x</v>
      </c>
      <c r="ER155" s="112" t="str">
        <f>HYPERLINK("http://www.kvs-sachsen.de/fileadmin/img/Mitglieder/Asylbewerber/Allg-Informationen/Anlagen_2-1_2-2_Englisch_LEK.pdf","x")</f>
        <v>x</v>
      </c>
      <c r="ES155" s="111"/>
      <c r="ET155" s="111"/>
      <c r="EU155" s="112" t="str">
        <f>HYPERLINK("http://www.medizin-hilft-fluechtlingen.de/images/Dokumente/ein/ein_engl.pdf","x")</f>
        <v>x</v>
      </c>
      <c r="EV155" s="112" t="str">
        <f>HYPERLINK("http://www.adler-apotheke-hh.de/fileadmin/user_upload/PDF-Dateien/Dosierzettel_mehrsprachig_AUF_0_.pdf","x")</f>
        <v>x</v>
      </c>
      <c r="EW155" s="112" t="str">
        <f t="shared" si="69"/>
        <v>x</v>
      </c>
      <c r="EX155" s="112" t="str">
        <f>HYPERLINK("http://www.rki.de/DE/Content/Infekt/IfSG/Belehrungsbogen/belehrungsbogen_eltern_englisch.pdf?__blob=publicationFile","x")</f>
        <v>x</v>
      </c>
      <c r="EY155" s="112" t="str">
        <f>HYPERLINK("http://www.bzga.de/infomaterialien/?sid=236","x")</f>
        <v>x</v>
      </c>
      <c r="EZ155" s="112" t="str">
        <f>HYPERLINK("https://www.mh-hannover.de/fileadmin/mhh/bilder/aktuelles_presse/pressestelle/bilder/Pilzvergif_English.pdf","x")</f>
        <v>x</v>
      </c>
      <c r="FA155" s="112"/>
      <c r="FB155" s="112" t="str">
        <f>HYPERLINK("http://static.apotheken-umschau.de/media/gp/article_506373/bildwoerterbuch.pdf","x")</f>
        <v>x</v>
      </c>
      <c r="FC155" s="112" t="str">
        <f>HYPERLINK("https://www.studentenwerke.de/sites/default/files/gesundheitswoerterbuch.pdf","x")</f>
        <v>x</v>
      </c>
      <c r="FD155" s="112" t="str">
        <f t="shared" si="70"/>
        <v>x</v>
      </c>
      <c r="FE155" s="112" t="str">
        <f>HYPERLINK("http://sghanstedt.elbnetz.com/ueber-uns/","x")</f>
        <v>x</v>
      </c>
      <c r="FF155" s="112" t="str">
        <f>HYPERLINK("http://www.fuhlenhagen.com/pdf_dateien/uebertzungshilfe_aerzte_mehrsprachig.pdf","x")</f>
        <v>x</v>
      </c>
      <c r="FG155" s="112" t="str">
        <f>HYPERLINK("http://www.tipdoc.de/grafik/asyl/Gesundheitsheft_Asyl.pdf","x")</f>
        <v>x</v>
      </c>
      <c r="FH155" s="111"/>
      <c r="FI155" s="111"/>
      <c r="FJ155" s="112" t="str">
        <f>HYPERLINK("http://www.bundesgesundheitsministerium.de/fileadmin/dateien/Publikationen/Gesundheit/Broschueren/Ratgeber_Asylsuchende/Ratgeber_Asylsuchende_engl.pdf","x")</f>
        <v>x</v>
      </c>
      <c r="FK155" s="112" t="str">
        <f>HYPERLINK("http://www.rki.de/DE/Content/Infekt/Impfen/Materialien/Downloads-Impfkalender/Impfkalender_Englisch.pdf?__blob=publicationFile","x")</f>
        <v>x</v>
      </c>
      <c r="FL155" s="112" t="str">
        <f>HYPERLINK("http://www.ethno-medizinisches-zentrum.de/images/PDF-Files/impfwegweiser_englisch_2013_online.pdf","x")</f>
        <v>x</v>
      </c>
      <c r="FM155" s="112"/>
      <c r="FN155" s="112" t="str">
        <f>HYPERLINK("http://www.rki.de/DE/Content/Infekt/Impfen/Materialien/Glossar-Downloads/glossar-de-englisch.pdf?__blob=publicationFile","x")</f>
        <v>x</v>
      </c>
      <c r="FO155" s="112" t="str">
        <f>HYPERLINK("http://www.euro.who.int/__data/assets/pdf_file/0005/160754/VPDs_Signs-symptoms-complications.pdf?ua=1","x")</f>
        <v>x</v>
      </c>
      <c r="FP155" s="112" t="str">
        <f>HYPERLINK("http://www.rki.de/DE/Content/Infekt/Impfen/Materialien/Downloads-MMR/MMR-Impfinfo-englisch.pdf?__blob=publicationFile","x")</f>
        <v>x</v>
      </c>
      <c r="FQ155" s="112" t="str">
        <f>HYPERLINK("http://www.rki.de/DE/Content/InfAZ/P/Polio/Ausbruch_Syrien/Informationsblatt_Polio_Englisch.pdf?__blob=publicationFile","x")</f>
        <v>x</v>
      </c>
      <c r="FR155" s="112" t="str">
        <f>HYPERLINK("http://www.rki.de/DE/Content/Infekt/Impfen/Materialien/Downloads_HepA/Aufklaerung_HAV-Impfung_Englisch.pdf?__blob=publicationFile","x")</f>
        <v>x</v>
      </c>
      <c r="FS155" s="112" t="str">
        <f>HYPERLINK("http://www.rki.de/DE/Content/Infekt/Impfen/Materialien/Downloads_Pneumokokken/Aufklaerung_Pneumo-Impfung_Englisch.pdf?__blob=publicationFile","x")</f>
        <v>x</v>
      </c>
      <c r="FT155" s="112" t="str">
        <f>HYPERLINK("http://www.rki.de/DE/Content/Infekt/Impfen/Materialien/Downloads-DTaPIPVHibHepB/DTaPIPVHibHepB-englisch.pdf?__blob=publicationFile","x")</f>
        <v>x</v>
      </c>
      <c r="FU155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5" s="112" t="str">
        <f>HYPERLINK("http://www.rki.de/DE/Content/Infekt/Impfen/Materialien/Downloads-Tdap-IPV/Tdap-IPV-englisch.pdf?__blob=publicationFile","x")</f>
        <v>x</v>
      </c>
      <c r="FW155" s="112" t="str">
        <f>HYPERLINK("http://www.rki.de/DE/Content/Infekt/Impfen/Materialien/Downloads-Influenza_nasal/Influenza_nasal-englisch.pdf?__blob=publicationFile","x")</f>
        <v>x</v>
      </c>
      <c r="FX155" s="111"/>
      <c r="FY155" s="112"/>
      <c r="FZ155" s="112"/>
      <c r="GA155" s="111"/>
      <c r="GB155" s="111"/>
      <c r="GC155" s="111"/>
      <c r="GD155" s="112" t="str">
        <f>HYPERLINK("http://www.ethno-medizinisches-zentrum.de/images/PDF-Files/lf_diabete_englisch.pdf","x")</f>
        <v>x</v>
      </c>
      <c r="GE155" s="111"/>
      <c r="GF155" s="111"/>
      <c r="GG155" s="111"/>
      <c r="GH155" s="112"/>
      <c r="GI155" s="111"/>
      <c r="GJ155" s="111"/>
      <c r="GK155" s="112" t="str">
        <f>HYPERLINK("http://www.tipdoc.de/bus/pdf/hiv/HIV%20ESP_Webseite.pdf","x")</f>
        <v>x</v>
      </c>
      <c r="GL155" s="111"/>
      <c r="GM155" s="112" t="str">
        <f>HYPERLINK("http://www.rki.de/DE/Content/Infekt/Impfen/Materialien/Downloads-Influenza/Influenza-englisch.pdf?__blob=publicationFile","x")</f>
        <v>x</v>
      </c>
      <c r="GN155" s="111"/>
      <c r="GO155" s="112" t="str">
        <f>HYPERLINK("http://www.aponet.de/englisch/20151111-so-unterscheiden-sich-grippe-und-erkaeltung.html","x")</f>
        <v>x</v>
      </c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2" t="str">
        <f t="shared" si="71"/>
        <v>x</v>
      </c>
      <c r="HD155" s="112" t="str">
        <f>HYPERLINK("https://www.zahnaerzte-wl.de/images/_PDF-suche/KZV_ZÄK/ENDSTAND_Ankreuzbogen_Ich_verstehe.pdf","x")</f>
        <v>x</v>
      </c>
      <c r="HE155" s="112" t="str">
        <f>HYPERLINK("https://www.zahnaerzte-wl.de/images/_PDF-suche/KZV_ZÄK/Anschreiben_Patienten_englisch.pdf","x")</f>
        <v>x</v>
      </c>
      <c r="HF155" s="112" t="str">
        <f>HYPERLINK("https://www.zahnaerzte-wl.de/images/_PDF-suche/KZV_ZÄK/Fragebogen_englisch.pdf","x")</f>
        <v>x</v>
      </c>
      <c r="HG155" s="112" t="str">
        <f>HYPERLINK("https://www.zahnaerzte-wl.de/images/_PDF-suche/KZV_ZÄK/Patientenerhebungsbogen_englisch.pdf","x")</f>
        <v>x</v>
      </c>
      <c r="HH155" s="112"/>
      <c r="HI155" s="112" t="str">
        <f>HYPERLINK("http://www.bvkm.de/fileadmin/web_data/Behinderung_und_Migration_englisch_2014.pdf","x")</f>
        <v>x</v>
      </c>
      <c r="HJ155" s="112"/>
      <c r="HK155" s="112" t="str">
        <f>HYPERLINK("http://www.psychenet.de/en/mental-health/knowledge/depression.html","x")</f>
        <v>x</v>
      </c>
      <c r="HL155" s="111"/>
      <c r="HM155" s="112" t="str">
        <f>HYPERLINK("http://www.psychenet.de/en/mental-health/knowledge/psychoses.html","x")</f>
        <v>x</v>
      </c>
      <c r="HN155" s="112" t="str">
        <f>HYPERLINK("http://www.psychenet.de/en/mental-health/knowledge/somatoform-disorders.html","x")</f>
        <v>x</v>
      </c>
      <c r="HO155" s="112" t="str">
        <f>HYPERLINK("http://www.psychenet.de/en/mental-health/knowledge/anorexia.html","x")</f>
        <v>x</v>
      </c>
      <c r="HP155" s="112" t="str">
        <f>HYPERLINK("http://www.psychenet.de/en/mental-health/knowledge/bulimia.html","x")</f>
        <v>x</v>
      </c>
      <c r="HQ155" s="112" t="str">
        <f>HYPERLINK("http://www.psychenet.de/en/mental-health/knowledge/bipolar-disorder.html","x")</f>
        <v>x</v>
      </c>
      <c r="HR155" s="112" t="str">
        <f>HYPERLINK("http://www.psychenet.de/en/mental-health/knowledge/panic-and-agoraphobia.html","x")</f>
        <v>x</v>
      </c>
      <c r="HS155" s="112" t="str">
        <f>HYPERLINK("http://www.psychenet.de/en/mental-health/knowledge/social-phobia.html","x")</f>
        <v>x</v>
      </c>
      <c r="HT155" s="112" t="str">
        <f>HYPERLINK("http://www.psychenet.de/en/mental-health/knowledge/generalized-anxiety-disorder.html","x")</f>
        <v>x</v>
      </c>
      <c r="HU155" s="112"/>
      <c r="HV155" s="112" t="str">
        <f>HYPERLINK("http://www.psychenet.de/en/mental-health/knowledge/information-and-support.html","x")</f>
        <v>x</v>
      </c>
      <c r="HW155" s="112"/>
      <c r="HX155" s="112" t="str">
        <f>HYPERLINK("http://www.bkk-psychisch-gesund.de/fileadmin/user_upload/Dokumente/Versicherte/Broschueren/Wegweiser_Psychotherapie_englisch.pdf","x")</f>
        <v>x</v>
      </c>
      <c r="HY155" s="112" t="str">
        <f t="shared" si="72"/>
        <v>x</v>
      </c>
      <c r="HZ155" s="112" t="str">
        <f t="shared" si="73"/>
        <v>x</v>
      </c>
      <c r="IA155" s="112" t="str">
        <f>HYPERLINK("http://peacefulheart.se/wp-content/uploads/2012/02/TTT_English_2013.pdf","x")</f>
        <v>x</v>
      </c>
      <c r="IB155" s="112"/>
      <c r="IC155" s="112"/>
      <c r="ID155" s="112" t="str">
        <f>HYPERLINK("http://www.susannestein.de/VIA-online/trauma-picture-book.pdf","x")</f>
        <v>x</v>
      </c>
      <c r="IE155" s="112" t="str">
        <f>HYPERLINK("http://www.psychenet.de/en/mental-health/knowledge/alcohol-in-adolescence.html","x")</f>
        <v>x</v>
      </c>
      <c r="IF155" s="112"/>
      <c r="IG155" s="112"/>
      <c r="IH155" s="111"/>
      <c r="II155" s="112" t="str">
        <f>HYPERLINK("http://www.caritas.de/hilfeundberatung/onlineberatung/suchtberatung/haeufiggestelltefragensucht/haeufiggestelltefragen-sucht","x")</f>
        <v>x</v>
      </c>
      <c r="IJ155" s="112" t="str">
        <f>HYPERLINK("http://www.dhs.de/fileadmin/user_upload/pdf/Broschueren/Ein_Angebot_an_alle-Englisch.pdf","x")</f>
        <v>x</v>
      </c>
      <c r="IK155" s="112" t="str">
        <f>HYPERLINK("http://www.bamf.de/SharedDocs/Anlagen/EN/Publikationen/Flyer/Lassen-Sie-Sich-Beraten/lassen-sie-sich-beraten.pdf?__blob=publicationFile","x")</f>
        <v>x</v>
      </c>
      <c r="IL155" s="115" t="str">
        <f>HYPERLINK("http://www.bamf.de/SharedDocs/Anlagen/EN/Publikationen/Flyer/flyer-erstorientierung-asylsuchende.pdf?__blob=publicationFile","x")</f>
        <v>x</v>
      </c>
      <c r="IM155" s="112" t="str">
        <f>HYPERLINK("http://www.frnrw.de/index.php/inhaltliche-themen/arbeitshilfen/item/3710-erstinfos-fuer-asylsuchende","x")</f>
        <v>x</v>
      </c>
      <c r="IN155" s="112" t="str">
        <f>HYPERLINK("http://www.bamf.de/SharedDocs/Anlagen/EN/Publikationen/Broschueren/willkommen-in-deutschland.pdf;jsessionid=2D72CB108E4AC02BBB9659E7D9A589B2.1_cid368?__blob=publicationFile","x")</f>
        <v>x</v>
      </c>
      <c r="IO155" s="112"/>
      <c r="IP155" s="112"/>
      <c r="IQ155" s="112" t="str">
        <f>HYPERLINK("http://www.bamf.de/SharedDocs/Anlagen/EN/Publikationen/Flyer/Lernen-Sie-Deutsch/lernen-sie-deutsch.pdf?__blob=publicationFile","x")</f>
        <v>x</v>
      </c>
      <c r="IR155" s="112" t="str">
        <f>HYPERLINK("http://www.asyl.net/fileadmin/user_upload/redaktion/Dokumente/Arbeitshilfen/150910_Wie_l%C3%A4uft_ein_Asylverfahren_ab_%C3%9Cberblickstext_Englisch.pdf","x")</f>
        <v>x</v>
      </c>
      <c r="IS155" s="111"/>
      <c r="IT155" s="112" t="str">
        <f>HYPERLINK("http://www.bamf.de/SharedDocs/Anlagen/EN/Publikationen/Flyer/ablauf-asylverfahren.pdf;jsessionid=DBD4307960D761935FCC3E0325D459A1.1_cid294?__blob=publicationFile","x")</f>
        <v>x</v>
      </c>
      <c r="IU155" s="111"/>
      <c r="IV155" s="112" t="str">
        <f>HYPERLINK("http://www.asyl.net/fileadmin/user_upload/infoblatt_anhoerung/Infoblatt_2015_en_fin.pdf","x")</f>
        <v>x</v>
      </c>
      <c r="IW155" s="112"/>
      <c r="IX155" s="112" t="str">
        <f>HYPERLINK("http://www.berlin.de/labo/willkommen-in-berlin/service/downloads/artikel.273193.php","x")</f>
        <v>x</v>
      </c>
      <c r="IY155" s="112" t="str">
        <f>HYPERLINK("http://www.bamf.de/SharedDocs/Anlagen/EN/Publikationen/Broschueren/broschuere-eat-a4.pdf?__blob=publicationFile","x")</f>
        <v>x</v>
      </c>
      <c r="IZ155" s="111"/>
      <c r="JA155" s="112" t="str">
        <f>HYPERLINK("http://fluechtlingsrat-bw.de/informationen-fuer-fluechtlinge.html","x")</f>
        <v>x</v>
      </c>
      <c r="JB155" s="111"/>
      <c r="JC155" s="112" t="str">
        <f>HYPERLINK("http://www.bamf.de/SharedDocs/Anlagen/EN/Publikationen/Flyer/20150223_ura2_en.pdf?__blob=publicationFile","x")</f>
        <v>x</v>
      </c>
      <c r="JD155" s="111"/>
      <c r="JE155" s="112"/>
      <c r="JF155" s="112"/>
      <c r="JG155" s="112" t="str">
        <f>HYPERLINK("http://www.bamf.de/SharedDocs/Anlagen/EN/Publikationen/Flyer/Ehegattennachzug/ehegattennachzug.pdf?__blob=publicationFile","x")</f>
        <v>x</v>
      </c>
      <c r="JH155" s="112" t="str">
        <f>HYPERLINK("https://familyreunion-syria.diplo.de/webportal/index.html#start","x")</f>
        <v>x</v>
      </c>
      <c r="JI155" s="112" t="str">
        <f>HYPERLINK("http://ec.europa.eu/dgs/home-affairs/what-we-do/networks/european_migration_network/docs/emn-glossary-en-version.pdf","x")</f>
        <v>x</v>
      </c>
      <c r="JJ155" s="112"/>
      <c r="JK155" s="112" t="str">
        <f>HYPERLINK("https://www.arbeitsagentur.de/web/wcm/idc/groups/public/documents/webdatei/mdaw/mjgz/~edisp/l6019022dstbai784628.pdf?_ba.sid=L6019022DSTBAI784625","x")</f>
        <v>x</v>
      </c>
      <c r="JL155" s="112" t="str">
        <f>HYPERLINK("http://www.kub-berlin.org/formularprojekt/de/englisch-antraege-und-anlagen-uebersetzungshilfen/","x")</f>
        <v>x</v>
      </c>
      <c r="JM155" s="112" t="str">
        <f>HYPERLINK("https://www.arbeitsagentur.de/web/content/DE/Formulare/Detail/index.htm?dfContentId=L6019022DSTBAI485740","x")</f>
        <v>x</v>
      </c>
      <c r="JN155" s="112"/>
      <c r="JO155" s="112"/>
      <c r="JP155" s="112"/>
      <c r="JQ155" s="112"/>
      <c r="JR155" s="112" t="str">
        <f>HYPERLINK("http://www.ibla-germany.de/merkblaetter.php","x")</f>
        <v>x</v>
      </c>
      <c r="JS155" s="112"/>
      <c r="JT155" s="112" t="str">
        <f>HYPERLINK("http://www.b-umf.de/images/willkommen/willkommensbroschureenglisch-web.pdf","x")</f>
        <v>x</v>
      </c>
      <c r="JU155" s="111"/>
      <c r="JV155" s="111"/>
      <c r="JW155" s="112"/>
      <c r="JX155" s="112" t="str">
        <f>HYPERLINK("https://www.arbeitsagentur.de/web/wcm/idc/groups/public/documents/webdatei/mdaw/mjgz/~edisp/l6019022dstbai784636.pdf?_ba.sid=L6019022DSTBAI784633","x")</f>
        <v>x</v>
      </c>
      <c r="JY155" s="112"/>
      <c r="JZ155" s="112"/>
      <c r="KA155" s="112"/>
      <c r="KB155" s="112" t="str">
        <f>HYPERLINK("http://www.refugeeguide.de/dl/RefugeeGuide_en_925.pdf","x")</f>
        <v>x</v>
      </c>
      <c r="KC155" s="112" t="str">
        <f>HYPERLINK("http://www.gesetze-im-internet.de/englisch_gg/basic_law_for_the_federal_republic_of_germany.pdf","x")</f>
        <v>x</v>
      </c>
      <c r="KD155" s="112" t="str">
        <f>HYPERLINK("http://www.wedel.de/fileadmin/user_upload/media/pdf/Rathaus_und_Politik/20160118_PM_Broschuere.pdf","x")</f>
        <v>x</v>
      </c>
      <c r="KE155" s="112" t="str">
        <f>HYPERLINK("http://www.frauenrechte.de/online/images/downloads/allgemein/TDF_Flyer_Women_Men.pdf","x")</f>
        <v>x</v>
      </c>
      <c r="KF155" s="112" t="str">
        <f>HYPERLINK("http://sab.landtag.sachsen.de/dokumente/landtagskurier/Grundwerte-A5-international_web_08012016.pdf","x")</f>
        <v>x</v>
      </c>
      <c r="KG155" s="112"/>
      <c r="KH155" s="112"/>
      <c r="KI155" s="112"/>
      <c r="KJ155" s="112"/>
      <c r="KK155" s="112"/>
      <c r="KL155" s="112"/>
      <c r="KM155" s="112"/>
      <c r="KN155" s="112"/>
      <c r="KO155" s="112"/>
      <c r="KP155" s="112"/>
      <c r="KQ155" s="112"/>
      <c r="KR155" s="112"/>
      <c r="KS155" s="112"/>
      <c r="KT155" s="112"/>
      <c r="KU155" s="112"/>
      <c r="KV155" s="112"/>
      <c r="KW155" s="112"/>
      <c r="KX155" s="112"/>
      <c r="KY155" s="112"/>
      <c r="KZ155" s="112"/>
      <c r="LA155" s="112"/>
      <c r="LB155" s="112"/>
      <c r="LC155" s="111"/>
      <c r="LD155" s="112"/>
      <c r="LE155" s="112"/>
      <c r="LF155" s="112"/>
      <c r="LG155" s="112"/>
      <c r="LH155" s="112"/>
      <c r="LI155" s="112"/>
      <c r="LJ155" s="112"/>
      <c r="LK155" s="112"/>
      <c r="LL155" s="112"/>
      <c r="LM155" s="112"/>
      <c r="LN155" s="112"/>
      <c r="LO155" s="112"/>
      <c r="LP155" s="112"/>
      <c r="LQ155" s="112"/>
      <c r="LR155" s="112"/>
      <c r="LS155" s="112"/>
      <c r="LT155" s="112"/>
      <c r="LU155" s="112"/>
      <c r="LV155" s="112"/>
      <c r="LW155" s="112"/>
      <c r="LX155" s="112"/>
      <c r="LY155" s="112"/>
      <c r="LZ155" s="112"/>
      <c r="MA155" s="112"/>
      <c r="MB155" s="112"/>
      <c r="MC155" s="111"/>
      <c r="MD155" s="112" t="str">
        <f>HYPERLINK("http://www.rki.de/DE/Content/Infekt/IfSG/Belehrungsbogen/belehrungsbogen_lebensmittel_englisch.pdf?__blob=publicationFile","x")</f>
        <v>x</v>
      </c>
      <c r="ME155" s="112"/>
      <c r="MF155" s="112" t="str">
        <f>HYPERLINK("http://www.gdv.de/wp-content/uploads/2016/01/Information_Brandschutz_Fluechtlingsheim_-Sicherheit_mehrsprachig.pdf","x")</f>
        <v>x</v>
      </c>
      <c r="MG155" s="112" t="str">
        <f>HYPERLINK("http://www.gdv.de/wp-content/uploads/2016/01/Information_Verhalten-im-Brandfall_mehrsprachig.pdf","x")</f>
        <v>x</v>
      </c>
      <c r="MH155" s="112" t="str">
        <f>HYPERLINK("http://www.aha-region.de/fileadmin/Download/pdf/aha_Plakat_Muelltrennung_en.pdf","x")</f>
        <v>x</v>
      </c>
      <c r="MI155" s="112" t="str">
        <f>HYPERLINK("http://www.kindersicherheit.de/pdf/2012_poster_achtunggiftig_8sprachig.pdf","x")</f>
        <v>x</v>
      </c>
    </row>
    <row r="156" spans="1:347" x14ac:dyDescent="0.25">
      <c r="A156" s="102" t="s">
        <v>390</v>
      </c>
      <c r="B156" s="127" t="s">
        <v>5</v>
      </c>
      <c r="C156" s="102"/>
      <c r="D156" s="102"/>
      <c r="E156" s="102"/>
      <c r="F156" s="102"/>
      <c r="G156" s="102"/>
      <c r="H156" s="102"/>
      <c r="I156" s="102"/>
      <c r="J156" s="102"/>
      <c r="K156" s="103"/>
      <c r="L156" s="111"/>
      <c r="M156" s="111"/>
      <c r="N156" s="111"/>
      <c r="O156" s="111"/>
      <c r="P156" s="112" t="str">
        <f>HYPERLINK("http://www.awb-ahrweiler.de/admin/data/ddownload/Abfall%20Sonderhinweise-Franzoesisch%202015.pdf","x")</f>
        <v>x</v>
      </c>
      <c r="Q156" s="111"/>
      <c r="R156" s="111"/>
      <c r="S156" s="111"/>
      <c r="T156" s="111"/>
      <c r="U156" s="112" t="str">
        <f>HYPERLINK("http://www.ag-fluechtlingshilfe-wetterau.de/uploads/infos/191.pdf","x")</f>
        <v>x</v>
      </c>
      <c r="V156" s="112"/>
      <c r="W156" s="112"/>
      <c r="X156" s="111"/>
      <c r="Y156" s="112"/>
      <c r="Z156" s="112"/>
      <c r="AA156" s="112"/>
      <c r="AB156" s="112"/>
      <c r="AC156" s="112"/>
      <c r="AD156" s="112" t="str">
        <f>HYPERLINK("http://www.rundfunkbeitrag.de/e175/e1632/Informationsflyer_Buergerinnen_und_Buerger_franzoesisch.pdf","x")</f>
        <v>x</v>
      </c>
      <c r="AE156" s="112"/>
      <c r="AF156" s="112" t="str">
        <f>HYPERLINK("http://www.kub-berlin.org/formularprojekt/franzoesisch-antraege-und-anlagen-uebersetzungshilfen/","x")</f>
        <v>x</v>
      </c>
      <c r="AG156" s="112" t="str">
        <f>HYPERLINK("http://asyl-in-moenchengladbach.de/wp-content/uploads/2015/11/100711-Flyer_FR.pdf","x")</f>
        <v>x</v>
      </c>
      <c r="AH156" s="112" t="str">
        <f>HYPERLINK("http://sghanstedt.elbnetz.com/ueber-uns/","x")</f>
        <v>x</v>
      </c>
      <c r="AI156" s="111"/>
      <c r="AJ156" s="111"/>
      <c r="AK156" s="112" t="str">
        <f>HYPERLINK("https://www.vrsinfo.de/fileadmin/Dateien/downloadcenter/Folder_MobilPassTicket_Refugees01012016.pdf","x")</f>
        <v>x</v>
      </c>
      <c r="AL156" s="112" t="str">
        <f>HYPERLINK("https://www.vrsinfo.de/fileadmin/Dateien/downloadcenter/Willkommen_im_VRS2016_Druck.pdf","x")</f>
        <v>x</v>
      </c>
      <c r="AM156" s="112"/>
      <c r="AN156" s="112" t="str">
        <f>HYPERLINK("https://www.deutschebahn.com/file/de/2191748/eYdgZpqGpp5sMJ2KMKtg2r8aE4Q/10123812/data/infos_fuer_fluechtlinge.pdf","x")</f>
        <v>x</v>
      </c>
      <c r="AO156" s="112"/>
      <c r="AP156" s="112"/>
      <c r="AQ156" s="112"/>
      <c r="AR156" s="112"/>
      <c r="AS156" s="112"/>
      <c r="AT156" s="112"/>
      <c r="AU156" s="112"/>
      <c r="AV156" s="114" t="str">
        <f>HYPERLINK("http://www.studentenwerke.de/de/content/illustriertes-wohnheimw%C3%B6rterbuch-1","x")</f>
        <v>x</v>
      </c>
      <c r="AW156" s="114" t="str">
        <f t="shared" si="55"/>
        <v>x</v>
      </c>
      <c r="AX156" s="114" t="str">
        <f t="shared" si="56"/>
        <v>x</v>
      </c>
      <c r="AY156" s="111"/>
      <c r="AZ156" s="111"/>
      <c r="BA156" s="112" t="str">
        <f t="shared" si="57"/>
        <v>x</v>
      </c>
      <c r="BB156" s="112" t="str">
        <f t="shared" si="58"/>
        <v>x</v>
      </c>
      <c r="BC156" s="111"/>
      <c r="BD156" s="111"/>
      <c r="BE156" s="111"/>
      <c r="BF156" s="112" t="str">
        <f>HYPERLINK("http://fi-lohmar-siegburg.de/data/documents/communicationboard-arabic-french.pdf","x")</f>
        <v>x</v>
      </c>
      <c r="BG156" s="111"/>
      <c r="BH156" s="112" t="str">
        <f>HYPERLINK("http://www.refugeephrasebook.de/pdf/germany150920.pdf","x")</f>
        <v>x</v>
      </c>
      <c r="BI156" s="112" t="str">
        <f>HYPERLINK("https://www.advanced-online.eu/downloads/RefugeePhrasebookCards_German-French.pdf","x")</f>
        <v>x</v>
      </c>
      <c r="BJ156" s="112" t="str">
        <f>HYPERLINK("http://www.klett-sprachen.de/download/8638/W100255_Refugees_Welcome_Wortschatz.pdf","x")</f>
        <v>x</v>
      </c>
      <c r="BK156" s="111"/>
      <c r="BL156" s="112" t="str">
        <f>HYPERLINK("http://www.bundessprachenamt.de/deutsch/wir_ueber_uns/nachrichten/2015/20151103/Verständigungshilfe_Französisch_26_11_2015.pdf","x")</f>
        <v>x</v>
      </c>
      <c r="BM156" s="111"/>
      <c r="BN156" s="111"/>
      <c r="BO156" s="111"/>
      <c r="BP156" s="111"/>
      <c r="BQ156" s="111"/>
      <c r="BR156" s="111"/>
      <c r="BS156" s="112" t="str">
        <f t="shared" si="59"/>
        <v>x</v>
      </c>
      <c r="BT156" s="112"/>
      <c r="BU156" s="111"/>
      <c r="BV156" s="112" t="str">
        <f t="shared" si="60"/>
        <v>x</v>
      </c>
      <c r="BW156" s="112" t="str">
        <f>HYPERLINK("http://www.welcomegrooves.de/wp-content/uploads/2015/11/welcomegrooves-de-franzoesisch.pdf","x")</f>
        <v>x</v>
      </c>
      <c r="BX156" s="112"/>
      <c r="BY156" s="112"/>
      <c r="BZ156" s="112" t="str">
        <f>HYPERLINK("http://fluechtlingshilfe-nettetal.de/ausbildung/video-sprachkurse-deutsch-fuer-fluechtlinge/video-sprachkurs-franzoesisch-deutsch/","x")</f>
        <v>x</v>
      </c>
      <c r="CA156" s="112" t="str">
        <f t="shared" si="61"/>
        <v>x</v>
      </c>
      <c r="CB156" s="112" t="str">
        <f t="shared" si="62"/>
        <v>x</v>
      </c>
      <c r="CC156" s="112" t="str">
        <f t="shared" si="63"/>
        <v>x</v>
      </c>
      <c r="CD156" s="112"/>
      <c r="CE156" s="112"/>
      <c r="CF156" s="111"/>
      <c r="CG156" s="111"/>
      <c r="CH156" s="112" t="str">
        <f>HYPERLINK("http://mifkjf.rlp.de/fileadmin/mifkjf/Frauen/Gewalt_gegen_Frauen/Downloads/Broschueren_Flyer/Flyer_Gewalt_franzoesisch.pdf","x")</f>
        <v>x</v>
      </c>
      <c r="CI156" s="112" t="str">
        <f>HYPERLINK("https://www.hilfetelefon.de/fileadmin/hilfetelefon_de/Materialien/Flyer/Infoflyer_Hilfetelefon_Gewalt_gegen_Frauen141105_b2.pdf","x")</f>
        <v>x</v>
      </c>
      <c r="CJ156" s="112" t="str">
        <f>HYPERLINK("https://www.hilfetelefon.de/fileadmin/hilfetelefon_de/Materialien/weitere_werbemittel/Klappflyer_Vorder-_und_Rueckseite_opt2.pdf","x")</f>
        <v>x</v>
      </c>
      <c r="CK156" s="112" t="str">
        <f t="shared" si="64"/>
        <v>x</v>
      </c>
      <c r="CL156" s="112"/>
      <c r="CM156" s="112"/>
      <c r="CN156" s="112"/>
      <c r="CO156" s="112"/>
      <c r="CP156" s="112" t="str">
        <f>HYPERLINK("http://www.schwanger-und-viele-fragen.de/fr/","x")</f>
        <v>x</v>
      </c>
      <c r="CQ156" s="112"/>
      <c r="CR15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56" s="112" t="str">
        <f>HYPERLINK("http://en.beststart.org/for_parents/are-you-looking-resources-languages-other-english-and-french","x")</f>
        <v>x</v>
      </c>
      <c r="CT156" s="112"/>
      <c r="CU156" s="112" t="str">
        <f>HYPERLINK("http://www.profamilia.de/fileadmin/publikationen/Erwachsene/mehrsprachig/Bro_Verhuetung_frz_141002.pdf","x")</f>
        <v>x</v>
      </c>
      <c r="CV156" s="112"/>
      <c r="CW156" s="112"/>
      <c r="CX156" s="112"/>
      <c r="CY156" s="112" t="str">
        <f>HYPERLINK("http://www.caritas-schwarzwald-alb-donau.de/68854.html","x")</f>
        <v>x</v>
      </c>
      <c r="CZ156" s="112"/>
      <c r="DA156" s="112"/>
      <c r="DB156" s="112"/>
      <c r="DC156" s="115" t="str">
        <f>HYPERLINK("http://www.kindersicherheit.de/pdf/2013_BAG_Tomi_and_Mila_Deutsch_Francais.pdf","x")</f>
        <v>x</v>
      </c>
      <c r="DD156" s="112"/>
      <c r="DE156" s="112"/>
      <c r="DF156" s="112" t="str">
        <f t="shared" si="65"/>
        <v>x</v>
      </c>
      <c r="DG156" s="115" t="str">
        <f t="shared" si="66"/>
        <v>x</v>
      </c>
      <c r="DH156" s="112" t="str">
        <f t="shared" si="67"/>
        <v>x</v>
      </c>
      <c r="DI156" s="112" t="str">
        <f t="shared" si="68"/>
        <v>x</v>
      </c>
      <c r="DJ156" s="112"/>
      <c r="DK156" s="112"/>
      <c r="DL156" s="112"/>
      <c r="DM156" s="112"/>
      <c r="DN156" s="112"/>
      <c r="DO156" s="112"/>
      <c r="DP156" s="111"/>
      <c r="DQ156" s="111"/>
      <c r="DR156" s="112" t="str">
        <f>HYPERLINK("https://broschueren.nordrheinwestfalendirekt.de/broschuerenservice/msw/fr-das-schulsystem-in-nordrhein-westfalen-einfach-und-schnell-erklaert/1903","x")</f>
        <v>x</v>
      </c>
      <c r="DS156" s="112" t="str">
        <f>HYPERLINK("http://bildung.koeln.de/materialbibliothek/download.php?idx=6f75d59e17e7868506c0a48e6f7a44f2","x")</f>
        <v>x</v>
      </c>
      <c r="DT156" s="112" t="str">
        <f>HYPERLINK("http://bildung.koeln.de/materialbibliothek/download.php?idx=bde72be3f1bc4c51a4b0bcfe4a4187c4","x")</f>
        <v>x</v>
      </c>
      <c r="DU156" s="112"/>
      <c r="DV156" s="112" t="str">
        <f>HYPERLINK("https://www.bmbf.de/pub/KAUSA_Elternratgeber_deutsch_franzoesisch.pdf","x")</f>
        <v>x</v>
      </c>
      <c r="DW156" s="111"/>
      <c r="DX156" s="112" t="str">
        <f>HYPERLINK("http://www.wissenschaft.nrw.de/studium/informieren/informationen-fuer-fluechtlinge-die-in-nrw-studieren-moechten/","x")</f>
        <v>x</v>
      </c>
      <c r="DY156" s="111"/>
      <c r="DZ156" s="112" t="str">
        <f>HYPERLINK("http://www.bamf.de/SharedDocs/Anlagen/DE/Publikationen/Flyer/AnerkennungBerufsabschluss/anerkennung-berufsabschluss_fr.pdf?__blob=publicationFile","x")</f>
        <v>x</v>
      </c>
      <c r="EA156" s="112" t="str">
        <f>HYPERLINK("http://www.bamf.de/SharedDocs/Anlagen/DE/Publikationen/Flyer/AnerkennungBerufsabschluss/anerkennung-berufsabschluss_ausland_fr.pdf?__blob=publicationFile","x")</f>
        <v>x</v>
      </c>
      <c r="EB156" s="112" t="str">
        <f>HYPERLINK("http://www.bamf.de/SharedDocs/Anlagen/DE/Publikationen/Broschueren/willkommen-in-deutschland-info-blaue-karte-eu_fr.pdf?__blob=publicationFile","x")</f>
        <v>x</v>
      </c>
      <c r="EC156" s="112" t="str">
        <f>HYPERLINK("http://www.bamf.de/SharedDocs/Anlagen/DE/Publikationen/Flyer/Berufsbezsprachf-ESF-BAMF/berufsbezsprachf-esf-bamf_fr.pdf?__blob=publicationFile","x")</f>
        <v>x</v>
      </c>
      <c r="ED156" s="111"/>
      <c r="EE156" s="111"/>
      <c r="EF156" s="111"/>
      <c r="EG156" s="111"/>
      <c r="EH156" s="111"/>
      <c r="EI156" s="111"/>
      <c r="EJ156" s="112"/>
      <c r="EK156" s="112" t="str">
        <f>HYPERLINK("http://fluechtlingsrat-bw.de/files/Dateien/Dokumente/Materialbestellung/2014-12-flyer%20arbeitserlaubnis%20FRZ%20WEB.pdf","x")</f>
        <v>x</v>
      </c>
      <c r="EL156" s="111"/>
      <c r="EM156" s="112" t="str">
        <f>HYPERLINK("http://www.kvs-sachsen.de/fileadmin/img/Mitglieder/Asylbewerber/Allg-Informationen/Anlage_1_Franzoesisch_LEK.pdf","x")</f>
        <v>x</v>
      </c>
      <c r="EN156" s="112" t="str">
        <f>HYPERLINK("http://www.medizin-hilft-fluechtlingen.de/images/Dokumente/gSch/gSch_fra.pdf","x")</f>
        <v>x</v>
      </c>
      <c r="EO156" s="112"/>
      <c r="EP156" s="117" t="str">
        <f>HYPERLINK("http://www.medi-bild.de/pdf/anamnese/Welche_Sprache.pdf","x")</f>
        <v>x</v>
      </c>
      <c r="EQ156" s="117" t="str">
        <f>HYPERLINK("http://www.armut-gesundheit.de/fileadmin/redakteur/dokumente/Anamnesebogen%20-%20franz%C3%B6sischnew.pdf","x")</f>
        <v>x</v>
      </c>
      <c r="ER156" s="112" t="str">
        <f>HYPERLINK("http://www.kvs-sachsen.de/fileadmin/img/Mitglieder/Asylbewerber/Allg-Informationen/Anlagen_2-1_2-2_Franzoesisch_LEK.pdf","x")</f>
        <v>x</v>
      </c>
      <c r="ES156" s="111"/>
      <c r="ET156" s="111"/>
      <c r="EU156" s="112" t="str">
        <f>HYPERLINK("http://medizin-hilft-fluechtlingen.de/images/Dokumente/ein/ein_per.pdf","x")</f>
        <v>x</v>
      </c>
      <c r="EV156" s="112" t="str">
        <f>HYPERLINK("http://www.adler-apotheke-hh.de/fileadmin/user_upload/PDF-Dateien/Dosierzettel_mehrsprachig_AUF_0_.pdf","x")</f>
        <v>x</v>
      </c>
      <c r="EW156" s="112" t="str">
        <f t="shared" si="69"/>
        <v>x</v>
      </c>
      <c r="EX156" s="112" t="str">
        <f>HYPERLINK("http://www.rki.de/DE/Content/Infekt/IfSG/Belehrungsbogen/belehrungsbogen_eltern_franzoesisch.pdf?__blob=publicationFile","x")</f>
        <v>x</v>
      </c>
      <c r="EY156" s="111"/>
      <c r="EZ156" s="112" t="str">
        <f>HYPERLINK("https://www.mh-hannover.de/fileadmin/mhh/bilder/aktuelles_presse/pressestelle/bilder/Pilzvergif_franzoesisch.pdf","x")</f>
        <v>x</v>
      </c>
      <c r="FA156" s="112"/>
      <c r="FB156" s="112" t="str">
        <f>HYPERLINK("http://static.apotheken-umschau.de/media/gp/article_506373/bildwoerterbuch.pdf","x")</f>
        <v>x</v>
      </c>
      <c r="FC156" s="111"/>
      <c r="FD156" s="112" t="str">
        <f t="shared" si="70"/>
        <v>x</v>
      </c>
      <c r="FE156" s="112" t="str">
        <f>HYPERLINK("http://sghanstedt.elbnetz.com/ueber-uns/","x")</f>
        <v>x</v>
      </c>
      <c r="FF156" s="111"/>
      <c r="FG156" s="112" t="str">
        <f>HYPERLINK("http://www.tipdoc.de/grafik/asyl/Gesundheitsheft_Asyl.pdf","x")</f>
        <v>x</v>
      </c>
      <c r="FH156" s="111"/>
      <c r="FI156" s="111"/>
      <c r="FJ156" s="112"/>
      <c r="FK156" s="112" t="str">
        <f>HYPERLINK("http://www.rki.de/DE/Content/Infekt/Impfen/Materialien/Downloads-Impfkalender/Impfkalender_Franzoesisch.pdf?__blob=publicationFile","x")</f>
        <v>x</v>
      </c>
      <c r="FL156" s="112" t="str">
        <f>HYPERLINK("http://www.ethno-medizinisches-zentrum.de/images/PDF-Files/impfwegweiser_franzosisch_2013_online.pdf","x")</f>
        <v>x</v>
      </c>
      <c r="FM156" s="112"/>
      <c r="FN156" s="112" t="str">
        <f>HYPERLINK("http://www.rki.de/DE/Content/Infekt/Impfen/Materialien/Glossar-Downloads/glossar-de-franzoesisch.pdf?__blob=publicationFile","x")</f>
        <v>x</v>
      </c>
      <c r="FO156" s="112" t="str">
        <f>HYPERLINK("http://www.euro.who.int/__data/assets/pdf_file/0012/162300/VPD-Signs,-symptoms-and-complications-FRE.pdf","x")</f>
        <v>x</v>
      </c>
      <c r="FP156" s="112" t="str">
        <f>HYPERLINK("http://www.rki.de/DE/Content/Infekt/Impfen/Materialien/Downloads-MMR/MMR-Impfinfo-franzoesisch.pdf?__blob=publicationFile","x")</f>
        <v>x</v>
      </c>
      <c r="FQ156" s="112" t="str">
        <f>HYPERLINK("http://www.rki.de/DE/Content/InfAZ/P/Polio/Ausbruch_Syrien/Informationsblatt_Polio_Franzoesisch.pdf?__blob=publicationFile","x")</f>
        <v>x</v>
      </c>
      <c r="FR156" s="112" t="str">
        <f>HYPERLINK("http://www.rki.de/DE/Content/Infekt/Impfen/Materialien/Downloads_HepA/Aufklaerung_HAV-Impfung_Franzoesisch.pdf?__blob=publicationFile","x")</f>
        <v>x</v>
      </c>
      <c r="FS156" s="112" t="str">
        <f>HYPERLINK("http://www.rki.de/DE/Content/Infekt/Impfen/Materialien/Downloads_Pneumokokken/Aufklaerung_Pneumo-Impfung_Franzoesisch.pdf?__blob=publicationFile","x")</f>
        <v>x</v>
      </c>
      <c r="FT156" s="112" t="str">
        <f>HYPERLINK("http://www.rki.de/DE/Content/Infekt/Impfen/Materialien/Downloads-DTaPIPVHibHepB/DTaPIPVHibHepB-franzoesisch.pdf?__blob=publicationFile","x")</f>
        <v>x</v>
      </c>
      <c r="FU15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56" s="112" t="str">
        <f>HYPERLINK("http://www.rki.de/DE/Content/Infekt/Impfen/Materialien/Downloads-Tdap-IPV/Tdap-IPV-franzoesisch.pdf?__blob=publicationFile","x")</f>
        <v>x</v>
      </c>
      <c r="FW156" s="112" t="str">
        <f>HYPERLINK("http://www.rki.de/DE/Content/Infekt/Impfen/Materialien/Downloads-Influenza_nasal/Influenza_nasal-franzoesisch.pdf?__blob=publicationFile","x")</f>
        <v>x</v>
      </c>
      <c r="FX156" s="111"/>
      <c r="FY156" s="112"/>
      <c r="FZ156" s="112"/>
      <c r="GA156" s="111"/>
      <c r="GB156" s="111"/>
      <c r="GC156" s="111"/>
      <c r="GD156" s="112" t="str">
        <f>HYPERLINK("http://www.ethno-medizinisches-zentrum.de/images/PDF-Files/lf_diabete_franzosisch.pdf","x")</f>
        <v>x</v>
      </c>
      <c r="GE156" s="111"/>
      <c r="GF156" s="111"/>
      <c r="GG156" s="111"/>
      <c r="GH156" s="112"/>
      <c r="GI156" s="111"/>
      <c r="GJ156" s="111"/>
      <c r="GK156" s="112" t="str">
        <f>HYPERLINK("http://www.tipdoc.de/bus/pdf/hiv/HIV%20SRF_Webseite.pdf","x")</f>
        <v>x</v>
      </c>
      <c r="GL156" s="111"/>
      <c r="GM156" s="112" t="str">
        <f>HYPERLINK("http://www.rki.de/DE/Content/Infekt/Impfen/Materialien/Downloads-Influenza/Influenza-franzoesisch.pdf?__blob=publicationFile","x")</f>
        <v>x</v>
      </c>
      <c r="GN156" s="111"/>
      <c r="GO156" s="111"/>
      <c r="GP156" s="112" t="str">
        <f>HYPERLINK("http://www.tipdoc.de/grafik/pdf/kopflaeuse/Kopflaeuse_FRANZ.pdf","x")</f>
        <v>x</v>
      </c>
      <c r="GQ156" s="112"/>
      <c r="GR156" s="112" t="str">
        <f>HYPERLINK("http://www.tipdoc.com/bus/pdf/kraetze/tipdoc_Scabies_FRANZ.pdf","x")</f>
        <v>x</v>
      </c>
      <c r="GS156" s="112" t="str">
        <f>HYPERLINK("http://www.tipdoc.com/bus/pdf/MagenDarmHaende/MagenDarmHaende_FRANZ.pdf","x")</f>
        <v>x</v>
      </c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2" t="str">
        <f t="shared" si="71"/>
        <v>x</v>
      </c>
      <c r="HD156" s="112" t="str">
        <f>HYPERLINK("https://www.zahnaerzte-wl.de/images/_PDF-suche/KZV_ZÄK/ENDSTAND_Ankreuzbogen_Ich_verstehe.pdf","x")</f>
        <v>x</v>
      </c>
      <c r="HE156" s="112" t="str">
        <f>HYPERLINK("https://www.zahnaerzte-wl.de/images/_PDF-suche/KZV_ZÄK/Anschreiben_Patienten_franzoesisch.pdf","x")</f>
        <v>x</v>
      </c>
      <c r="HF156" s="112" t="str">
        <f>HYPERLINK("https://www.zahnaerzte-wl.de/images/_PDF-suche/KZV_ZÄK/Fragebogen_franzoesisch.pdf","x")</f>
        <v>x</v>
      </c>
      <c r="HG156" s="112" t="str">
        <f>HYPERLINK("https://www.zahnaerzte-wl.de/images/_PDF-suche/KZV_ZÄK/Patientenerhebungsbogen_franzoesisch.pdf","x")</f>
        <v>x</v>
      </c>
      <c r="HH156" s="112"/>
      <c r="HI156" s="112" t="str">
        <f>HYPERLINK("http://www.bvkm.de/fileadmin/web_data/Behinderung_und_Migration_franzoesisch_2014.pdf","x")</f>
        <v>x</v>
      </c>
      <c r="HJ156" s="112"/>
      <c r="HK156" s="112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2" t="str">
        <f t="shared" si="72"/>
        <v>x</v>
      </c>
      <c r="HZ156" s="112" t="str">
        <f t="shared" si="73"/>
        <v>x</v>
      </c>
      <c r="IA156" s="112" t="str">
        <f>HYPERLINK("http://peacefulheart.se/wp-content/uploads/2015/01/Tapping_French_Module-20150102-2.pdf","x")</f>
        <v>x</v>
      </c>
      <c r="IB156" s="111"/>
      <c r="IC156" s="111"/>
      <c r="ID156" s="111"/>
      <c r="IE156" s="111"/>
      <c r="IF156" s="111"/>
      <c r="IG156" s="111"/>
      <c r="IH156" s="111"/>
      <c r="II156" s="112" t="str">
        <f>HYPERLINK("http://www.caritas.de/hilfeundberatung/onlineberatung/suchtberatung/haeufiggestelltefragensucht/haeufiggestelltefragen-sucht","x")</f>
        <v>x</v>
      </c>
      <c r="IJ156" s="111"/>
      <c r="IK156" s="112" t="str">
        <f>HYPERLINK("http://www.bamf.de/SharedDocs/Anlagen/DE/Publikationen/Flyer/Lassen-Sie-Sich-Beraten/lassen-sie-sich-beraten_fr.pdf?__blob=publicationFile","x")</f>
        <v>x</v>
      </c>
      <c r="IL156" s="112" t="str">
        <f>HYPERLINK("http://www.bamf.de/SharedDocs/Anlagen/DE/Publikationen/Flyer/flyer-erstorientierung-asylsuchende_franzoesisch.pdf?__blob=publicationFile","x")</f>
        <v>x</v>
      </c>
      <c r="IM156" s="112" t="str">
        <f>HYPERLINK("http://www.frnrw.de/index.php/inhaltliche-themen/arbeitshilfen/item/3710-erstinfos-fuer-asylsuchende","x")</f>
        <v>x</v>
      </c>
      <c r="IN156" s="112" t="str">
        <f>HYPERLINK("https://www.bamf.de/SharedDocs/Anlagen/DE/Publikationen/Broschueren/willkommen-in-deutschland_fr.pdf?__blob=publicationFile","x")</f>
        <v>x</v>
      </c>
      <c r="IO156" s="112"/>
      <c r="IP156" s="112"/>
      <c r="IQ156" s="112" t="str">
        <f>HYPERLINK("http://www.bamf.de/SharedDocs/Anlagen/DE/Publikationen/Flyer/Lernen-Sie-Deutsch/lernen-sie-deutsch_fr.pdf?__blob=publicationFile","x")</f>
        <v>x</v>
      </c>
      <c r="IR156" s="112"/>
      <c r="IS156" s="111"/>
      <c r="IT156" s="111"/>
      <c r="IU156" s="111"/>
      <c r="IV156" s="112" t="str">
        <f>HYPERLINK("http://www.asyl.net/fileadmin/user_upload/infoblatt_anhoerung/Frz_final.pdf","x")</f>
        <v>x</v>
      </c>
      <c r="IW156" s="112"/>
      <c r="IX156" s="112" t="str">
        <f>HYPERLINK("http://www.berlin.de/labo/willkommen-in-berlin/service/downloads/artikel.273193.php","x")</f>
        <v>x</v>
      </c>
      <c r="IY156" s="112" t="str">
        <f>HYPERLINK("http://www.bamf.de/SharedDocs/Anlagen/DE/Publikationen/Broschueren/broschuere-eat-a4-fr-franzoesisch.pdf?__blob=publicationFile","x")</f>
        <v>x</v>
      </c>
      <c r="IZ156" s="111"/>
      <c r="JA156" s="112" t="str">
        <f>HYPERLINK("http://fluechtlingsrat-bw.de/informationen-fuer-fluechtlinge.html","x")</f>
        <v>x</v>
      </c>
      <c r="JB156" s="111"/>
      <c r="JC156" s="112" t="str">
        <f>HYPERLINK("http://www.bamf.de/SharedDocs/Anlagen/DE/Publikationen/Flyer/20150223_ura2_fra.pdf?__blob=publicationFile","x")</f>
        <v>x</v>
      </c>
      <c r="JD156" s="111"/>
      <c r="JE156" s="112"/>
      <c r="JF156" s="112"/>
      <c r="JG156" s="112"/>
      <c r="JH156" s="112"/>
      <c r="JI156" s="111"/>
      <c r="JJ156" s="112" t="str">
        <f>HYPERLINK("http://www.kub-berlin.org/formularprojekt/franzoesisch-antraege-und-anlagen-uebersetzungshilfen/","x")</f>
        <v>x</v>
      </c>
      <c r="JK156" s="112" t="str">
        <f>HYPERLINK("https://www.arbeitsagentur.de/web/wcm/idc/groups/public/documents/webdatei/mdaw/mjg1/~edisp/l6019022dstbai788667.pdf?_ba.sid=L6019022DSTBAI784626","x")</f>
        <v>x</v>
      </c>
      <c r="JL156" s="112" t="str">
        <f>HYPERLINK("http://www.kub-berlin.org/formularprojekt/franzoesisch-antraege-und-anlagen-uebersetzungshilfen/","x")</f>
        <v>x</v>
      </c>
      <c r="JM156" s="112" t="str">
        <f>HYPERLINK("https://www.arbeitsagentur.de/web/content/DE/Formulare/Detail/index.htm?dfContentId=L6019022DSTBAI485740","x")</f>
        <v>x</v>
      </c>
      <c r="JN156" s="112"/>
      <c r="JO156" s="112"/>
      <c r="JP156" s="112"/>
      <c r="JQ156" s="112"/>
      <c r="JR156" s="112" t="str">
        <f>HYPERLINK("http://www.ibla-germany.de/merkblaetter.php","x")</f>
        <v>x</v>
      </c>
      <c r="JS156" s="112"/>
      <c r="JT156" s="112" t="str">
        <f>HYPERLINK("http://www.b-umf.de/images/willkommen/willkommensbroschurefranzoesisch-web.pdf","x")</f>
        <v>x</v>
      </c>
      <c r="JU156" s="111"/>
      <c r="JV156" s="111"/>
      <c r="JW156" s="112"/>
      <c r="JX156" s="112"/>
      <c r="JY156" s="112"/>
      <c r="JZ156" s="112"/>
      <c r="KA156" s="112"/>
      <c r="KB156" s="112" t="str">
        <f>HYPERLINK("http://www.refugeeguide.de/dl/RefugeeGuide_fr_925.pdf","x")</f>
        <v>x</v>
      </c>
      <c r="KC156" s="111"/>
      <c r="KD156" s="112" t="str">
        <f>HYPERLINK("http://www.wedel.de/fileadmin/user_upload/media/pdf/Rathaus_und_Politik/20160118_PM_Broschuere.pdf","x")</f>
        <v>x</v>
      </c>
      <c r="KE156" s="112" t="str">
        <f>HYPERLINK("http://www.frauenrechte.de/online/images/downloads/allgemein/TDF_Flyer_Women_Men.pdf","x")</f>
        <v>x</v>
      </c>
      <c r="KF156" s="112" t="str">
        <f>HYPERLINK("http://sab.landtag.sachsen.de/dokumente/landtagskurier/Grundwerte-A5-international_web_08012016.pdf","x")</f>
        <v>x</v>
      </c>
      <c r="KG156" s="112"/>
      <c r="KH156" s="112"/>
      <c r="KI156" s="112"/>
      <c r="KJ156" s="112"/>
      <c r="KK156" s="112"/>
      <c r="KL156" s="112"/>
      <c r="KM156" s="112"/>
      <c r="KN156" s="112"/>
      <c r="KO156" s="112"/>
      <c r="KP156" s="112"/>
      <c r="KQ156" s="112"/>
      <c r="KR156" s="112"/>
      <c r="KS156" s="112"/>
      <c r="KT156" s="112"/>
      <c r="KU156" s="112"/>
      <c r="KV156" s="112"/>
      <c r="KW156" s="112"/>
      <c r="KX156" s="112"/>
      <c r="KY156" s="112"/>
      <c r="KZ156" s="112"/>
      <c r="LA156" s="112"/>
      <c r="LB156" s="112"/>
      <c r="LC156" s="111"/>
      <c r="LD156" s="112"/>
      <c r="LE156" s="112"/>
      <c r="LF156" s="112"/>
      <c r="LG156" s="112"/>
      <c r="LH156" s="112"/>
      <c r="LI156" s="112"/>
      <c r="LJ156" s="112"/>
      <c r="LK156" s="112"/>
      <c r="LL156" s="112"/>
      <c r="LM156" s="111"/>
      <c r="LN156" s="111"/>
      <c r="LO156" s="111"/>
      <c r="LP156" s="111"/>
      <c r="LQ156" s="112"/>
      <c r="LR156" s="111"/>
      <c r="LS156" s="112"/>
      <c r="LT156" s="112"/>
      <c r="LU156" s="111"/>
      <c r="LV156" s="111"/>
      <c r="LW156" s="111"/>
      <c r="LX156" s="111"/>
      <c r="LY156" s="111"/>
      <c r="LZ156" s="111"/>
      <c r="MA156" s="111"/>
      <c r="MB156" s="112"/>
      <c r="MC156" s="111"/>
      <c r="MD156" s="112" t="str">
        <f>HYPERLINK("http://www.rki.de/DE/Content/Infekt/IfSG/Belehrungsbogen/belehrungsbogen_lebensmittel_franzoesisch.pdf?__blob=publicationFile","x")</f>
        <v>x</v>
      </c>
      <c r="ME156" s="111"/>
      <c r="MF156" s="112" t="str">
        <f>HYPERLINK("http://www.gdv.de/wp-content/uploads/2016/01/Information_Brandschutz_Fluechtlingsheim_-Sicherheit_mehrsprachig.pdf","x")</f>
        <v>x</v>
      </c>
      <c r="MG156" s="112" t="str">
        <f>HYPERLINK("http://www.gdv.de/wp-content/uploads/2016/01/Information_Verhalten-im-Brandfall_mehrsprachig.pdf","x")</f>
        <v>x</v>
      </c>
      <c r="MH156" s="112" t="str">
        <f>HYPERLINK("http://www.aha-region.de/fileadmin/Download/pdf/aha_Plakat_Muelltrennung_fr.pdf","x")</f>
        <v>x</v>
      </c>
      <c r="MI156" s="112" t="str">
        <f>HYPERLINK("http://www.kindersicherheit.de/pdf/2012_poster_achtunggiftig_8sprachig.pdf","x")</f>
        <v>x</v>
      </c>
    </row>
    <row r="157" spans="1:347" x14ac:dyDescent="0.25">
      <c r="A157" s="102" t="s">
        <v>390</v>
      </c>
      <c r="B157" s="127" t="s">
        <v>483</v>
      </c>
      <c r="C157" s="102"/>
      <c r="D157" s="102"/>
      <c r="E157" s="102"/>
      <c r="F157" s="102"/>
      <c r="G157" s="102"/>
      <c r="H157" s="102"/>
      <c r="I157" s="102"/>
      <c r="J157" s="102"/>
      <c r="K157" s="103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2"/>
      <c r="AP157" s="112"/>
      <c r="AQ157" s="112"/>
      <c r="AR157" s="112"/>
      <c r="AS157" s="112"/>
      <c r="AT157" s="112"/>
      <c r="AU157" s="112"/>
      <c r="AV157" s="113"/>
      <c r="AW157" s="114" t="str">
        <f t="shared" si="55"/>
        <v>x</v>
      </c>
      <c r="AX157" s="114" t="str">
        <f t="shared" si="56"/>
        <v>x</v>
      </c>
      <c r="AY157" s="111"/>
      <c r="AZ157" s="111"/>
      <c r="BA157" s="112" t="str">
        <f t="shared" si="57"/>
        <v>x</v>
      </c>
      <c r="BB157" s="112" t="str">
        <f t="shared" si="58"/>
        <v>x</v>
      </c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2" t="str">
        <f t="shared" si="59"/>
        <v>x</v>
      </c>
      <c r="BT157" s="112"/>
      <c r="BU157" s="111"/>
      <c r="BV157" s="112" t="str">
        <f t="shared" si="60"/>
        <v>x</v>
      </c>
      <c r="BW157" s="112" t="str">
        <f>HYPERLINK("http://www.welcomegrooves.de/wp-content/uploads/2015/10/welcomegrooves_DE-HAUSA.pdf","x")</f>
        <v>x</v>
      </c>
      <c r="BX157" s="112"/>
      <c r="BY157" s="112"/>
      <c r="BZ157" s="112"/>
      <c r="CA157" s="112" t="str">
        <f t="shared" si="61"/>
        <v>x</v>
      </c>
      <c r="CB157" s="112" t="str">
        <f t="shared" si="62"/>
        <v>x</v>
      </c>
      <c r="CC157" s="112" t="str">
        <f t="shared" si="63"/>
        <v>x</v>
      </c>
      <c r="CD157" s="112"/>
      <c r="CE157" s="112"/>
      <c r="CF157" s="111"/>
      <c r="CG157" s="111"/>
      <c r="CH157" s="111"/>
      <c r="CI157" s="111"/>
      <c r="CJ157" s="112"/>
      <c r="CK157" s="112" t="str">
        <f t="shared" si="64"/>
        <v>x</v>
      </c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5"/>
      <c r="DD157" s="112"/>
      <c r="DE157" s="112"/>
      <c r="DF157" s="112" t="str">
        <f t="shared" si="65"/>
        <v>x</v>
      </c>
      <c r="DG157" s="115" t="str">
        <f t="shared" si="66"/>
        <v>x</v>
      </c>
      <c r="DH157" s="112" t="str">
        <f t="shared" si="67"/>
        <v>x</v>
      </c>
      <c r="DI157" s="112" t="str">
        <f t="shared" si="68"/>
        <v>x</v>
      </c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2"/>
      <c r="DV157" s="111"/>
      <c r="DW157" s="111"/>
      <c r="DX157" s="111"/>
      <c r="DY157" s="111"/>
      <c r="DZ157" s="111"/>
      <c r="EA157" s="111"/>
      <c r="EB157" s="112"/>
      <c r="EC157" s="112"/>
      <c r="ED157" s="111"/>
      <c r="EE157" s="111"/>
      <c r="EF157" s="111"/>
      <c r="EG157" s="111"/>
      <c r="EH157" s="111"/>
      <c r="EI157" s="111"/>
      <c r="EJ157" s="112"/>
      <c r="EK157" s="112"/>
      <c r="EL157" s="111"/>
      <c r="EM157" s="112"/>
      <c r="EN157" s="112"/>
      <c r="EO157" s="111"/>
      <c r="EP157" s="117"/>
      <c r="EQ157" s="118"/>
      <c r="ER157" s="112"/>
      <c r="ES157" s="111"/>
      <c r="ET157" s="111"/>
      <c r="EU157" s="111"/>
      <c r="EV157" s="111"/>
      <c r="EW157" s="112" t="str">
        <f t="shared" si="69"/>
        <v>x</v>
      </c>
      <c r="EX157" s="111"/>
      <c r="EY157" s="111"/>
      <c r="EZ157" s="111"/>
      <c r="FA157" s="111"/>
      <c r="FB157" s="111"/>
      <c r="FC157" s="111"/>
      <c r="FD157" s="112" t="str">
        <f t="shared" si="70"/>
        <v>x</v>
      </c>
      <c r="FE157" s="112"/>
      <c r="FF157" s="111"/>
      <c r="FG157" s="111"/>
      <c r="FH157" s="111"/>
      <c r="FI157" s="111"/>
      <c r="FJ157" s="112"/>
      <c r="FK157" s="112"/>
      <c r="FL157" s="111"/>
      <c r="FM157" s="111"/>
      <c r="FN157" s="112"/>
      <c r="FO157" s="112"/>
      <c r="FP157" s="112"/>
      <c r="FQ157" s="111"/>
      <c r="FR157" s="112"/>
      <c r="FS157" s="112"/>
      <c r="FT157" s="112"/>
      <c r="FU157" s="112"/>
      <c r="FV157" s="112"/>
      <c r="FW157" s="112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2"/>
      <c r="GI157" s="111"/>
      <c r="GJ157" s="111"/>
      <c r="GK157" s="111"/>
      <c r="GL157" s="111"/>
      <c r="GM157" s="112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2" t="str">
        <f t="shared" si="71"/>
        <v>x</v>
      </c>
      <c r="HD157" s="111"/>
      <c r="HE157" s="111"/>
      <c r="HF157" s="111"/>
      <c r="HG157" s="111"/>
      <c r="HH157" s="111"/>
      <c r="HI157" s="111"/>
      <c r="HJ157" s="111"/>
      <c r="HK157" s="112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2" t="str">
        <f t="shared" si="72"/>
        <v>x</v>
      </c>
      <c r="HZ157" s="112" t="str">
        <f t="shared" si="73"/>
        <v>x</v>
      </c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2"/>
      <c r="IL157" s="111"/>
      <c r="IM157" s="111"/>
      <c r="IN157" s="111"/>
      <c r="IO157" s="111"/>
      <c r="IP157" s="111"/>
      <c r="IQ157" s="112"/>
      <c r="IR157" s="112"/>
      <c r="IS157" s="111"/>
      <c r="IT157" s="111"/>
      <c r="IU157" s="111"/>
      <c r="IV157" s="112"/>
      <c r="IW157" s="112"/>
      <c r="IX157" s="112"/>
      <c r="IY157" s="112"/>
      <c r="IZ157" s="111"/>
      <c r="JA157" s="111"/>
      <c r="JB157" s="111"/>
      <c r="JC157" s="112"/>
      <c r="JD157" s="111"/>
      <c r="JE157" s="112"/>
      <c r="JF157" s="112"/>
      <c r="JG157" s="112"/>
      <c r="JH157" s="112"/>
      <c r="JI157" s="111"/>
      <c r="JJ157" s="112"/>
      <c r="JK157" s="112"/>
      <c r="JL157" s="112"/>
      <c r="JM157" s="112"/>
      <c r="JN157" s="112"/>
      <c r="JO157" s="112"/>
      <c r="JP157" s="112"/>
      <c r="JQ157" s="112"/>
      <c r="JR157" s="112"/>
      <c r="JS157" s="112"/>
      <c r="JT157" s="112"/>
      <c r="JU157" s="111"/>
      <c r="JV157" s="111"/>
      <c r="JW157" s="112"/>
      <c r="JX157" s="112"/>
      <c r="JY157" s="111"/>
      <c r="JZ157" s="111"/>
      <c r="KA157" s="111"/>
      <c r="KB157" s="111"/>
      <c r="KC157" s="111"/>
      <c r="KD157" s="111"/>
      <c r="KE157" s="111"/>
      <c r="KF157" s="112"/>
      <c r="KG157" s="111"/>
      <c r="KH157" s="111"/>
      <c r="KI157" s="111"/>
      <c r="KJ157" s="111"/>
      <c r="KK157" s="111"/>
      <c r="KL157" s="111"/>
      <c r="KM157" s="111"/>
      <c r="KN157" s="111"/>
      <c r="KO157" s="111"/>
      <c r="KP157" s="111"/>
      <c r="KQ157" s="111"/>
      <c r="KR157" s="111"/>
      <c r="KS157" s="111"/>
      <c r="KT157" s="111"/>
      <c r="KU157" s="111"/>
      <c r="KV157" s="111"/>
      <c r="KW157" s="111"/>
      <c r="KX157" s="111"/>
      <c r="KY157" s="111"/>
      <c r="KZ157" s="111"/>
      <c r="LA157" s="111"/>
      <c r="LB157" s="111"/>
      <c r="LC157" s="111"/>
      <c r="LD157" s="111"/>
      <c r="LE157" s="111"/>
      <c r="LF157" s="111"/>
      <c r="LG157" s="111"/>
      <c r="LH157" s="111"/>
      <c r="LI157" s="111"/>
      <c r="LJ157" s="111"/>
      <c r="LK157" s="111"/>
      <c r="LL157" s="111"/>
      <c r="LM157" s="111"/>
      <c r="LN157" s="111"/>
      <c r="LO157" s="111"/>
      <c r="LP157" s="111"/>
      <c r="LQ157" s="111"/>
      <c r="LR157" s="111"/>
      <c r="LS157" s="111"/>
      <c r="LT157" s="111"/>
      <c r="LU157" s="111"/>
      <c r="LV157" s="111"/>
      <c r="LW157" s="111"/>
      <c r="LX157" s="111"/>
      <c r="LY157" s="111"/>
      <c r="LZ157" s="111"/>
      <c r="MA157" s="111"/>
      <c r="MB157" s="111"/>
      <c r="MC157" s="111"/>
      <c r="MD157" s="111"/>
      <c r="ME157" s="111"/>
      <c r="MF157" s="111"/>
      <c r="MG157" s="111"/>
      <c r="MH157" s="111"/>
      <c r="MI157" s="111"/>
    </row>
    <row r="158" spans="1:347" x14ac:dyDescent="0.25">
      <c r="A158" s="102" t="s">
        <v>73</v>
      </c>
      <c r="B158" s="127" t="s">
        <v>2</v>
      </c>
      <c r="C158" s="102"/>
      <c r="D158" s="102"/>
      <c r="E158" s="102"/>
      <c r="F158" s="102"/>
      <c r="G158" s="102"/>
      <c r="H158" s="102"/>
      <c r="I158" s="102"/>
      <c r="J158" s="102"/>
      <c r="K158" s="103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3"/>
      <c r="AW158" s="114" t="str">
        <f t="shared" si="55"/>
        <v>x</v>
      </c>
      <c r="AX158" s="114" t="str">
        <f t="shared" si="56"/>
        <v>x</v>
      </c>
      <c r="AY158" s="111"/>
      <c r="AZ158" s="111"/>
      <c r="BA158" s="112" t="str">
        <f t="shared" si="57"/>
        <v>x</v>
      </c>
      <c r="BB158" s="112" t="str">
        <f t="shared" si="58"/>
        <v>x</v>
      </c>
      <c r="BC158" s="111"/>
      <c r="BD158" s="111"/>
      <c r="BE158" s="111"/>
      <c r="BF158" s="111"/>
      <c r="BG158" s="111"/>
      <c r="BH158" s="112" t="str">
        <f>HYPERLINK("http://www.refugeephrasebook.de/pdf/germany150920.pdf","x")</f>
        <v>x</v>
      </c>
      <c r="BI158" s="112" t="str">
        <f>HYPERLINK("https://www.advanced-online.eu/downloads/RefugeePhrasebookCards_German-Dari.pdf","x")</f>
        <v>x</v>
      </c>
      <c r="BJ158" s="111"/>
      <c r="BK158" s="111"/>
      <c r="BL158" s="112" t="str">
        <f>HYPERLINK("http://www.bundessprachenamt.de/deutsch/wir_ueber_uns/nachrichten/2015/20151103/Verständigungshilfe_Dari_07_12_2015.pdf","x")</f>
        <v>x</v>
      </c>
      <c r="BM158" s="112" t="str">
        <f>HYPERLINK("http://www.frnrw.de/images/Aus_den_Initiativen/Ehrenamtler/2015/Dictionary_x10_print-2.pdf","x")</f>
        <v>x</v>
      </c>
      <c r="BN158" s="111"/>
      <c r="BO158" s="112" t="str">
        <f>HYPERLINK("http://mylanguages.org/dari_phrases.php","x")</f>
        <v>x</v>
      </c>
      <c r="BP158" s="112" t="str">
        <f>HYPERLINK("https://www.friedensdorf.de/documents/Woerterbuch_Dari.pdf","x")</f>
        <v>x</v>
      </c>
      <c r="BQ158" s="111"/>
      <c r="BR158" s="111"/>
      <c r="BS158" s="112" t="str">
        <f t="shared" si="59"/>
        <v>x</v>
      </c>
      <c r="BT158" s="112"/>
      <c r="BU158" s="111"/>
      <c r="BV158" s="112" t="str">
        <f t="shared" si="60"/>
        <v>x</v>
      </c>
      <c r="BW158" s="112"/>
      <c r="BX158" s="112"/>
      <c r="BY158" s="112"/>
      <c r="BZ158" s="112"/>
      <c r="CA158" s="112" t="str">
        <f t="shared" si="61"/>
        <v>x</v>
      </c>
      <c r="CB158" s="112" t="str">
        <f t="shared" si="62"/>
        <v>x</v>
      </c>
      <c r="CC158" s="112" t="str">
        <f t="shared" si="63"/>
        <v>x</v>
      </c>
      <c r="CD158" s="112"/>
      <c r="CE158" s="112"/>
      <c r="CF158" s="111"/>
      <c r="CG158" s="111"/>
      <c r="CH158" s="111"/>
      <c r="CI158" s="111"/>
      <c r="CJ158" s="111"/>
      <c r="CK158" s="112" t="str">
        <f t="shared" si="64"/>
        <v>x</v>
      </c>
      <c r="CL158" s="112"/>
      <c r="CM158" s="112"/>
      <c r="CN158" s="112"/>
      <c r="CO158" s="112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2"/>
      <c r="DA158" s="112"/>
      <c r="DB158" s="112"/>
      <c r="DC158" s="115"/>
      <c r="DD158" s="112"/>
      <c r="DE158" s="112"/>
      <c r="DF158" s="112" t="str">
        <f t="shared" si="65"/>
        <v>x</v>
      </c>
      <c r="DG158" s="115" t="str">
        <f t="shared" si="66"/>
        <v>x</v>
      </c>
      <c r="DH158" s="112" t="str">
        <f t="shared" si="67"/>
        <v>x</v>
      </c>
      <c r="DI158" s="112" t="str">
        <f t="shared" si="68"/>
        <v>x</v>
      </c>
      <c r="DJ158" s="111"/>
      <c r="DK158" s="111"/>
      <c r="DL158" s="111"/>
      <c r="DM158" s="111"/>
      <c r="DN158" s="111"/>
      <c r="DO158" s="112" t="str">
        <f>HYPERLINK("http://www.wdrmaus.de/sachgeschichten/maus-international/","x")</f>
        <v>x</v>
      </c>
      <c r="DP158" s="111"/>
      <c r="DQ158" s="111"/>
      <c r="DR158" s="111"/>
      <c r="DS158" s="111"/>
      <c r="DT158" s="111"/>
      <c r="DU158" s="111"/>
      <c r="DV158" s="112" t="str">
        <f>HYPERLINK("https://www.bmbf.de/pub/KAUSA_Elternratgeber_deutsch_persisch_bf.pdf","x")</f>
        <v>x</v>
      </c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2" t="str">
        <f>HYPERLINK("http://www.kvs-sachsen.de/fileadmin/img/Mitglieder/Asylbewerber/Allg-Informationen/Anlage_1_Dari_LEK.pdf","x")</f>
        <v>x</v>
      </c>
      <c r="EN158" s="112" t="str">
        <f>HYPERLINK("http://www.medizin-hilft-fluechtlingen.de/images/Dokumente/gSch/gSch_dar.pdf","x")</f>
        <v>x</v>
      </c>
      <c r="EO158" s="112"/>
      <c r="EP158" s="118"/>
      <c r="EQ158" s="118"/>
      <c r="ER158" s="112" t="str">
        <f>HYPERLINK("http://www.kvs-sachsen.de/fileadmin/img/Mitglieder/Asylbewerber/Allg-Informationen/151124_Anlage2__1_Erwachsene-DAR.pdf","x")</f>
        <v>x</v>
      </c>
      <c r="ES158" s="112" t="str">
        <f>HYPERLINK("http://www.kvs-sachsen.de/fileadmin/img/Mitglieder/Asylbewerber/Allg-Informationen/151124_Anlage2_2_Kinder-DAR.pdf","x")</f>
        <v>x</v>
      </c>
      <c r="ET158" s="112"/>
      <c r="EU158" s="112" t="str">
        <f>HYPERLINK("http://www.medizin-hilft-fluechtlingen.de/images/Dokumente/ein/ein_far.pdf","x")</f>
        <v>x</v>
      </c>
      <c r="EV158" s="112"/>
      <c r="EW158" s="112" t="str">
        <f t="shared" si="69"/>
        <v>x</v>
      </c>
      <c r="EX158" s="111"/>
      <c r="EY158" s="111"/>
      <c r="EZ158" s="111"/>
      <c r="FA158" s="111"/>
      <c r="FB158" s="111"/>
      <c r="FC158" s="111"/>
      <c r="FD158" s="112" t="str">
        <f t="shared" si="70"/>
        <v>x</v>
      </c>
      <c r="FE158" s="112" t="str">
        <f>HYPERLINK("http://sghanstedt.elbnetz.com/ueber-uns/","x")</f>
        <v>x</v>
      </c>
      <c r="FF158" s="111"/>
      <c r="FG158" s="112" t="str">
        <f>HYPERLINK("http://www.tipdoc.de/grafik/asyl/Gesundheitsheft_Asyl.pdf","x")</f>
        <v>x</v>
      </c>
      <c r="FH158" s="111"/>
      <c r="FI158" s="111"/>
      <c r="FJ158" s="112"/>
      <c r="FK158" s="112" t="str">
        <f>HYPERLINK("http://www.rki.de/DE/Content/Infekt/Impfen/Materialien/Downloads-Impfkalender/Impfkalender_Dari.pdf?__blob=publicationFile","x")</f>
        <v>x</v>
      </c>
      <c r="FL158" s="111"/>
      <c r="FM158" s="111"/>
      <c r="FN158" s="112"/>
      <c r="FO158" s="112"/>
      <c r="FP158" s="112" t="str">
        <f>HYPERLINK("http://www.rki.de/DE/Content/Infekt/Impfen/Materialien/Downloads-MMR/MMR-Impfinfo-dari.pdf?__blob=publicationFile","x")</f>
        <v>x</v>
      </c>
      <c r="FQ158" s="111"/>
      <c r="FR158" s="112" t="str">
        <f>HYPERLINK("http://www.rki.de/DE/Content/Infekt/Impfen/Materialien/Downloads_HepA/Aufklaerung_HAV-Impfung_dari.pdf?__blob=publicationFile","x")</f>
        <v>x</v>
      </c>
      <c r="FS158" s="112" t="str">
        <f>HYPERLINK("http://www.rki.de/DE/Content/Infekt/Impfen/Materialien/Downloads_Pneumokokken/Aufklaerung_Pneumo-Impfung_Dari.pdf?__blob=publicationFile","x")</f>
        <v>x</v>
      </c>
      <c r="FT158" s="112" t="str">
        <f>HYPERLINK("http://www.rki.de/DE/Content/Infekt/Impfen/Materialien/Downloads-DTaPIPVHibHepB/DTaPIPVHibHepB_dari.pdf?__blob=publicationFile","x")</f>
        <v>x</v>
      </c>
      <c r="FU158" s="112" t="str">
        <f>HYPERLINK("http://www.rki.de/DE/Content/Infekt/Impfen/Materialien/Downloads-Varizellen/Varizellen-Impfinfo-dari.pdf;jsessionid=65B697F4EE7EDA8A1ED9E2C4CD6C74EC.2_cid363?__blob=publicationFile","x")</f>
        <v>x</v>
      </c>
      <c r="FV158" s="112" t="str">
        <f>HYPERLINK("http://www.rki.de/DE/Content/Infekt/Impfen/Materialien/Downloads-Tdap-IPV/Tdap-IPV-dari.pdf?__blob=publicationFile","x")</f>
        <v>x</v>
      </c>
      <c r="FW158" s="112" t="str">
        <f>HYPERLINK("http://www.rki.de/DE/Content/Infekt/Impfen/Materialien/Downloads-Influenza_nasal/Influenza_nasal-dari.pdf?__blob=publicationFile","x")</f>
        <v>x</v>
      </c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2"/>
      <c r="GI158" s="111"/>
      <c r="GJ158" s="111"/>
      <c r="GK158" s="111"/>
      <c r="GL158" s="111"/>
      <c r="GM158" s="112" t="str">
        <f>HYPERLINK("http://www.rki.de/DE/Content/Infekt/Impfen/Materialien/Downloads-Influenza/Influenza-dari.pdf?__blob=publicationFile","x")</f>
        <v>x</v>
      </c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2" t="str">
        <f t="shared" si="71"/>
        <v>x</v>
      </c>
      <c r="HD158" s="111"/>
      <c r="HE158" s="111"/>
      <c r="HF158" s="111"/>
      <c r="HG158" s="111"/>
      <c r="HH158" s="111"/>
      <c r="HI158" s="111"/>
      <c r="HJ158" s="111"/>
      <c r="HK158" s="112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2" t="str">
        <f t="shared" si="72"/>
        <v>x</v>
      </c>
      <c r="HZ158" s="112" t="str">
        <f t="shared" si="73"/>
        <v>x</v>
      </c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5" t="str">
        <f>HYPERLINK("http://www.bamf.de/SharedDocs/Anlagen/DE/Publikationen/Flyer/flyer-erstorientierung-asylsuchende_dari.pdf?__blob=publicationFile","x")</f>
        <v>x</v>
      </c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1"/>
      <c r="IZ158" s="111"/>
      <c r="JA158" s="111"/>
      <c r="JB158" s="111"/>
      <c r="JC158" s="111"/>
      <c r="JD158" s="111"/>
      <c r="JE158" s="111"/>
      <c r="JF158" s="111"/>
      <c r="JG158" s="111"/>
      <c r="JH158" s="111"/>
      <c r="JI158" s="111"/>
      <c r="JJ158" s="111"/>
      <c r="JK158" s="111"/>
      <c r="JL158" s="111"/>
      <c r="JM158" s="111"/>
      <c r="JN158" s="111"/>
      <c r="JO158" s="111"/>
      <c r="JP158" s="111"/>
      <c r="JQ158" s="111"/>
      <c r="JR158" s="111"/>
      <c r="JS158" s="111"/>
      <c r="JT158" s="112" t="str">
        <f>HYPERLINK("http://www.b-umf.de/images/willkommen/willkommensbroschuredari-web.pdf","x")</f>
        <v>x</v>
      </c>
      <c r="JU158" s="111"/>
      <c r="JV158" s="111"/>
      <c r="JW158" s="111"/>
      <c r="JX158" s="111"/>
      <c r="JY158" s="112"/>
      <c r="JZ158" s="112"/>
      <c r="KA158" s="112"/>
      <c r="KB158" s="112" t="str">
        <f>HYPERLINK("http://www.refugeeguide.de/dl/RefugeeGuide_fd_1019.pdf","x")</f>
        <v>x</v>
      </c>
      <c r="KC158" s="111"/>
      <c r="KD158" s="111"/>
      <c r="KE158" s="111"/>
      <c r="KF158" s="112"/>
      <c r="KG158" s="112"/>
      <c r="KH158" s="112"/>
      <c r="KI158" s="112"/>
      <c r="KJ158" s="112"/>
      <c r="KK158" s="112"/>
      <c r="KL158" s="112"/>
      <c r="KM158" s="112"/>
      <c r="KN158" s="112"/>
      <c r="KO158" s="112"/>
      <c r="KP158" s="112"/>
      <c r="KQ158" s="112"/>
      <c r="KR158" s="112"/>
      <c r="KS158" s="112"/>
      <c r="KT158" s="112"/>
      <c r="KU158" s="112"/>
      <c r="KV158" s="112"/>
      <c r="KW158" s="112"/>
      <c r="KX158" s="112"/>
      <c r="KY158" s="112"/>
      <c r="KZ158" s="112"/>
      <c r="LA158" s="112"/>
      <c r="LB158" s="112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  <c r="MI158" s="111"/>
    </row>
    <row r="159" spans="1:347" x14ac:dyDescent="0.25">
      <c r="A159" s="102" t="s">
        <v>73</v>
      </c>
      <c r="B159" s="127" t="s">
        <v>4</v>
      </c>
      <c r="C159" s="102"/>
      <c r="D159" s="102"/>
      <c r="E159" s="102"/>
      <c r="F159" s="102"/>
      <c r="G159" s="102"/>
      <c r="H159" s="102"/>
      <c r="I159" s="102"/>
      <c r="J159" s="102"/>
      <c r="K159" s="103"/>
      <c r="L159" s="111"/>
      <c r="M159" s="111"/>
      <c r="N159" s="112" t="str">
        <f>HYPERLINK("http://www.ag-fluechtlingshilfe-wetterau.de/uploads/infos/170.pdf","x")</f>
        <v>x</v>
      </c>
      <c r="O159" s="112" t="str">
        <f>HYPERLINK("http://www.ag-fluechtlingshilfe-wetterau.de/uploads/infos/220.pdf","x")</f>
        <v>x</v>
      </c>
      <c r="P159" s="112" t="str">
        <f>HYPERLINK("http://www.awb-ahrweiler.de/admin/data/ddownload/Abfall%20Sonderhinweise-englisch_2014.pdf","x")</f>
        <v>x</v>
      </c>
      <c r="Q159" s="112" t="str">
        <f>HYPERLINK("http://www.ag-fluechtlingshilfe-wetterau.de/uploads/infos/221.pdf","x")</f>
        <v>x</v>
      </c>
      <c r="R159" s="112" t="str">
        <f>HYPERLINK("http://www.konto.org/download/merkblatt-basiskonto-asylbewerber-english.pdf","x")</f>
        <v>x</v>
      </c>
      <c r="S159" s="112"/>
      <c r="T159" s="112" t="str">
        <f>HYPERLINK("https://antworten.sparkasse.de/wp-content/uploads/2015/10/English.pdf","x")</f>
        <v>x</v>
      </c>
      <c r="U159" s="112" t="str">
        <f>HYPERLINK("http://www.ag-fluechtlingshilfe-wetterau.de/uploads/infos/191.pdf","x")</f>
        <v>x</v>
      </c>
      <c r="V159" s="112"/>
      <c r="W159" s="112"/>
      <c r="X159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9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9" s="112"/>
      <c r="AA159" s="112"/>
      <c r="AB159" s="112"/>
      <c r="AC159" s="112" t="str">
        <f>HYPERLINK("http://www.vzhh.de/vzhh/409638/vzhh_refugees_telephone_internet.pdf","x")</f>
        <v>x</v>
      </c>
      <c r="AD159" s="112" t="str">
        <f>HYPERLINK("http://www.vzhh.de/vzhh/410647/vzhh_refugees_rundfunk.pdf","x")</f>
        <v>x</v>
      </c>
      <c r="AE159" s="112" t="str">
        <f>HYPERLINK("http://www.vzhh.de/vzhh/411476/vzhh_refugees_rundfunk_befreiung.pdf","x")</f>
        <v>x</v>
      </c>
      <c r="AF159" s="112" t="str">
        <f>HYPERLINK("http://www.kub-berlin.org/formularprojekt/de/englisch-antraege-und-anlagen-uebersetzungshilfen/","x")</f>
        <v>x</v>
      </c>
      <c r="AG159" s="112" t="str">
        <f>HYPERLINK("http://asyl-in-moenchengladbach.de/wp-content/uploads/2015/11/100711-Flyer_GB.pdf","x")</f>
        <v>x</v>
      </c>
      <c r="AH159" s="112" t="str">
        <f>HYPERLINK("http://sghanstedt.elbnetz.com/ueber-uns/","x")</f>
        <v>x</v>
      </c>
      <c r="AI159" s="112" t="str">
        <f>HYPERLINK("https://www.adac.de/sp/stiftung/_mmm/pdf/SGE_FOL_Verkehrssicherheit_Fl%C3%BCchtlinge_A3_01_16_Internet_250277.pdf","x")</f>
        <v>x</v>
      </c>
      <c r="AJ159" s="112" t="str">
        <f>HYPERLINK("http://www.stadt-koeln.de/mediaasset/content/kvb_kinderleicht_und_spielend_einfach__englisch_.pdf","x")</f>
        <v>x</v>
      </c>
      <c r="AK159" s="112" t="str">
        <f>HYPERLINK("https://www.vrsinfo.de/fileadmin/Dateien/downloadcenter/Folder_MobilPassTicket_Refugees01012016.pdf","x")</f>
        <v>x</v>
      </c>
      <c r="AL159" s="112" t="str">
        <f>HYPERLINK("https://www.vrsinfo.de/fileadmin/Dateien/downloadcenter/Willkommen_im_VRS2016_Druck.pdf","x")</f>
        <v>x</v>
      </c>
      <c r="AM159" s="112"/>
      <c r="AN159" s="112" t="str">
        <f>HYPERLINK("https://www.deutschebahn.com/file/de/2191748/eYdgZpqGpp5sMJ2KMKtg2r8aE4Q/10123812/data/infos_fuer_fluechtlinge.pdf","x")</f>
        <v>x</v>
      </c>
      <c r="AO159" s="112"/>
      <c r="AP159" s="112"/>
      <c r="AQ159" s="112"/>
      <c r="AR159" s="112"/>
      <c r="AS159" s="112"/>
      <c r="AT159" s="112"/>
      <c r="AU159" s="112" t="str">
        <f>HYPERLINK("http://www.stadt-koeln.de/mediaasset/content/festkomitee_flyer_2016_d_gb.pdf","x")</f>
        <v>x</v>
      </c>
      <c r="AV159" s="113"/>
      <c r="AW159" s="114" t="str">
        <f t="shared" si="55"/>
        <v>x</v>
      </c>
      <c r="AX159" s="114" t="str">
        <f t="shared" si="56"/>
        <v>x</v>
      </c>
      <c r="AY159" s="112" t="str">
        <f>HYPERLINK("http://fi-lohmar-siegburg.de/data/documents/Findefix_arabisch-Bildwoerterbuch.pdf","x")</f>
        <v>x</v>
      </c>
      <c r="AZ159" s="111"/>
      <c r="BA159" s="112" t="str">
        <f t="shared" si="57"/>
        <v>x</v>
      </c>
      <c r="BB159" s="112" t="str">
        <f t="shared" si="58"/>
        <v>x</v>
      </c>
      <c r="BC159" s="111"/>
      <c r="BD159" s="111"/>
      <c r="BE159" s="112" t="str">
        <f>HYPERLINK("http://fi-lohmar-siegburg.de/data/documents/communicationboard-arabic-english.pdf","x")</f>
        <v>x</v>
      </c>
      <c r="BF159" s="112"/>
      <c r="BG159" s="111"/>
      <c r="BH159" s="112" t="str">
        <f>HYPERLINK("http://www.refugeephrasebook.de/pdf/germany150920.pdf","x")</f>
        <v>x</v>
      </c>
      <c r="BI159" s="112" t="str">
        <f>HYPERLINK("https://www.advanced-online.eu/downloads/RefugeePhrasebookCards_German-English.pdf","x")</f>
        <v>x</v>
      </c>
      <c r="BJ159" s="112" t="str">
        <f>HYPERLINK("http://www.klett-sprachen.de/download/8638/W100255_Refugees_Welcome_Wortschatz.pdf","x")</f>
        <v>x</v>
      </c>
      <c r="BK159" s="111"/>
      <c r="BL159" s="112" t="str">
        <f>HYPERLINK("http://www.bundessprachenamt.de/deutsch/wir_ueber_uns/nachrichten/2015/20151103/Verständigungshilfe_Englisch_26_11_2015.pdf","x")</f>
        <v>x</v>
      </c>
      <c r="BM159" s="112" t="str">
        <f>HYPERLINK("http://www.frnrw.de/images/Aus_den_Initiativen/Ehrenamtler/2015/Dictionary_x10_print-2.pdf","x")</f>
        <v>x</v>
      </c>
      <c r="BN159" s="112" t="str">
        <f>HYPERLINK("http://www.medbox.org/toolboxes/kleines-worterbuch-little-dictionary-deutsch-englisch-arabisch/preview","x")</f>
        <v>x</v>
      </c>
      <c r="BO159" s="112" t="str">
        <f>HYPERLINK("http://mylanguages.org/dari_phrases.php","x")</f>
        <v>x</v>
      </c>
      <c r="BP159" s="111"/>
      <c r="BQ159" s="111"/>
      <c r="BR159" s="111"/>
      <c r="BS159" s="112" t="str">
        <f t="shared" si="59"/>
        <v>x</v>
      </c>
      <c r="BT159" s="112"/>
      <c r="BU159" s="111"/>
      <c r="BV159" s="112" t="str">
        <f t="shared" si="60"/>
        <v>x</v>
      </c>
      <c r="BW159" s="112" t="str">
        <f>HYPERLINK("http://www.welcomegrooves.de/wp-content/uploads/2015/10/welcomegrooves_DE-ENGLISH1.pdf","x")</f>
        <v>x</v>
      </c>
      <c r="BX159" s="112"/>
      <c r="BY159" s="112"/>
      <c r="BZ159" s="112"/>
      <c r="CA159" s="112" t="str">
        <f t="shared" si="61"/>
        <v>x</v>
      </c>
      <c r="CB159" s="112" t="str">
        <f t="shared" si="62"/>
        <v>x</v>
      </c>
      <c r="CC159" s="112" t="str">
        <f t="shared" si="63"/>
        <v>x</v>
      </c>
      <c r="CD159" s="112"/>
      <c r="CE159" s="112"/>
      <c r="CF159" s="111"/>
      <c r="CG159" s="112" t="str">
        <f>HYPERLINK("http://www.braunschweig.de/leben/frauen/hilfe/Ohne-Gewalt-leben.pdf","x")</f>
        <v>x</v>
      </c>
      <c r="CH159" s="112" t="str">
        <f>HYPERLINK("http://mifkjf.rlp.de/fileadmin/mifkjf/Frauen/Gewalt_gegen_Frauen/Downloads/Broschueren_Flyer/Flyer_Gewalt_englisch.pdf","x")</f>
        <v>x</v>
      </c>
      <c r="CI159" s="112" t="str">
        <f>HYPERLINK("https://www.hilfetelefon.de/fileadmin/hilfetelefon_de/Materialien/Flyer/Infoflyer_Hilfetelefon_Gewalt_gegen_Frauen141105_b2.pdf","x")</f>
        <v>x</v>
      </c>
      <c r="CJ159" s="112" t="str">
        <f>HYPERLINK("https://www.hilfetelefon.de/fileadmin/hilfetelefon_de/Materialien/weitere_werbemittel/Klappflyer_Vorder-_und_Rueckseite_opt2.pdf","x")</f>
        <v>x</v>
      </c>
      <c r="CK159" s="112" t="str">
        <f t="shared" si="64"/>
        <v>x</v>
      </c>
      <c r="CL159" s="112" t="str">
        <f>HYPERLINK("http://www.frauenberatungsstelle.de/pdf/Migrantinnen-beraten-Migrantinnen.pdf","x")</f>
        <v>x</v>
      </c>
      <c r="CM159" s="112" t="str">
        <f>HYPERLINK("http://www.frauenleben.org/spezielle_beratungsangebote/sexualisierte_gewalt.htm","x")</f>
        <v>x</v>
      </c>
      <c r="CN159" s="112"/>
      <c r="CO159" s="112"/>
      <c r="CP159" s="112" t="str">
        <f>HYPERLINK("http://www.schwanger-und-viele-fragen.de/en/","x")</f>
        <v>x</v>
      </c>
      <c r="CQ159" s="112"/>
      <c r="CR159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9" s="112" t="str">
        <f>HYPERLINK("http://en.beststart.org/for_parents/are-you-looking-resources-languages-other-english-and-french","x")</f>
        <v>x</v>
      </c>
      <c r="CT159" s="112"/>
      <c r="CU159" s="112" t="str">
        <f>HYPERLINK("http://www.profamilia.de/fileadmin/publikationen/Erwachsene/mehrsprachig/Bro_Verhuetung_engl_2013.pdf","x")</f>
        <v>x</v>
      </c>
      <c r="CV159" s="112" t="str">
        <f>HYPERLINK("http://www.profamilia.de/fileadmin/publikationen/Erwachsene/mehrsprachig/Bro_Pille_danach_Faltblatt_140122_RZ.pdf","x")</f>
        <v>x</v>
      </c>
      <c r="CW159" s="112" t="str">
        <f>HYPERLINK("http://www.profamilia.de/fileadmin/publikationen/Reihe_Verhuetungsmethoden/Einleger_englisch.pdf","x")</f>
        <v>x</v>
      </c>
      <c r="CX159" s="112" t="str">
        <f>HYPERLINK("http://www.profamilia.de/fileadmin/publikationen/Reihe_Koerper_und_Sexualtitaet/Schwangerschaftsabbruch_englisch_2010.pdf","x")</f>
        <v>x</v>
      </c>
      <c r="CY159" s="112" t="str">
        <f>HYPERLINK("http://www.caritas-schwarzwald-alb-donau.de/68854.html","x")</f>
        <v>x</v>
      </c>
      <c r="CZ159" s="112" t="str">
        <f>HYPERLINK("http://www.dgfpi.de/tl_files/download/medien/unwissen-macht-en.pdf","x")</f>
        <v>x</v>
      </c>
      <c r="DA159" s="112"/>
      <c r="DB159" s="112"/>
      <c r="DC159" s="115" t="str">
        <f>HYPERLINK("http://www.kindersicherheit.de/pdf/2013_BAG_Tomi_and_Mila_Deutsch_English.pdf","x")</f>
        <v>x</v>
      </c>
      <c r="DD159" s="112"/>
      <c r="DE159" s="112"/>
      <c r="DF159" s="112" t="str">
        <f t="shared" si="65"/>
        <v>x</v>
      </c>
      <c r="DG159" s="115" t="str">
        <f t="shared" si="66"/>
        <v>x</v>
      </c>
      <c r="DH159" s="112" t="str">
        <f t="shared" si="67"/>
        <v>x</v>
      </c>
      <c r="DI159" s="112" t="str">
        <f t="shared" si="68"/>
        <v>x</v>
      </c>
      <c r="DJ159" s="112"/>
      <c r="DK159" s="112"/>
      <c r="DL159" s="112"/>
      <c r="DM159" s="112"/>
      <c r="DN159" s="112"/>
      <c r="DO159" s="112" t="str">
        <f>HYPERLINK("http://www.wdrmaus.de/sachgeschichten/maus-international/","x")</f>
        <v>x</v>
      </c>
      <c r="DP159" s="111"/>
      <c r="DQ159" s="111"/>
      <c r="DR159" s="112" t="str">
        <f>HYPERLINK("https://broschueren.nordrheinwestfalendirekt.de/broschuerenservice/msw/eng-das-schulsystem-in-nordrhein-westfalen-einfach-und-schnell-erklaert/1902","x")</f>
        <v>x</v>
      </c>
      <c r="DS159" s="112" t="str">
        <f>HYPERLINK("http://bildung.koeln.de/materialbibliothek/download.php?idx=8e2a9f658e9fa830ce17dc18f0fb0268","x")</f>
        <v>x</v>
      </c>
      <c r="DT159" s="112" t="str">
        <f>HYPERLINK("http://bildung.koeln.de/materialbibliothek/download.php?idx=90aff7e7259385cadb46c517317f1446","x")</f>
        <v>x</v>
      </c>
      <c r="DU159" s="112"/>
      <c r="DV159" s="112" t="str">
        <f>HYPERLINK("https://www.bmbf.de/pub/Kausa_Elternbroschuere_englisch.pdf","x")</f>
        <v>x</v>
      </c>
      <c r="DW159" s="112"/>
      <c r="DX159" s="112" t="str">
        <f>HYPERLINK("http://www.wissenschaft.nrw.de/studium/informieren/informationen-fuer-fluechtlinge-die-in-nrw-studieren-moechten/","x")</f>
        <v>x</v>
      </c>
      <c r="DY159" s="112" t="str">
        <f>HYPERLINK("http://www.bamf.de/SharedDocs/Anlagen/DE/Publikationen/Flyer/AnerkennungBerufsabschluss/berufliche_anerkennung_akademische-heilberufe_en.pdf?__blob=publicationFile","x")</f>
        <v>x</v>
      </c>
      <c r="DZ159" s="112" t="str">
        <f>HYPERLINK("http://www.bamf.de/SharedDocs/Anlagen/EN/Publikationen/Flyer/AnerkennungBerufsabschluss/anerkennung-berufsabschluss.pdf?__blob=publicationFile","x")</f>
        <v>x</v>
      </c>
      <c r="EA159" s="112" t="str">
        <f>HYPERLINK("http://www.bamf.de/SharedDocs/Anlagen/EN/Publikationen/Flyer/AnerkennungBerufsabschluss/anerkennung-berufsabschluss_ausland.pdf?__blob=publicationFile","x")</f>
        <v>x</v>
      </c>
      <c r="EB159" s="112" t="str">
        <f>HYPERLINK("http://www.bamf.de/SharedDocs/Anlagen/EN/Publikationen/Broschueren/willkommen-in-deutschland-info-blaue-karte-eu_en.pdf?__blob=publicationFile","x")</f>
        <v>x</v>
      </c>
      <c r="EC159" s="112" t="str">
        <f>HYPERLINK("http://www.bamf.de/SharedDocs/Anlagen/EN/Publikationen/Flyer/Berufsbezsprachf-ESF-BAMF/berufsbezsprachf-esf-bamf.pdf?__blob=publicationFile","x")</f>
        <v>x</v>
      </c>
      <c r="ED159" s="111"/>
      <c r="EE159" s="111"/>
      <c r="EF159" s="111"/>
      <c r="EG159" s="111"/>
      <c r="EH159" s="111"/>
      <c r="EI159" s="111"/>
      <c r="EJ159" s="112"/>
      <c r="EK159" s="112" t="str">
        <f>HYPERLINK("http://fluechtlingsrat-bw.de/files/Dateien/Dokumente/Materialbestellung/2014-12-flyer%20arbeitserlaubnis%20EN%20WEB.pdf","x")</f>
        <v>x</v>
      </c>
      <c r="EL159" s="112" t="str">
        <f>HYPERLINK("http://www.aponet.de/englisch/20151019-fuer-den-notfall-wichtige-rufnummern-im-ueberblick.html","x")</f>
        <v>x</v>
      </c>
      <c r="EM159" s="112" t="str">
        <f>HYPERLINK("http://www.kvs-sachsen.de/fileadmin/img/Mitglieder/Asylbewerber/Allg-Informationen/Anlage_1_Englisch_LEK.pdf","x")</f>
        <v>x</v>
      </c>
      <c r="EN159" s="112" t="str">
        <f>HYPERLINK("http://www.medizin-hilft-fluechtlingen.de/images/Dokumente/gSch/gSch_eng.pdf","x")</f>
        <v>x</v>
      </c>
      <c r="EO159" s="112" t="str">
        <f>HYPERLINK("http://www.aponet.de/englisch/medical-care-for-asylum-seekers.html","x")</f>
        <v>x</v>
      </c>
      <c r="EP159" s="117" t="str">
        <f>HYPERLINK("http://www.medi-bild.de/pdf/anamnese/Welche_Sprache.pdf","x")</f>
        <v>x</v>
      </c>
      <c r="EQ159" s="117" t="str">
        <f>HYPERLINK("http://www.armut-gesundheit.de/fileadmin/redakteur/dokumente/Anamnesebogen%20-%20englischnew.pdf","x")</f>
        <v>x</v>
      </c>
      <c r="ER159" s="112" t="str">
        <f>HYPERLINK("http://www.kvs-sachsen.de/fileadmin/img/Mitglieder/Asylbewerber/Allg-Informationen/Anlagen_2-1_2-2_Englisch_LEK.pdf","x")</f>
        <v>x</v>
      </c>
      <c r="ES159" s="111"/>
      <c r="ET159" s="111"/>
      <c r="EU159" s="112" t="str">
        <f>HYPERLINK("http://www.medizin-hilft-fluechtlingen.de/images/Dokumente/ein/ein_engl.pdf","x")</f>
        <v>x</v>
      </c>
      <c r="EV159" s="112" t="str">
        <f>HYPERLINK("http://www.adler-apotheke-hh.de/fileadmin/user_upload/PDF-Dateien/Dosierzettel_mehrsprachig_AUF_0_.pdf","x")</f>
        <v>x</v>
      </c>
      <c r="EW159" s="112" t="str">
        <f t="shared" si="69"/>
        <v>x</v>
      </c>
      <c r="EX159" s="112" t="str">
        <f>HYPERLINK("http://www.rki.de/DE/Content/Infekt/IfSG/Belehrungsbogen/belehrungsbogen_eltern_englisch.pdf?__blob=publicationFile","x")</f>
        <v>x</v>
      </c>
      <c r="EY159" s="112" t="str">
        <f>HYPERLINK("http://www.bzga.de/infomaterialien/?sid=236","x")</f>
        <v>x</v>
      </c>
      <c r="EZ159" s="112" t="str">
        <f>HYPERLINK("https://www.mh-hannover.de/fileadmin/mhh/bilder/aktuelles_presse/pressestelle/bilder/Pilzvergif_English.pdf","x")</f>
        <v>x</v>
      </c>
      <c r="FA159" s="112"/>
      <c r="FB159" s="112" t="str">
        <f>HYPERLINK("http://static.apotheken-umschau.de/media/gp/article_506373/bildwoerterbuch.pdf","x")</f>
        <v>x</v>
      </c>
      <c r="FC159" s="112" t="str">
        <f>HYPERLINK("https://www.studentenwerke.de/sites/default/files/gesundheitswoerterbuch.pdf","x")</f>
        <v>x</v>
      </c>
      <c r="FD159" s="112" t="str">
        <f t="shared" si="70"/>
        <v>x</v>
      </c>
      <c r="FE159" s="112" t="str">
        <f>HYPERLINK("http://sghanstedt.elbnetz.com/ueber-uns/","x")</f>
        <v>x</v>
      </c>
      <c r="FF159" s="112" t="str">
        <f>HYPERLINK("http://www.fuhlenhagen.com/pdf_dateien/uebertzungshilfe_aerzte_mehrsprachig.pdf","x")</f>
        <v>x</v>
      </c>
      <c r="FG159" s="112" t="str">
        <f>HYPERLINK("http://www.tipdoc.de/grafik/asyl/Gesundheitsheft_Asyl.pdf","x")</f>
        <v>x</v>
      </c>
      <c r="FH159" s="111"/>
      <c r="FI159" s="111"/>
      <c r="FJ159" s="112" t="str">
        <f>HYPERLINK("http://www.bundesgesundheitsministerium.de/fileadmin/dateien/Publikationen/Gesundheit/Broschueren/Ratgeber_Asylsuchende/Ratgeber_Asylsuchende_engl.pdf","x")</f>
        <v>x</v>
      </c>
      <c r="FK159" s="112" t="str">
        <f>HYPERLINK("http://www.rki.de/DE/Content/Infekt/Impfen/Materialien/Downloads-Impfkalender/Impfkalender_Englisch.pdf?__blob=publicationFile","x")</f>
        <v>x</v>
      </c>
      <c r="FL159" s="112" t="str">
        <f>HYPERLINK("http://www.ethno-medizinisches-zentrum.de/images/PDF-Files/impfwegweiser_englisch_2013_online.pdf","x")</f>
        <v>x</v>
      </c>
      <c r="FM159" s="112"/>
      <c r="FN159" s="112" t="str">
        <f>HYPERLINK("http://www.rki.de/DE/Content/Infekt/Impfen/Materialien/Glossar-Downloads/glossar-de-englisch.pdf?__blob=publicationFile","x")</f>
        <v>x</v>
      </c>
      <c r="FO159" s="112" t="str">
        <f>HYPERLINK("http://www.euro.who.int/__data/assets/pdf_file/0005/160754/VPDs_Signs-symptoms-complications.pdf?ua=1","x")</f>
        <v>x</v>
      </c>
      <c r="FP159" s="112" t="str">
        <f>HYPERLINK("http://www.rki.de/DE/Content/Infekt/Impfen/Materialien/Downloads-MMR/MMR-Impfinfo-englisch.pdf?__blob=publicationFile","x")</f>
        <v>x</v>
      </c>
      <c r="FQ159" s="112" t="str">
        <f>HYPERLINK("http://www.rki.de/DE/Content/InfAZ/P/Polio/Ausbruch_Syrien/Informationsblatt_Polio_Englisch.pdf?__blob=publicationFile","x")</f>
        <v>x</v>
      </c>
      <c r="FR159" s="112" t="str">
        <f>HYPERLINK("http://www.rki.de/DE/Content/Infekt/Impfen/Materialien/Downloads_HepA/Aufklaerung_HAV-Impfung_Englisch.pdf?__blob=publicationFile","x")</f>
        <v>x</v>
      </c>
      <c r="FS159" s="112" t="str">
        <f>HYPERLINK("http://www.rki.de/DE/Content/Infekt/Impfen/Materialien/Downloads_Pneumokokken/Aufklaerung_Pneumo-Impfung_Englisch.pdf?__blob=publicationFile","x")</f>
        <v>x</v>
      </c>
      <c r="FT159" s="112" t="str">
        <f>HYPERLINK("http://www.rki.de/DE/Content/Infekt/Impfen/Materialien/Downloads-DTaPIPVHibHepB/DTaPIPVHibHepB-englisch.pdf?__blob=publicationFile","x")</f>
        <v>x</v>
      </c>
      <c r="FU159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9" s="112" t="str">
        <f>HYPERLINK("http://www.rki.de/DE/Content/Infekt/Impfen/Materialien/Downloads-Tdap-IPV/Tdap-IPV-englisch.pdf?__blob=publicationFile","x")</f>
        <v>x</v>
      </c>
      <c r="FW159" s="112" t="str">
        <f>HYPERLINK("http://www.rki.de/DE/Content/Infekt/Impfen/Materialien/Downloads-Influenza_nasal/Influenza_nasal-englisch.pdf?__blob=publicationFile","x")</f>
        <v>x</v>
      </c>
      <c r="FX159" s="111"/>
      <c r="FY159" s="112"/>
      <c r="FZ159" s="112"/>
      <c r="GA159" s="111"/>
      <c r="GB159" s="111"/>
      <c r="GC159" s="111"/>
      <c r="GD159" s="112" t="str">
        <f>HYPERLINK("http://www.ethno-medizinisches-zentrum.de/images/PDF-Files/lf_diabete_englisch.pdf","x")</f>
        <v>x</v>
      </c>
      <c r="GE159" s="111"/>
      <c r="GF159" s="111"/>
      <c r="GG159" s="111"/>
      <c r="GH159" s="112"/>
      <c r="GI159" s="111"/>
      <c r="GJ159" s="111"/>
      <c r="GK159" s="112" t="str">
        <f>HYPERLINK("http://www.tipdoc.de/bus/pdf/hiv/HIV%20ESP_Webseite.pdf","x")</f>
        <v>x</v>
      </c>
      <c r="GL159" s="111"/>
      <c r="GM159" s="112" t="str">
        <f>HYPERLINK("http://www.rki.de/DE/Content/Infekt/Impfen/Materialien/Downloads-Influenza/Influenza-englisch.pdf?__blob=publicationFile","x")</f>
        <v>x</v>
      </c>
      <c r="GN159" s="111"/>
      <c r="GO159" s="112" t="str">
        <f>HYPERLINK("http://www.aponet.de/englisch/20151111-so-unterscheiden-sich-grippe-und-erkaeltung.html","x")</f>
        <v>x</v>
      </c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2" t="str">
        <f t="shared" si="71"/>
        <v>x</v>
      </c>
      <c r="HD159" s="112" t="str">
        <f>HYPERLINK("https://www.zahnaerzte-wl.de/images/_PDF-suche/KZV_ZÄK/ENDSTAND_Ankreuzbogen_Ich_verstehe.pdf","x")</f>
        <v>x</v>
      </c>
      <c r="HE159" s="112" t="str">
        <f>HYPERLINK("https://www.zahnaerzte-wl.de/images/_PDF-suche/KZV_ZÄK/Anschreiben_Patienten_englisch.pdf","x")</f>
        <v>x</v>
      </c>
      <c r="HF159" s="112" t="str">
        <f>HYPERLINK("https://www.zahnaerzte-wl.de/images/_PDF-suche/KZV_ZÄK/Fragebogen_englisch.pdf","x")</f>
        <v>x</v>
      </c>
      <c r="HG159" s="112" t="str">
        <f>HYPERLINK("https://www.zahnaerzte-wl.de/images/_PDF-suche/KZV_ZÄK/Patientenerhebungsbogen_englisch.pdf","x")</f>
        <v>x</v>
      </c>
      <c r="HH159" s="112"/>
      <c r="HI159" s="112" t="str">
        <f>HYPERLINK("http://www.bvkm.de/fileadmin/web_data/Behinderung_und_Migration_englisch_2014.pdf","x")</f>
        <v>x</v>
      </c>
      <c r="HJ159" s="112"/>
      <c r="HK159" s="112" t="str">
        <f>HYPERLINK("http://www.psychenet.de/en/mental-health/knowledge/depression.html","x")</f>
        <v>x</v>
      </c>
      <c r="HL159" s="111"/>
      <c r="HM159" s="112" t="str">
        <f>HYPERLINK("http://www.psychenet.de/en/mental-health/knowledge/psychoses.html","x")</f>
        <v>x</v>
      </c>
      <c r="HN159" s="112" t="str">
        <f>HYPERLINK("http://www.psychenet.de/en/mental-health/knowledge/somatoform-disorders.html","x")</f>
        <v>x</v>
      </c>
      <c r="HO159" s="112" t="str">
        <f>HYPERLINK("http://www.psychenet.de/en/mental-health/knowledge/anorexia.html","x")</f>
        <v>x</v>
      </c>
      <c r="HP159" s="112" t="str">
        <f>HYPERLINK("http://www.psychenet.de/en/mental-health/knowledge/bulimia.html","x")</f>
        <v>x</v>
      </c>
      <c r="HQ159" s="112" t="str">
        <f>HYPERLINK("http://www.psychenet.de/en/mental-health/knowledge/bipolar-disorder.html","x")</f>
        <v>x</v>
      </c>
      <c r="HR159" s="112" t="str">
        <f>HYPERLINK("http://www.psychenet.de/en/mental-health/knowledge/panic-and-agoraphobia.html","x")</f>
        <v>x</v>
      </c>
      <c r="HS159" s="112" t="str">
        <f>HYPERLINK("http://www.psychenet.de/en/mental-health/knowledge/social-phobia.html","x")</f>
        <v>x</v>
      </c>
      <c r="HT159" s="112" t="str">
        <f>HYPERLINK("http://www.psychenet.de/en/mental-health/knowledge/generalized-anxiety-disorder.html","x")</f>
        <v>x</v>
      </c>
      <c r="HU159" s="112"/>
      <c r="HV159" s="112" t="str">
        <f>HYPERLINK("http://www.psychenet.de/en/mental-health/knowledge/information-and-support.html","x")</f>
        <v>x</v>
      </c>
      <c r="HW159" s="112"/>
      <c r="HX159" s="112" t="str">
        <f>HYPERLINK("http://www.bkk-psychisch-gesund.de/fileadmin/user_upload/Dokumente/Versicherte/Broschueren/Wegweiser_Psychotherapie_englisch.pdf","x")</f>
        <v>x</v>
      </c>
      <c r="HY159" s="112" t="str">
        <f t="shared" si="72"/>
        <v>x</v>
      </c>
      <c r="HZ159" s="112" t="str">
        <f t="shared" si="73"/>
        <v>x</v>
      </c>
      <c r="IA159" s="112" t="str">
        <f>HYPERLINK("http://peacefulheart.se/wp-content/uploads/2012/02/TTT_English_2013.pdf","x")</f>
        <v>x</v>
      </c>
      <c r="IB159" s="112"/>
      <c r="IC159" s="112"/>
      <c r="ID159" s="112" t="str">
        <f>HYPERLINK("http://www.susannestein.de/VIA-online/trauma-picture-book.pdf","x")</f>
        <v>x</v>
      </c>
      <c r="IE159" s="112" t="str">
        <f>HYPERLINK("http://www.psychenet.de/en/mental-health/knowledge/alcohol-in-adolescence.html","x")</f>
        <v>x</v>
      </c>
      <c r="IF159" s="112"/>
      <c r="IG159" s="112"/>
      <c r="IH159" s="111"/>
      <c r="II159" s="112" t="str">
        <f>HYPERLINK("http://www.caritas.de/hilfeundberatung/onlineberatung/suchtberatung/haeufiggestelltefragensucht/haeufiggestelltefragen-sucht","x")</f>
        <v>x</v>
      </c>
      <c r="IJ159" s="112" t="str">
        <f>HYPERLINK("http://www.dhs.de/fileadmin/user_upload/pdf/Broschueren/Ein_Angebot_an_alle-Englisch.pdf","x")</f>
        <v>x</v>
      </c>
      <c r="IK159" s="112" t="str">
        <f>HYPERLINK("http://www.bamf.de/SharedDocs/Anlagen/EN/Publikationen/Flyer/Lassen-Sie-Sich-Beraten/lassen-sie-sich-beraten.pdf?__blob=publicationFile","x")</f>
        <v>x</v>
      </c>
      <c r="IL159" s="115" t="str">
        <f>HYPERLINK("http://www.bamf.de/SharedDocs/Anlagen/EN/Publikationen/Flyer/flyer-erstorientierung-asylsuchende.pdf?__blob=publicationFile","x")</f>
        <v>x</v>
      </c>
      <c r="IM159" s="112" t="str">
        <f>HYPERLINK("http://www.frnrw.de/index.php/inhaltliche-themen/arbeitshilfen/item/3710-erstinfos-fuer-asylsuchende","x")</f>
        <v>x</v>
      </c>
      <c r="IN159" s="112" t="str">
        <f>HYPERLINK("http://www.bamf.de/SharedDocs/Anlagen/EN/Publikationen/Broschueren/willkommen-in-deutschland.pdf;jsessionid=2D72CB108E4AC02BBB9659E7D9A589B2.1_cid368?__blob=publicationFile","x")</f>
        <v>x</v>
      </c>
      <c r="IO159" s="112"/>
      <c r="IP159" s="112"/>
      <c r="IQ159" s="112" t="str">
        <f>HYPERLINK("http://www.bamf.de/SharedDocs/Anlagen/EN/Publikationen/Flyer/Lernen-Sie-Deutsch/lernen-sie-deutsch.pdf?__blob=publicationFile","x")</f>
        <v>x</v>
      </c>
      <c r="IR159" s="112" t="str">
        <f>HYPERLINK("http://www.asyl.net/fileadmin/user_upload/redaktion/Dokumente/Arbeitshilfen/150910_Wie_l%C3%A4uft_ein_Asylverfahren_ab_%C3%9Cberblickstext_Englisch.pdf","x")</f>
        <v>x</v>
      </c>
      <c r="IS159" s="111"/>
      <c r="IT159" s="112" t="str">
        <f>HYPERLINK("http://www.bamf.de/SharedDocs/Anlagen/EN/Publikationen/Flyer/ablauf-asylverfahren.pdf;jsessionid=DBD4307960D761935FCC3E0325D459A1.1_cid294?__blob=publicationFile","x")</f>
        <v>x</v>
      </c>
      <c r="IU159" s="111"/>
      <c r="IV159" s="112" t="str">
        <f>HYPERLINK("http://www.asyl.net/fileadmin/user_upload/infoblatt_anhoerung/Infoblatt_2015_en_fin.pdf","x")</f>
        <v>x</v>
      </c>
      <c r="IW159" s="112"/>
      <c r="IX159" s="112" t="str">
        <f>HYPERLINK("http://www.berlin.de/labo/willkommen-in-berlin/service/downloads/artikel.273193.php","x")</f>
        <v>x</v>
      </c>
      <c r="IY159" s="112" t="str">
        <f>HYPERLINK("http://www.bamf.de/SharedDocs/Anlagen/EN/Publikationen/Broschueren/broschuere-eat-a4.pdf?__blob=publicationFile","x")</f>
        <v>x</v>
      </c>
      <c r="IZ159" s="111"/>
      <c r="JA159" s="112" t="str">
        <f>HYPERLINK("http://fluechtlingsrat-bw.de/informationen-fuer-fluechtlinge.html","x")</f>
        <v>x</v>
      </c>
      <c r="JB159" s="111"/>
      <c r="JC159" s="112" t="str">
        <f>HYPERLINK("http://www.bamf.de/SharedDocs/Anlagen/EN/Publikationen/Flyer/20150223_ura2_en.pdf?__blob=publicationFile","x")</f>
        <v>x</v>
      </c>
      <c r="JD159" s="111"/>
      <c r="JE159" s="112"/>
      <c r="JF159" s="112"/>
      <c r="JG159" s="112" t="str">
        <f>HYPERLINK("http://www.bamf.de/SharedDocs/Anlagen/EN/Publikationen/Flyer/Ehegattennachzug/ehegattennachzug.pdf?__blob=publicationFile","x")</f>
        <v>x</v>
      </c>
      <c r="JH159" s="112" t="str">
        <f>HYPERLINK("https://familyreunion-syria.diplo.de/webportal/index.html#start","x")</f>
        <v>x</v>
      </c>
      <c r="JI159" s="112" t="str">
        <f>HYPERLINK("http://ec.europa.eu/dgs/home-affairs/what-we-do/networks/european_migration_network/docs/emn-glossary-en-version.pdf","x")</f>
        <v>x</v>
      </c>
      <c r="JJ159" s="112"/>
      <c r="JK159" s="112" t="str">
        <f>HYPERLINK("https://www.arbeitsagentur.de/web/wcm/idc/groups/public/documents/webdatei/mdaw/mjgz/~edisp/l6019022dstbai784628.pdf?_ba.sid=L6019022DSTBAI784625","x")</f>
        <v>x</v>
      </c>
      <c r="JL159" s="112" t="str">
        <f>HYPERLINK("http://www.kub-berlin.org/formularprojekt/de/englisch-antraege-und-anlagen-uebersetzungshilfen/","x")</f>
        <v>x</v>
      </c>
      <c r="JM159" s="112" t="str">
        <f>HYPERLINK("https://www.arbeitsagentur.de/web/content/DE/Formulare/Detail/index.htm?dfContentId=L6019022DSTBAI485740","x")</f>
        <v>x</v>
      </c>
      <c r="JN159" s="112"/>
      <c r="JO159" s="112"/>
      <c r="JP159" s="112"/>
      <c r="JQ159" s="112"/>
      <c r="JR159" s="112" t="str">
        <f>HYPERLINK("http://www.ibla-germany.de/merkblaetter.php","x")</f>
        <v>x</v>
      </c>
      <c r="JS159" s="112"/>
      <c r="JT159" s="112" t="str">
        <f>HYPERLINK("http://www.b-umf.de/images/willkommen/willkommensbroschureenglisch-web.pdf","x")</f>
        <v>x</v>
      </c>
      <c r="JU159" s="111"/>
      <c r="JV159" s="111"/>
      <c r="JW159" s="112"/>
      <c r="JX159" s="112" t="str">
        <f>HYPERLINK("https://www.arbeitsagentur.de/web/wcm/idc/groups/public/documents/webdatei/mdaw/mjgz/~edisp/l6019022dstbai784636.pdf?_ba.sid=L6019022DSTBAI784633","x")</f>
        <v>x</v>
      </c>
      <c r="JY159" s="112"/>
      <c r="JZ159" s="112"/>
      <c r="KA159" s="112"/>
      <c r="KB159" s="112" t="str">
        <f>HYPERLINK("http://www.refugeeguide.de/dl/RefugeeGuide_en_925.pdf","x")</f>
        <v>x</v>
      </c>
      <c r="KC159" s="112" t="str">
        <f>HYPERLINK("http://www.gesetze-im-internet.de/englisch_gg/basic_law_for_the_federal_republic_of_germany.pdf","x")</f>
        <v>x</v>
      </c>
      <c r="KD159" s="112" t="str">
        <f>HYPERLINK("http://www.wedel.de/fileadmin/user_upload/media/pdf/Rathaus_und_Politik/20160118_PM_Broschuere.pdf","x")</f>
        <v>x</v>
      </c>
      <c r="KE159" s="112" t="str">
        <f>HYPERLINK("http://www.frauenrechte.de/online/images/downloads/allgemein/TDF_Flyer_Women_Men.pdf","x")</f>
        <v>x</v>
      </c>
      <c r="KF159" s="112" t="str">
        <f>HYPERLINK("http://sab.landtag.sachsen.de/dokumente/landtagskurier/Grundwerte-A5-international_web_08012016.pdf","x")</f>
        <v>x</v>
      </c>
      <c r="KG159" s="112"/>
      <c r="KH159" s="112"/>
      <c r="KI159" s="112"/>
      <c r="KJ159" s="112"/>
      <c r="KK159" s="112"/>
      <c r="KL159" s="112"/>
      <c r="KM159" s="112"/>
      <c r="KN159" s="112"/>
      <c r="KO159" s="112"/>
      <c r="KP159" s="112"/>
      <c r="KQ159" s="112"/>
      <c r="KR159" s="112"/>
      <c r="KS159" s="112"/>
      <c r="KT159" s="112"/>
      <c r="KU159" s="112"/>
      <c r="KV159" s="112"/>
      <c r="KW159" s="112"/>
      <c r="KX159" s="112"/>
      <c r="KY159" s="112"/>
      <c r="KZ159" s="112"/>
      <c r="LA159" s="112"/>
      <c r="LB159" s="112"/>
      <c r="LC159" s="111"/>
      <c r="LD159" s="112"/>
      <c r="LE159" s="112"/>
      <c r="LF159" s="112"/>
      <c r="LG159" s="112"/>
      <c r="LH159" s="112"/>
      <c r="LI159" s="112"/>
      <c r="LJ159" s="112"/>
      <c r="LK159" s="112"/>
      <c r="LL159" s="112"/>
      <c r="LM159" s="112"/>
      <c r="LN159" s="112"/>
      <c r="LO159" s="112"/>
      <c r="LP159" s="112"/>
      <c r="LQ159" s="112"/>
      <c r="LR159" s="112"/>
      <c r="LS159" s="112"/>
      <c r="LT159" s="112"/>
      <c r="LU159" s="112"/>
      <c r="LV159" s="112"/>
      <c r="LW159" s="112"/>
      <c r="LX159" s="112"/>
      <c r="LY159" s="112"/>
      <c r="LZ159" s="112"/>
      <c r="MA159" s="112"/>
      <c r="MB159" s="112"/>
      <c r="MC159" s="111"/>
      <c r="MD159" s="112" t="str">
        <f>HYPERLINK("http://www.rki.de/DE/Content/Infekt/IfSG/Belehrungsbogen/belehrungsbogen_lebensmittel_englisch.pdf?__blob=publicationFile","x")</f>
        <v>x</v>
      </c>
      <c r="ME159" s="112"/>
      <c r="MF159" s="112" t="str">
        <f>HYPERLINK("http://www.gdv.de/wp-content/uploads/2016/01/Information_Brandschutz_Fluechtlingsheim_-Sicherheit_mehrsprachig.pdf","x")</f>
        <v>x</v>
      </c>
      <c r="MG159" s="112" t="str">
        <f>HYPERLINK("http://www.gdv.de/wp-content/uploads/2016/01/Information_Verhalten-im-Brandfall_mehrsprachig.pdf","x")</f>
        <v>x</v>
      </c>
      <c r="MH159" s="112" t="str">
        <f>HYPERLINK("http://www.aha-region.de/fileadmin/Download/pdf/aha_Plakat_Muelltrennung_en.pdf","x")</f>
        <v>x</v>
      </c>
      <c r="MI159" s="112" t="str">
        <f>HYPERLINK("http://www.kindersicherheit.de/pdf/2012_poster_achtunggiftig_8sprachig.pdf","x")</f>
        <v>x</v>
      </c>
    </row>
    <row r="160" spans="1:347" x14ac:dyDescent="0.25">
      <c r="A160" s="102" t="s">
        <v>73</v>
      </c>
      <c r="B160" s="127" t="s">
        <v>27</v>
      </c>
      <c r="C160" s="102"/>
      <c r="D160" s="102"/>
      <c r="E160" s="102"/>
      <c r="F160" s="102"/>
      <c r="G160" s="102"/>
      <c r="H160" s="102"/>
      <c r="I160" s="102"/>
      <c r="J160" s="102"/>
      <c r="K160" s="103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2" t="str">
        <f>HYPERLINK("http://sghanstedt.elbnetz.com/ueber-uns/","x")</f>
        <v>x</v>
      </c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3"/>
      <c r="AW160" s="114" t="str">
        <f t="shared" si="55"/>
        <v>x</v>
      </c>
      <c r="AX160" s="114" t="str">
        <f t="shared" si="56"/>
        <v>x</v>
      </c>
      <c r="AY160" s="111"/>
      <c r="AZ160" s="111"/>
      <c r="BA160" s="112" t="str">
        <f t="shared" si="57"/>
        <v>x</v>
      </c>
      <c r="BB160" s="112" t="str">
        <f t="shared" si="58"/>
        <v>x</v>
      </c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2" t="str">
        <f>HYPERLINK("http://www.bundessprachenamt.de/deutsch/wir_ueber_uns/nachrichten/2015/20151103/Verständigungshilfe_Paschtu_07_12_2015.pdf","x")</f>
        <v>x</v>
      </c>
      <c r="BM160" s="111"/>
      <c r="BN160" s="111"/>
      <c r="BO160" s="111"/>
      <c r="BP160" s="111"/>
      <c r="BQ160" s="111"/>
      <c r="BR160" s="112" t="str">
        <f>HYPERLINK("http://www.friedensdorf.de/documents/Woerterbuch_Pashtu.pdf","x")</f>
        <v>x</v>
      </c>
      <c r="BS160" s="112" t="str">
        <f t="shared" si="59"/>
        <v>x</v>
      </c>
      <c r="BT160" s="112"/>
      <c r="BU160" s="111"/>
      <c r="BV160" s="112" t="str">
        <f t="shared" si="60"/>
        <v>x</v>
      </c>
      <c r="BW160" s="112" t="str">
        <f>HYPERLINK("http://www.welcomegrooves.de/wp-content/uploads/2015/10/welcomegrooves_DE-PASCHTO.pdf","x")</f>
        <v>x</v>
      </c>
      <c r="BX160" s="112"/>
      <c r="BY160" s="112"/>
      <c r="BZ160" s="112"/>
      <c r="CA160" s="112" t="str">
        <f t="shared" si="61"/>
        <v>x</v>
      </c>
      <c r="CB160" s="112" t="str">
        <f t="shared" si="62"/>
        <v>x</v>
      </c>
      <c r="CC160" s="112" t="str">
        <f t="shared" si="63"/>
        <v>x</v>
      </c>
      <c r="CD160" s="112"/>
      <c r="CE160" s="112"/>
      <c r="CF160" s="111"/>
      <c r="CG160" s="111"/>
      <c r="CH160" s="111"/>
      <c r="CI160" s="111"/>
      <c r="CJ160" s="111"/>
      <c r="CK160" s="112" t="str">
        <f t="shared" si="64"/>
        <v>x</v>
      </c>
      <c r="CL160" s="112"/>
      <c r="CM160" s="112"/>
      <c r="CN160" s="112"/>
      <c r="CO160" s="112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2"/>
      <c r="DA160" s="112" t="str">
        <f>HYPERLINK("http://sichere-orte-schaffen.de/wp-content/uploads/Minibrosch_Fluechtlinge_multilang.pdf","x")</f>
        <v>x</v>
      </c>
      <c r="DB160" s="112"/>
      <c r="DC160" s="115"/>
      <c r="DD160" s="112"/>
      <c r="DE160" s="112"/>
      <c r="DF160" s="112" t="str">
        <f t="shared" si="65"/>
        <v>x</v>
      </c>
      <c r="DG160" s="115" t="str">
        <f t="shared" si="66"/>
        <v>x</v>
      </c>
      <c r="DH160" s="112" t="str">
        <f t="shared" si="67"/>
        <v>x</v>
      </c>
      <c r="DI160" s="112" t="str">
        <f t="shared" si="68"/>
        <v>x</v>
      </c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2" t="str">
        <f>HYPERLINK("http://www.kvs-sachsen.de/fileadmin/img/Mitglieder/Asylbewerber/Allg-Informationen/Anlage_1_Paschtu_LEK.pdf","x")</f>
        <v>x</v>
      </c>
      <c r="EN160" s="111"/>
      <c r="EO160" s="111"/>
      <c r="EP160" s="118"/>
      <c r="EQ160" s="118"/>
      <c r="ER160" s="112" t="str">
        <f>HYPERLINK("http://www.kvs-sachsen.de/fileadmin/img/Mitglieder/Asylbewerber/Allg-Informationen/Anlagen_2-1_2-2_Paschtu_LEK.pdf","x")</f>
        <v>x</v>
      </c>
      <c r="ES160" s="111"/>
      <c r="ET160" s="111"/>
      <c r="EU160" s="111"/>
      <c r="EV160" s="111"/>
      <c r="EW160" s="112" t="str">
        <f t="shared" si="69"/>
        <v>x</v>
      </c>
      <c r="EX160" s="111"/>
      <c r="EY160" s="111"/>
      <c r="EZ160" s="111"/>
      <c r="FA160" s="111"/>
      <c r="FB160" s="111"/>
      <c r="FC160" s="111"/>
      <c r="FD160" s="112" t="str">
        <f t="shared" si="70"/>
        <v>x</v>
      </c>
      <c r="FE160" s="112" t="str">
        <f>HYPERLINK("http://sghanstedt.elbnetz.com/ueber-uns/","x")</f>
        <v>x</v>
      </c>
      <c r="FF160" s="111"/>
      <c r="FG160" s="111"/>
      <c r="FH160" s="111"/>
      <c r="FI160" s="111"/>
      <c r="FJ160" s="112" t="str">
        <f>HYPERLINK("http://www.bundesgesundheitsministerium.de/fileadmin/dateien/Publikationen/Gesundheit/Broschueren/Ratgeber_Asylsuchende/Ratgeber_Asylsuchende_paschto.pdf","x")</f>
        <v>x</v>
      </c>
      <c r="FK160" s="112" t="str">
        <f>HYPERLINK("http://www.rki.de/DE/Content/Infekt/Impfen/Materialien/Downloads-Impfkalender/Impfkalender_Pashto.pdf?__blob=publicationFile","x")</f>
        <v>x</v>
      </c>
      <c r="FL160" s="111"/>
      <c r="FM160" s="111"/>
      <c r="FN160" s="111"/>
      <c r="FO160" s="111"/>
      <c r="FP160" s="112" t="str">
        <f>HYPERLINK("http://www.rki.de/DE/Content/Infekt/Impfen/Materialien/Downloads-MMR/MMR-Impfinfo-pashto.pdf?__blob=publicationFile","x")</f>
        <v>x</v>
      </c>
      <c r="FQ160" s="111"/>
      <c r="FR160" s="112" t="str">
        <f>HYPERLINK("http://www.rki.de/DE/Content/Infekt/Impfen/Materialien/Downloads_HepA/Aufklaerung_HAV-Impfung_Pashto.pdf?__blob=publicationFile","x")</f>
        <v>x</v>
      </c>
      <c r="FS160" s="112" t="str">
        <f>HYPERLINK("http://www.rki.de/DE/Content/Infekt/Impfen/Materialien/Downloads_Pneumokokken/Aufklaerung_Pneumo-Impfung_Pashto.pdf?__blob=publicationFile","x")</f>
        <v>x</v>
      </c>
      <c r="FT160" s="112" t="str">
        <f>HYPERLINK("http://www.rki.de/DE/Content/Infekt/Impfen/Materialien/Downloads-DTaPIPVHibHepB/DTaPIPVHibHepB_pashto.pdf?__blob=publicationFile","x")</f>
        <v>x</v>
      </c>
      <c r="FU160" s="112" t="str">
        <f>HYPERLINK("http://www.rki.de/DE/Content/Infekt/Impfen/Materialien/Downloads-Varizellen/Varizellen-Impfinfo-pashto.pdf;jsessionid=65B697F4EE7EDA8A1ED9E2C4CD6C74EC.2_cid363?__blob=publicationFile","x")</f>
        <v>x</v>
      </c>
      <c r="FV160" s="112" t="str">
        <f>HYPERLINK("http://www.rki.de/DE/Content/Infekt/Impfen/Materialien/Downloads-Tdap-IPV/Tdap-IPV-pashto.pdf?__blob=publicationFile","x")</f>
        <v>x</v>
      </c>
      <c r="FW160" s="112" t="str">
        <f>HYPERLINK("http://www.rki.de/DE/Content/Infekt/Impfen/Materialien/Downloads-Influenza_nasal/Influenza_nasal_pashto.pdf?__blob=publicationFile","x")</f>
        <v>x</v>
      </c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2" t="str">
        <f>HYPERLINK("http://www.rki.de/DE/Content/Infekt/Impfen/Materialien/Downloads-Influenza/Influenza_Pashto.pdf?__blob=publicationFile","x")</f>
        <v>x</v>
      </c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2" t="str">
        <f t="shared" si="71"/>
        <v>x</v>
      </c>
      <c r="HD160" s="111"/>
      <c r="HE160" s="111"/>
      <c r="HF160" s="111"/>
      <c r="HG160" s="111"/>
      <c r="HH160" s="111"/>
      <c r="HI160" s="111"/>
      <c r="HJ160" s="111"/>
      <c r="HK160" s="112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2" t="str">
        <f t="shared" si="72"/>
        <v>x</v>
      </c>
      <c r="HZ160" s="112" t="str">
        <f t="shared" si="73"/>
        <v>x</v>
      </c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2" t="str">
        <f>HYPERLINK("http://www.bamf.de/SharedDocs/Anlagen/DE/Publikationen/Flyer/flyer-erstorientierung-asylsuchende_pashtu.pdf?__blob=publicationFile","x")</f>
        <v>x</v>
      </c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1"/>
      <c r="JF160" s="111"/>
      <c r="JG160" s="111"/>
      <c r="JH160" s="111"/>
      <c r="JI160" s="111"/>
      <c r="JJ160" s="111"/>
      <c r="JK160" s="111"/>
      <c r="JL160" s="111"/>
      <c r="JM160" s="111"/>
      <c r="JN160" s="111"/>
      <c r="JO160" s="111"/>
      <c r="JP160" s="111"/>
      <c r="JQ160" s="111"/>
      <c r="JR160" s="111"/>
      <c r="JS160" s="111"/>
      <c r="JT160" s="111"/>
      <c r="JU160" s="111"/>
      <c r="JV160" s="111"/>
      <c r="JW160" s="111"/>
      <c r="JX160" s="111"/>
      <c r="JY160" s="112"/>
      <c r="JZ160" s="112"/>
      <c r="KA160" s="112"/>
      <c r="KB160" s="112" t="str">
        <f>HYPERLINK("http://www.refugeeguide.de/dl/RefugeeGuide_ps_1021.pdf","x")</f>
        <v>x</v>
      </c>
      <c r="KC160" s="111"/>
      <c r="KD160" s="111"/>
      <c r="KE160" s="112" t="str">
        <f>HYPERLINK("http://www.frauenrechte.de/online/images/downloads/allgemein/TDF_Flyer_Women_Men.pdf","x")</f>
        <v>x</v>
      </c>
      <c r="KF160" s="111"/>
      <c r="KG160" s="112"/>
      <c r="KH160" s="112"/>
      <c r="KI160" s="112"/>
      <c r="KJ160" s="112"/>
      <c r="KK160" s="112"/>
      <c r="KL160" s="112"/>
      <c r="KM160" s="112"/>
      <c r="KN160" s="112"/>
      <c r="KO160" s="112"/>
      <c r="KP160" s="112"/>
      <c r="KQ160" s="112"/>
      <c r="KR160" s="112"/>
      <c r="KS160" s="112"/>
      <c r="KT160" s="112"/>
      <c r="KU160" s="112"/>
      <c r="KV160" s="112"/>
      <c r="KW160" s="112"/>
      <c r="KX160" s="112"/>
      <c r="KY160" s="112"/>
      <c r="KZ160" s="112"/>
      <c r="LA160" s="112"/>
      <c r="LB160" s="112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  <c r="MI160" s="111"/>
    </row>
    <row r="161" spans="1:347" x14ac:dyDescent="0.25">
      <c r="A161" s="102" t="s">
        <v>73</v>
      </c>
      <c r="B161" s="127" t="s">
        <v>491</v>
      </c>
      <c r="C161" s="102"/>
      <c r="D161" s="102"/>
      <c r="E161" s="102"/>
      <c r="F161" s="102"/>
      <c r="G161" s="102"/>
      <c r="H161" s="102"/>
      <c r="I161" s="102"/>
      <c r="J161" s="102"/>
      <c r="K161" s="103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2"/>
      <c r="AP161" s="112"/>
      <c r="AQ161" s="112"/>
      <c r="AR161" s="112"/>
      <c r="AS161" s="112"/>
      <c r="AT161" s="112"/>
      <c r="AU161" s="112"/>
      <c r="AV161" s="113"/>
      <c r="AW161" s="114" t="str">
        <f t="shared" si="55"/>
        <v>x</v>
      </c>
      <c r="AX161" s="114" t="str">
        <f t="shared" si="56"/>
        <v>x</v>
      </c>
      <c r="AY161" s="111"/>
      <c r="AZ161" s="111"/>
      <c r="BA161" s="112" t="str">
        <f t="shared" si="57"/>
        <v>x</v>
      </c>
      <c r="BB161" s="112" t="str">
        <f t="shared" si="58"/>
        <v>x</v>
      </c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2" t="str">
        <f t="shared" si="59"/>
        <v>x</v>
      </c>
      <c r="BT161" s="112"/>
      <c r="BU161" s="111"/>
      <c r="BV161" s="112" t="str">
        <f t="shared" si="60"/>
        <v>x</v>
      </c>
      <c r="BW161" s="112"/>
      <c r="BX161" s="112"/>
      <c r="BY161" s="112"/>
      <c r="BZ161" s="112"/>
      <c r="CA161" s="112" t="str">
        <f t="shared" si="61"/>
        <v>x</v>
      </c>
      <c r="CB161" s="112" t="str">
        <f t="shared" si="62"/>
        <v>x</v>
      </c>
      <c r="CC161" s="112" t="str">
        <f t="shared" si="63"/>
        <v>x</v>
      </c>
      <c r="CD161" s="112"/>
      <c r="CE161" s="112"/>
      <c r="CF161" s="111"/>
      <c r="CG161" s="111"/>
      <c r="CH161" s="111"/>
      <c r="CI161" s="111"/>
      <c r="CJ161" s="112"/>
      <c r="CK161" s="112" t="str">
        <f t="shared" si="64"/>
        <v>x</v>
      </c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5"/>
      <c r="DD161" s="112"/>
      <c r="DE161" s="112"/>
      <c r="DF161" s="112" t="str">
        <f t="shared" si="65"/>
        <v>x</v>
      </c>
      <c r="DG161" s="115" t="str">
        <f t="shared" si="66"/>
        <v>x</v>
      </c>
      <c r="DH161" s="112" t="str">
        <f t="shared" si="67"/>
        <v>x</v>
      </c>
      <c r="DI161" s="112" t="str">
        <f t="shared" si="68"/>
        <v>x</v>
      </c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2"/>
      <c r="DV161" s="111"/>
      <c r="DW161" s="111"/>
      <c r="DX161" s="111"/>
      <c r="DY161" s="111"/>
      <c r="DZ161" s="111"/>
      <c r="EA161" s="111"/>
      <c r="EB161" s="112"/>
      <c r="EC161" s="112"/>
      <c r="ED161" s="111"/>
      <c r="EE161" s="111"/>
      <c r="EF161" s="111"/>
      <c r="EG161" s="111"/>
      <c r="EH161" s="111"/>
      <c r="EI161" s="111"/>
      <c r="EJ161" s="112"/>
      <c r="EK161" s="112"/>
      <c r="EL161" s="111"/>
      <c r="EM161" s="112" t="str">
        <f>HYPERLINK("http://www.kvs-sachsen.de/fileadmin/img/Mitglieder/Asylbewerber/Allg-Informationen/Anlage_1_Punjabi_LEK.pdf","x")</f>
        <v>x</v>
      </c>
      <c r="EN161" s="112"/>
      <c r="EO161" s="111"/>
      <c r="EP161" s="117"/>
      <c r="EQ161" s="118"/>
      <c r="ER161" s="112" t="str">
        <f>HYPERLINK("http://www.kvs-sachsen.de/fileadmin/img/Mitglieder/Asylbewerber/Allg-Informationen/Anlagen_2-1_2-2_Punjabi_LEK.pdf","x")</f>
        <v>x</v>
      </c>
      <c r="ES161" s="111"/>
      <c r="ET161" s="111"/>
      <c r="EU161" s="111"/>
      <c r="EV161" s="111"/>
      <c r="EW161" s="112" t="str">
        <f t="shared" si="69"/>
        <v>x</v>
      </c>
      <c r="EX161" s="111"/>
      <c r="EY161" s="111"/>
      <c r="EZ161" s="111"/>
      <c r="FA161" s="111"/>
      <c r="FB161" s="111"/>
      <c r="FC161" s="111"/>
      <c r="FD161" s="112" t="str">
        <f t="shared" si="70"/>
        <v>x</v>
      </c>
      <c r="FE161" s="112"/>
      <c r="FF161" s="111"/>
      <c r="FG161" s="111"/>
      <c r="FH161" s="111"/>
      <c r="FI161" s="111"/>
      <c r="FJ161" s="112"/>
      <c r="FK161" s="112"/>
      <c r="FL161" s="111"/>
      <c r="FM161" s="111"/>
      <c r="FN161" s="112"/>
      <c r="FO161" s="112"/>
      <c r="FP161" s="112"/>
      <c r="FQ161" s="111"/>
      <c r="FR161" s="112"/>
      <c r="FS161" s="112"/>
      <c r="FT161" s="112"/>
      <c r="FU161" s="112"/>
      <c r="FV161" s="112"/>
      <c r="FW161" s="112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2"/>
      <c r="GI161" s="111"/>
      <c r="GJ161" s="111"/>
      <c r="GK161" s="111"/>
      <c r="GL161" s="111"/>
      <c r="GM161" s="112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2" t="str">
        <f t="shared" si="71"/>
        <v>x</v>
      </c>
      <c r="HD161" s="111"/>
      <c r="HE161" s="111"/>
      <c r="HF161" s="111"/>
      <c r="HG161" s="111"/>
      <c r="HH161" s="111"/>
      <c r="HI161" s="111"/>
      <c r="HJ161" s="111"/>
      <c r="HK161" s="112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2" t="str">
        <f t="shared" si="72"/>
        <v>x</v>
      </c>
      <c r="HZ161" s="112" t="str">
        <f t="shared" si="73"/>
        <v>x</v>
      </c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2"/>
      <c r="IL161" s="111"/>
      <c r="IM161" s="111"/>
      <c r="IN161" s="111"/>
      <c r="IO161" s="111"/>
      <c r="IP161" s="111"/>
      <c r="IQ161" s="112"/>
      <c r="IR161" s="112"/>
      <c r="IS161" s="111"/>
      <c r="IT161" s="111"/>
      <c r="IU161" s="111"/>
      <c r="IV161" s="112"/>
      <c r="IW161" s="112"/>
      <c r="IX161" s="112"/>
      <c r="IY161" s="112"/>
      <c r="IZ161" s="111"/>
      <c r="JA161" s="111"/>
      <c r="JB161" s="111"/>
      <c r="JC161" s="112"/>
      <c r="JD161" s="111"/>
      <c r="JE161" s="112"/>
      <c r="JF161" s="112"/>
      <c r="JG161" s="112"/>
      <c r="JH161" s="112"/>
      <c r="JI161" s="111"/>
      <c r="JJ161" s="112"/>
      <c r="JK161" s="112"/>
      <c r="JL161" s="112"/>
      <c r="JM161" s="112"/>
      <c r="JN161" s="112"/>
      <c r="JO161" s="112"/>
      <c r="JP161" s="112"/>
      <c r="JQ161" s="112"/>
      <c r="JR161" s="112"/>
      <c r="JS161" s="112"/>
      <c r="JT161" s="112"/>
      <c r="JU161" s="111"/>
      <c r="JV161" s="111"/>
      <c r="JW161" s="112"/>
      <c r="JX161" s="112"/>
      <c r="JY161" s="111"/>
      <c r="JZ161" s="111"/>
      <c r="KA161" s="111"/>
      <c r="KB161" s="111"/>
      <c r="KC161" s="111"/>
      <c r="KD161" s="111"/>
      <c r="KE161" s="111"/>
      <c r="KF161" s="112"/>
      <c r="KG161" s="111"/>
      <c r="KH161" s="111"/>
      <c r="KI161" s="111"/>
      <c r="KJ161" s="111"/>
      <c r="KK161" s="111"/>
      <c r="KL161" s="111"/>
      <c r="KM161" s="111"/>
      <c r="KN161" s="111"/>
      <c r="KO161" s="111"/>
      <c r="KP161" s="111"/>
      <c r="KQ161" s="111"/>
      <c r="KR161" s="111"/>
      <c r="KS161" s="111"/>
      <c r="KT161" s="111"/>
      <c r="KU161" s="111"/>
      <c r="KV161" s="111"/>
      <c r="KW161" s="111"/>
      <c r="KX161" s="111"/>
      <c r="KY161" s="111"/>
      <c r="KZ161" s="111"/>
      <c r="LA161" s="111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  <c r="MI161" s="111"/>
    </row>
    <row r="162" spans="1:347" x14ac:dyDescent="0.25">
      <c r="A162" s="102" t="s">
        <v>73</v>
      </c>
      <c r="B162" s="127" t="s">
        <v>12</v>
      </c>
      <c r="C162" s="102"/>
      <c r="D162" s="102"/>
      <c r="E162" s="102"/>
      <c r="F162" s="102"/>
      <c r="G162" s="102"/>
      <c r="H162" s="102"/>
      <c r="I162" s="102"/>
      <c r="J162" s="102"/>
      <c r="K162" s="103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3"/>
      <c r="AW162" s="114" t="str">
        <f t="shared" si="55"/>
        <v>x</v>
      </c>
      <c r="AX162" s="114" t="str">
        <f t="shared" si="56"/>
        <v>x</v>
      </c>
      <c r="AY162" s="111"/>
      <c r="AZ162" s="111"/>
      <c r="BA162" s="112" t="str">
        <f t="shared" si="57"/>
        <v>x</v>
      </c>
      <c r="BB162" s="112" t="str">
        <f t="shared" si="58"/>
        <v>x</v>
      </c>
      <c r="BC162" s="111"/>
      <c r="BD162" s="111"/>
      <c r="BE162" s="111"/>
      <c r="BF162" s="111"/>
      <c r="BG162" s="111"/>
      <c r="BH162" s="112" t="str">
        <f>HYPERLINK("http://www.refugeephrasebook.de/pdf/germany150920.pdf","x")</f>
        <v>x</v>
      </c>
      <c r="BI162" s="112" t="str">
        <f>HYPERLINK("https://www.advanced-online.eu/downloads/RefugeePhrasebookCards_German-Urdu.pdf","x")</f>
        <v>x</v>
      </c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2" t="str">
        <f t="shared" si="59"/>
        <v>x</v>
      </c>
      <c r="BT162" s="112"/>
      <c r="BU162" s="111"/>
      <c r="BV162" s="112" t="str">
        <f t="shared" si="60"/>
        <v>x</v>
      </c>
      <c r="BW162" s="112" t="str">
        <f>HYPERLINK("http://www.welcomegrooves.de/wp-content/uploads/2015/11/welcomegrooves_DE-URDU_V2.pdf","x")</f>
        <v>x</v>
      </c>
      <c r="BX162" s="112"/>
      <c r="BY162" s="112"/>
      <c r="BZ162" s="112" t="str">
        <f>HYPERLINK("http://fluechtlingshilfe-nettetal.de/ausbildung/video-sprachkurse-deutsch-fuer-fluechtlinge/video-sprachkurs-urdu-deutsch/","x")</f>
        <v>x</v>
      </c>
      <c r="CA162" s="112" t="str">
        <f t="shared" si="61"/>
        <v>x</v>
      </c>
      <c r="CB162" s="112" t="str">
        <f t="shared" si="62"/>
        <v>x</v>
      </c>
      <c r="CC162" s="112" t="str">
        <f t="shared" si="63"/>
        <v>x</v>
      </c>
      <c r="CD162" s="112"/>
      <c r="CE162" s="112"/>
      <c r="CF162" s="111"/>
      <c r="CG162" s="111"/>
      <c r="CH162" s="111"/>
      <c r="CI162" s="111"/>
      <c r="CJ162" s="111"/>
      <c r="CK162" s="112" t="str">
        <f t="shared" si="64"/>
        <v>x</v>
      </c>
      <c r="CL162" s="112"/>
      <c r="CM162" s="112"/>
      <c r="CN162" s="112"/>
      <c r="CO162" s="112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2"/>
      <c r="DA162" s="112"/>
      <c r="DB162" s="112"/>
      <c r="DC162" s="115"/>
      <c r="DD162" s="112"/>
      <c r="DE162" s="112"/>
      <c r="DF162" s="112" t="str">
        <f t="shared" si="65"/>
        <v>x</v>
      </c>
      <c r="DG162" s="115" t="str">
        <f t="shared" si="66"/>
        <v>x</v>
      </c>
      <c r="DH162" s="112" t="str">
        <f t="shared" si="67"/>
        <v>x</v>
      </c>
      <c r="DI162" s="112" t="str">
        <f t="shared" si="68"/>
        <v>x</v>
      </c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2" t="str">
        <f>HYPERLINK("http://www.kvs-sachsen.de/fileadmin/img/Mitglieder/Asylbewerber/Allg-Informationen/Anlage_1_Urdu_LEK.pdf","x")</f>
        <v>x</v>
      </c>
      <c r="EN162" s="111"/>
      <c r="EO162" s="111"/>
      <c r="EP162" s="117" t="str">
        <f t="shared" ref="EP162:EP167" si="74">HYPERLINK("http://www.medi-bild.de/pdf/anamnese/Welche_Sprache.pdf","x")</f>
        <v>x</v>
      </c>
      <c r="EQ162" s="118"/>
      <c r="ER162" s="112" t="str">
        <f>HYPERLINK("http://www.kvs-sachsen.de/fileadmin/img/Mitglieder/Asylbewerber/Allg-Informationen/Anlagen_2-1_2-2_Urdu_LEK.pdf","x")</f>
        <v>x</v>
      </c>
      <c r="ES162" s="111"/>
      <c r="ET162" s="111"/>
      <c r="EU162" s="111"/>
      <c r="EV162" s="111"/>
      <c r="EW162" s="112" t="str">
        <f t="shared" si="69"/>
        <v>x</v>
      </c>
      <c r="EX162" s="111"/>
      <c r="EY162" s="111"/>
      <c r="EZ162" s="111"/>
      <c r="FA162" s="111"/>
      <c r="FB162" s="111"/>
      <c r="FC162" s="111"/>
      <c r="FD162" s="112" t="str">
        <f t="shared" si="70"/>
        <v>x</v>
      </c>
      <c r="FE162" s="112" t="str">
        <f>HYPERLINK("http://sghanstedt.elbnetz.com/ueber-uns/","x")</f>
        <v>x</v>
      </c>
      <c r="FF162" s="111"/>
      <c r="FG162" s="112" t="str">
        <f>HYPERLINK("http://www.tipdoc.de/grafik/asyl/Gesundheitsheft_Asyl.pdf","x")</f>
        <v>x</v>
      </c>
      <c r="FH162" s="111"/>
      <c r="FI162" s="111"/>
      <c r="FJ162" s="112"/>
      <c r="FK162" s="112" t="str">
        <f>HYPERLINK("http://www.rki.de/DE/Content/Infekt/Impfen/Materialien/Downloads-Impfkalender/Impfkalender_Urdu.pdf?__blob=publicationFile","x")</f>
        <v>x</v>
      </c>
      <c r="FL162" s="111"/>
      <c r="FM162" s="111"/>
      <c r="FN162" s="112" t="str">
        <f>HYPERLINK("http://www.rki.de/DE/Content/Infekt/Impfen/Materialien/Glossar-Downloads/glossar-de-urdu.pdf?__blob=publicationFile","x")</f>
        <v>x</v>
      </c>
      <c r="FO162" s="112"/>
      <c r="FP162" s="112" t="str">
        <f>HYPERLINK("http://www.rki.de/DE/Content/Infekt/Impfen/Materialien/Downloads-MMR/MMR-Impfinfo-urdu.pdf?__blob=publicationFile","x")</f>
        <v>x</v>
      </c>
      <c r="FQ162" s="111"/>
      <c r="FR162" s="112" t="str">
        <f>HYPERLINK("http://www.rki.de/DE/Content/Infekt/Impfen/Materialien/Downloads_HepA/Aufklaerung_HAV-Impfung_Urdu.pdf?__blob=publicationFile","x")</f>
        <v>x</v>
      </c>
      <c r="FS162" s="112" t="str">
        <f>HYPERLINK("http://www.rki.de/DE/Content/Infekt/Impfen/Materialien/Downloads_Pneumokokken/Aufklaerung_Pneumo-Impfung_Urdu.pdf?__blob=publicationFile","x")</f>
        <v>x</v>
      </c>
      <c r="FT162" s="112" t="str">
        <f>HYPERLINK("http://www.rki.de/DE/Content/Infekt/Impfen/Materialien/Downloads-DTaPIPVHibHepB/DTaPIPVHibHepB-urdu.pdf?__blob=publicationFile","x")</f>
        <v>x</v>
      </c>
      <c r="FU162" s="112" t="str">
        <f>HYPERLINK("http://www.rki.de/DE/Content/Infekt/Impfen/Materialien/Downloads-Varizellen/Varizellen-Impfinfo-urdu.pdf;jsessionid=65B697F4EE7EDA8A1ED9E2C4CD6C74EC.2_cid363?__blob=publicationFile","x")</f>
        <v>x</v>
      </c>
      <c r="FV162" s="112" t="str">
        <f>HYPERLINK("http://www.rki.de/DE/Content/Infekt/Impfen/Materialien/Downloads-Tdap-IPV/Tdap-IPV-urdu.pdf?__blob=publicationFile","x")</f>
        <v>x</v>
      </c>
      <c r="FW162" s="112" t="str">
        <f>HYPERLINK("http://www.rki.de/DE/Content/Infekt/Impfen/Materialien/Downloads-Influenza_nasal/Influenza_nasal-urdu.pdf?__blob=publicationFile","x")</f>
        <v>x</v>
      </c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2" t="str">
        <f>HYPERLINK("http://www.rki.de/DE/Content/Infekt/Impfen/Materialien/Downloads-Influenza/Influenza-urdu.pdf?__blob=publicationFile","x")</f>
        <v>x</v>
      </c>
      <c r="GN162" s="111"/>
      <c r="GO162" s="111"/>
      <c r="GP162" s="112" t="str">
        <f>HYPERLINK("http://www.tipdoc.de/grafik/pdf/kopflaeuse/Kopflaeuse_URDU.pdf","x")</f>
        <v>x</v>
      </c>
      <c r="GQ162" s="112"/>
      <c r="GR162" s="112" t="str">
        <f>HYPERLINK("http://www.tipdoc.com/bus/pdf/kraetze/tipdoc_Scabies_URDU.pdf","x")</f>
        <v>x</v>
      </c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2" t="str">
        <f t="shared" si="71"/>
        <v>x</v>
      </c>
      <c r="HD162" s="111"/>
      <c r="HE162" s="111"/>
      <c r="HF162" s="111"/>
      <c r="HG162" s="111"/>
      <c r="HH162" s="111"/>
      <c r="HI162" s="111"/>
      <c r="HJ162" s="111"/>
      <c r="HK162" s="112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2" t="str">
        <f t="shared" si="72"/>
        <v>x</v>
      </c>
      <c r="HZ162" s="112" t="str">
        <f t="shared" si="73"/>
        <v>x</v>
      </c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2" t="str">
        <f>HYPERLINK("http://www.bamf.de/SharedDocs/Anlagen/DE/Publikationen/Flyer/flyer-erstorientierung-asylsuchende_urdu.pdf?__blob=publicationFile","x")</f>
        <v>x</v>
      </c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1"/>
      <c r="IZ162" s="111"/>
      <c r="JA162" s="111"/>
      <c r="JB162" s="111"/>
      <c r="JC162" s="111"/>
      <c r="JD162" s="111"/>
      <c r="JE162" s="111"/>
      <c r="JF162" s="111"/>
      <c r="JG162" s="111"/>
      <c r="JH162" s="111"/>
      <c r="JI162" s="111"/>
      <c r="JJ162" s="111"/>
      <c r="JK162" s="111"/>
      <c r="JL162" s="111"/>
      <c r="JM162" s="111"/>
      <c r="JN162" s="111"/>
      <c r="JO162" s="111"/>
      <c r="JP162" s="111"/>
      <c r="JQ162" s="111"/>
      <c r="JR162" s="111"/>
      <c r="JS162" s="111"/>
      <c r="JT162" s="111"/>
      <c r="JU162" s="111"/>
      <c r="JV162" s="111"/>
      <c r="JW162" s="111"/>
      <c r="JX162" s="111"/>
      <c r="JY162" s="112"/>
      <c r="JZ162" s="112"/>
      <c r="KA162" s="112"/>
      <c r="KB162" s="112" t="str">
        <f>HYPERLINK("http://www.refugeeguide.de/dl/RefugeeGuide_ur_104.pdf","x")</f>
        <v>x</v>
      </c>
      <c r="KC162" s="111"/>
      <c r="KD162" s="111"/>
      <c r="KE162" s="112" t="str">
        <f>HYPERLINK("http://www.frauenrechte.de/online/images/downloads/allgemein/TDF_Flyer_Women_Men.pdf","x")</f>
        <v>x</v>
      </c>
      <c r="KF162" s="111"/>
      <c r="KG162" s="112"/>
      <c r="KH162" s="112"/>
      <c r="KI162" s="112"/>
      <c r="KJ162" s="112"/>
      <c r="KK162" s="112"/>
      <c r="KL162" s="112"/>
      <c r="KM162" s="112"/>
      <c r="KN162" s="112"/>
      <c r="KO162" s="112"/>
      <c r="KP162" s="112"/>
      <c r="KQ162" s="112"/>
      <c r="KR162" s="112"/>
      <c r="KS162" s="112"/>
      <c r="KT162" s="112"/>
      <c r="KU162" s="112"/>
      <c r="KV162" s="112"/>
      <c r="KW162" s="112"/>
      <c r="KX162" s="112"/>
      <c r="KY162" s="112"/>
      <c r="KZ162" s="112"/>
      <c r="LA162" s="112"/>
      <c r="LB162" s="112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  <c r="MI162" s="111"/>
    </row>
    <row r="163" spans="1:347" x14ac:dyDescent="0.25">
      <c r="A163" s="102" t="s">
        <v>64</v>
      </c>
      <c r="B163" s="127" t="s">
        <v>1</v>
      </c>
      <c r="C163" s="102"/>
      <c r="D163" s="102"/>
      <c r="E163" s="102"/>
      <c r="F163" s="102"/>
      <c r="G163" s="102"/>
      <c r="H163" s="102"/>
      <c r="I163" s="102"/>
      <c r="J163" s="102"/>
      <c r="K163" s="103"/>
      <c r="L163" s="112" t="str">
        <f>HYPERLINK("http://sghanstedt.elbnetz.com/ueber-uns/","x")</f>
        <v>x</v>
      </c>
      <c r="M163" s="111"/>
      <c r="N163" s="112" t="str">
        <f>HYPERLINK("http://www.ag-fluechtlingshilfe-wetterau.de/uploads/infos/170.pdf","x")</f>
        <v>x</v>
      </c>
      <c r="O163" s="112" t="str">
        <f>HYPERLINK("http://www.ag-fluechtlingshilfe-wetterau.de/uploads/infos/220.pdf","x")</f>
        <v>x</v>
      </c>
      <c r="P163" s="112" t="str">
        <f>HYPERLINK("http://www.awb-ahrweiler.de/admin/data/ddownload/Abfall%20Sonderhinweise-Arabisch%202015.pdf","x")</f>
        <v>x</v>
      </c>
      <c r="Q163" s="112" t="str">
        <f>HYPERLINK("http://www.ag-fluechtlingshilfe-wetterau.de/uploads/infos/221.pdf","x")</f>
        <v>x</v>
      </c>
      <c r="R163" s="112" t="str">
        <f>HYPERLINK("http://www.konto.org/download/merkblatt-basiskonto-asylbewerber-arabisch.pdf","x")</f>
        <v>x</v>
      </c>
      <c r="S163" s="112"/>
      <c r="T163" s="112" t="str">
        <f>HYPERLINK("https://antworten.sparkasse.de/wp-content/uploads/2015/10/Arabisch.pdf","x")</f>
        <v>x</v>
      </c>
      <c r="U163" s="112" t="str">
        <f>HYPERLINK("http://www.ag-fluechtlingshilfe-wetterau.de/uploads/infos/191.pdf","x")</f>
        <v>x</v>
      </c>
      <c r="V163" s="112"/>
      <c r="W163" s="112"/>
      <c r="X16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6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63" s="112"/>
      <c r="AA163" s="112"/>
      <c r="AB163" s="112"/>
      <c r="AC163" s="112"/>
      <c r="AD163" s="112" t="str">
        <f>HYPERLINK("http://www.rundfunkbeitrag.de/e175/e1629/Informationsflyer_Buergerinnen_und_Buerger_arabisch.pdf","x")</f>
        <v>x</v>
      </c>
      <c r="AE163" s="112"/>
      <c r="AF163" s="112" t="str">
        <f>HYPERLINK("http://www.kub-berlin.org/formularprojekt/de/arabisch-antraege-und-anlagen/","x")</f>
        <v>x</v>
      </c>
      <c r="AG163" s="112" t="str">
        <f>HYPERLINK("http://asyl-in-moenchengladbach.de/wp-content/uploads/2015/11/100711-Flyer_arab.pdf","x")</f>
        <v>x</v>
      </c>
      <c r="AH163" s="111"/>
      <c r="AI163" s="112" t="str">
        <f>HYPERLINK("https://www.adac.de/sp/stiftung/_mmm/pdf/SGE_FOL_Verkehrssicherheit_Fl%C3%BCchtlinge_A3_01_16_Internet_250277.pdf","x")</f>
        <v>x</v>
      </c>
      <c r="AJ163" s="112" t="str">
        <f>HYPERLINK("http://www.stadt-koeln.de/mediaasset/content/العربية_kvb_kinderleicht_und_spielend_einfach__arabisch_.pdf","x")</f>
        <v>x</v>
      </c>
      <c r="AK163" s="112" t="str">
        <f>HYPERLINK("https://www.vrsinfo.de/fileadmin/Dateien/downloadcenter/Folder_MobilPassTicket_Refugees01012016.pdf","x")</f>
        <v>x</v>
      </c>
      <c r="AL163" s="112" t="str">
        <f>HYPERLINK("https://www.vrsinfo.de/fileadmin/Dateien/downloadcenter/Willkommen_im_VRS2016_Druck.pdf","x")</f>
        <v>x</v>
      </c>
      <c r="AM163" s="112"/>
      <c r="AN163" s="112" t="str">
        <f>HYPERLINK("https://www.deutschebahn.com/file/de/2191748/eYdgZpqGpp5sMJ2KMKtg2r8aE4Q/10123812/data/infos_fuer_fluechtlinge.pdf","x")</f>
        <v>x</v>
      </c>
      <c r="AO163" s="112"/>
      <c r="AP163" s="112"/>
      <c r="AQ163" s="112"/>
      <c r="AR163" s="112"/>
      <c r="AS163" s="112"/>
      <c r="AT163" s="112" t="str">
        <f>HYPERLINK("http://www.koelnerkarneval.de/fileadmin/content/images/news/Festkomitee_Flyer_DE_AR.pdf","x")</f>
        <v>x</v>
      </c>
      <c r="AU163" s="112"/>
      <c r="AV163" s="114" t="str">
        <f>HYPERLINK("http://www.studentenwerke.de/de/content/illustriertes-wohnheimw%C3%B6rterbuch-1","x")</f>
        <v>x</v>
      </c>
      <c r="AW163" s="114" t="str">
        <f t="shared" si="55"/>
        <v>x</v>
      </c>
      <c r="AX163" s="114" t="str">
        <f t="shared" si="56"/>
        <v>x</v>
      </c>
      <c r="AY163" s="112" t="str">
        <f>HYPERLINK("http://fi-lohmar-siegburg.de/data/documents/Findefix_arabisch-Bildwoerterbuch.pdf","x")</f>
        <v>x</v>
      </c>
      <c r="AZ163" s="111"/>
      <c r="BA163" s="112" t="str">
        <f t="shared" si="57"/>
        <v>x</v>
      </c>
      <c r="BB163" s="112" t="str">
        <f t="shared" si="58"/>
        <v>x</v>
      </c>
      <c r="BC163" s="112"/>
      <c r="BD163" s="112" t="str">
        <f>HYPERLINK("http://www.rehavista.de/?at=Mat_Boardmaker&amp;d=1&amp;dtype=mat&amp;id=1014","x")</f>
        <v>x</v>
      </c>
      <c r="BE163" s="112" t="str">
        <f>HYPERLINK("http://fi-lohmar-siegburg.de/data/documents/communicationboard-arabic-english.pdf","x")</f>
        <v>x</v>
      </c>
      <c r="BF163" s="112" t="str">
        <f>HYPERLINK("http://fi-lohmar-siegburg.de/data/documents/communicationboard-arabic-french.pdf","x")</f>
        <v>x</v>
      </c>
      <c r="BG163" s="111"/>
      <c r="BH163" s="112" t="str">
        <f>HYPERLINK("http://www.refugeephrasebook.de/pdf/germany150920.pdf","x")</f>
        <v>x</v>
      </c>
      <c r="BI163" s="112" t="str">
        <f>HYPERLINK("https://www.advanced-online.eu/downloads/RefugeePhrasebookCards_German-Arabic.pdf","x")</f>
        <v>x</v>
      </c>
      <c r="BJ163" s="112" t="str">
        <f>HYPERLINK("http://www.klett-sprachen.de/download/8638/W100255_Refugees_Welcome_Wortschatz.pdf","x")</f>
        <v>x</v>
      </c>
      <c r="BK163" s="112" t="str">
        <f>HYPERLINK("http://www.agf-trier.de/sites/default/files/bersetzungshilfe%20allgemein%20Arab..pdf","x")</f>
        <v>x</v>
      </c>
      <c r="BL163" s="112" t="str">
        <f>HYPERLINK("http://www.bundessprachenamt.de/deutsch/wir_ueber_uns/nachrichten/2015/20151103/Verständigungshilfe_Syrisch-Arabisch_07_12_2015.pdf","x")</f>
        <v>x</v>
      </c>
      <c r="BM163" s="112" t="str">
        <f>HYPERLINK("http://www.frnrw.de/images/Aus_den_Initiativen/Ehrenamtler/2015/Dictionary_x10_print-2.pdf","x")</f>
        <v>x</v>
      </c>
      <c r="BN163" s="112" t="str">
        <f>HYPERLINK("http://www.medbox.org/toolboxes/kleines-worterbuch-little-dictionary-deutsch-englisch-arabisch/preview","x")</f>
        <v>x</v>
      </c>
      <c r="BO163" s="111"/>
      <c r="BP163" s="111"/>
      <c r="BQ163" s="112" t="str">
        <f>HYPERLINK("https://www.friedensdorf.de/documents/Woerterbuch_Arabisch.pdf","x")</f>
        <v>x</v>
      </c>
      <c r="BR163" s="111"/>
      <c r="BS163" s="112" t="str">
        <f t="shared" si="59"/>
        <v>x</v>
      </c>
      <c r="BT163" s="112" t="str">
        <f>HYPERLINK("http://de.langenscheidt.com/doc/arabisch-deutsch-sprachfuehrer.pdf","x")</f>
        <v>x</v>
      </c>
      <c r="BU163" s="111"/>
      <c r="BV163" s="112" t="str">
        <f t="shared" si="60"/>
        <v>x</v>
      </c>
      <c r="BW163" s="112" t="str">
        <f>HYPERLINK("http://www.welcomegrooves.de/wp-content/uploads/2015/10/welcomegrooves_DE-ARABISCH.pdf","x")</f>
        <v>x</v>
      </c>
      <c r="BX163" s="112"/>
      <c r="BY163" s="112"/>
      <c r="BZ163" s="112" t="str">
        <f>HYPERLINK("http://fluechtlingshilfe-nettetal.de/ausbildung/video-sprachkurse-deutsch-fuer-fluechtlinge/video-sprachkurs-syrisch-deutsch/","x")</f>
        <v>x</v>
      </c>
      <c r="CA163" s="112" t="str">
        <f t="shared" si="61"/>
        <v>x</v>
      </c>
      <c r="CB163" s="112" t="str">
        <f t="shared" si="62"/>
        <v>x</v>
      </c>
      <c r="CC163" s="112" t="str">
        <f t="shared" si="63"/>
        <v>x</v>
      </c>
      <c r="CD163" s="112"/>
      <c r="CE163" s="112"/>
      <c r="CF163" s="112" t="str">
        <f>HYPERLINK("http://www.agf-trier.de/sites/default/files/bersetzungshilfe%20%20f%C3%BCr%20Frauen%20Arab..pdf","x")</f>
        <v>x</v>
      </c>
      <c r="CG163" s="112" t="str">
        <f>HYPERLINK("http://www.braunschweig.de/leben/frauen/hilfe/Ohne-Gewalt-leben.pdf","x")</f>
        <v>x</v>
      </c>
      <c r="CH163" s="112" t="str">
        <f>HYPERLINK("http://mifkjf.rlp.de/fileadmin/mifkjf/Frauen/Gewalt_gegen_Frauen/Downloads/Broschueren_Flyer/Flyer_Gewalt_arabisch_fuer_ANSICHT.pdf","x")</f>
        <v>x</v>
      </c>
      <c r="CI163" s="112"/>
      <c r="CJ163" s="112" t="str">
        <f>HYPERLINK("https://www.hilfetelefon.de/fileadmin/hilfetelefon_de/Materialien/weitere_werbemittel/Klappflyer_Vorder-_und_Rueckseite_opt2.pdf","x")</f>
        <v>x</v>
      </c>
      <c r="CK163" s="112" t="str">
        <f t="shared" si="64"/>
        <v>x</v>
      </c>
      <c r="CL163" s="112" t="str">
        <f>HYPERLINK("http://www.frauenberatungsstelle.de/pdf/Migrantinnen-beraten-Migrantinnen.pdf","x")</f>
        <v>x</v>
      </c>
      <c r="CM163" s="112"/>
      <c r="CN163" s="112"/>
      <c r="CO163" s="112"/>
      <c r="CP163" s="112" t="str">
        <f>HYPERLINK("http://www.schwanger-und-viele-fragen.de/ar/","x")</f>
        <v>x</v>
      </c>
      <c r="CQ163" s="112"/>
      <c r="CR16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63" s="112"/>
      <c r="CT163" s="112"/>
      <c r="CU163" s="112" t="str">
        <f>HYPERLINK("http://www.profamilia.de/fileadmin/publikationen/Erwachsene/mehrsprachig/verhuetung_arabisch.pdf","x")</f>
        <v>x</v>
      </c>
      <c r="CV163" s="112"/>
      <c r="CW163" s="112"/>
      <c r="CX163" s="112"/>
      <c r="CY163" s="112" t="str">
        <f>HYPERLINK("http://www.caritas-schwarzwald-alb-donau.de/68854.html","x")</f>
        <v>x</v>
      </c>
      <c r="CZ163" s="112"/>
      <c r="DA163" s="112" t="str">
        <f>HYPERLINK("http://sichere-orte-schaffen.de/wp-content/uploads/Minibrosch_Fluechtlinge_multilang.pdf","x")</f>
        <v>x</v>
      </c>
      <c r="DB163" s="112"/>
      <c r="DC163" s="115" t="str">
        <f>HYPERLINK("http://www.kindersicherheit.de/pdf/2012_Bilderbuch-Gift-Arabisch.pdf","x")</f>
        <v>x</v>
      </c>
      <c r="DD163" s="112"/>
      <c r="DE163" s="112"/>
      <c r="DF163" s="112" t="str">
        <f t="shared" si="65"/>
        <v>x</v>
      </c>
      <c r="DG163" s="115" t="str">
        <f t="shared" si="66"/>
        <v>x</v>
      </c>
      <c r="DH163" s="112" t="str">
        <f t="shared" si="67"/>
        <v>x</v>
      </c>
      <c r="DI163" s="112" t="str">
        <f t="shared" si="68"/>
        <v>x</v>
      </c>
      <c r="DJ163" s="112" t="str">
        <f>HYPERLINK("http://www.bibliomedia.ch/de/angebote/dokumente/Glossar_arabisch.pdf","x")</f>
        <v>x</v>
      </c>
      <c r="DK163" s="112"/>
      <c r="DL163" s="112" t="str">
        <f>HYPERLINK("http://www.carlsen.de/sites/default/files/Walter-ebook_arabisch_klein.pdf","x")</f>
        <v>x</v>
      </c>
      <c r="DM163" s="112"/>
      <c r="DN163" s="112"/>
      <c r="DO163" s="112" t="str">
        <f>HYPERLINK("http://www.wdrmaus.de/sachgeschichten/maus-international/","x")</f>
        <v>x</v>
      </c>
      <c r="DP163" s="111"/>
      <c r="DQ163" s="112" t="str">
        <f>HYPERLINK("http://tipdoc.de/bus/grafik/kinder-tip/SCHULTIP_give_didacta.pdf","x")</f>
        <v>x</v>
      </c>
      <c r="DR163" s="112" t="str">
        <f>HYPERLINK("https://broschueren.nordrheinwestfalendirekt.de/broschuerenservice/msw/ar-das-schulsystem-in-nordrhein-westfalen-einfach-und-schnell-erklaert/1901","x")</f>
        <v>x</v>
      </c>
      <c r="DS163" s="112" t="str">
        <f>HYPERLINK("http://bildung.koeln.de/materialbibliothek/download.php?idx=7479da9798519efb4e1944d46a76011b","x")</f>
        <v>x</v>
      </c>
      <c r="DT163" s="112" t="str">
        <f>HYPERLINK("http://bildung.koeln.de/materialbibliothek/download.php?idx=dd3a964c240308ea1c8e0d161e49e314","x")</f>
        <v>x</v>
      </c>
      <c r="DU163" s="112"/>
      <c r="DV163" s="112" t="str">
        <f>HYPERLINK("https://www.bmbf.de/pub/Kausa_Elternbroschuere_arabisch.pdf","x")</f>
        <v>x</v>
      </c>
      <c r="DW163" s="112"/>
      <c r="DX163" s="112" t="str">
        <f>HYPERLINK("http://www.wissenschaft.nrw.de/studium/informieren/informationen-fuer-fluechtlinge-die-in-nrw-studieren-moechten/","x")</f>
        <v>x</v>
      </c>
      <c r="DY163" s="112" t="str">
        <f>HYPERLINK("http://www.bamf.de/SharedDocs/Anlagen/DE/Publikationen/Flyer/AnerkennungBerufsabschluss/berufliche_anerkennung_akademische-heilberufe_ar.pdf?__blob=publicationFile","x")</f>
        <v>x</v>
      </c>
      <c r="DZ163" s="112" t="str">
        <f>HYPERLINK("http://www.bamf.de/SharedDocs/Anlagen/DE/Publikationen/Flyer/AnerkennungBerufsabschluss/anerkennung-berufsabschluss_ar.pdf?__blob=publicationFile","x")</f>
        <v>x</v>
      </c>
      <c r="EA163" s="112" t="str">
        <f>HYPERLINK("http://www.bamf.de/SharedDocs/Anlagen/DE/Publikationen/Flyer/AnerkennungBerufsabschluss/anerkennung-berufsabschluss_ausland_ar.pdf?__blob=publicationFile","x")</f>
        <v>x</v>
      </c>
      <c r="EB163" s="112" t="str">
        <f>HYPERLINK("http://www.bamf.de/SharedDocs/Anlagen/DE/Publikationen/Broschueren/willkommen-in-deutschland-info-blaue-karte-eu_ar.pdf?__blob=publicationFile","x")</f>
        <v>x</v>
      </c>
      <c r="EC163" s="112" t="str">
        <f>HYPERLINK("http://www.bamf.de/SharedDocs/Anlagen/DE/Publikationen/Flyer/Berufsbezsprachf-ESF-BAMF/berufsbezsprachf-esf-bamf_ar.pdf?__blob=publicationFile","x")</f>
        <v>x</v>
      </c>
      <c r="ED163" s="111"/>
      <c r="EE163" s="111"/>
      <c r="EF163" s="111"/>
      <c r="EG163" s="111"/>
      <c r="EH163" s="111"/>
      <c r="EI163" s="111"/>
      <c r="EJ163" s="112"/>
      <c r="EK163" s="112" t="str">
        <f>HYPERLINK("http://fluechtlingsrat-bw.de/files/Dateien/Dokumente/Materialbestellung/2014-12-flyer%20arbeitserlaubnis%20AR%20WEB_final.pdf","x")</f>
        <v>x</v>
      </c>
      <c r="EL163" s="112" t="str">
        <f>HYPERLINK("http://www.aponet.de/arabisch/20151019-fuer-den-notfall-wichtige-rufnummern-im-ueberblick.html","x")</f>
        <v>x</v>
      </c>
      <c r="EM163" s="112" t="str">
        <f>HYPERLINK("http://www.kvs-sachsen.de/fileadmin/img/Mitglieder/Asylbewerber/Allg-Informationen/Anlage_1_Arabisch_LEK.pdf","x")</f>
        <v>x</v>
      </c>
      <c r="EN163" s="112" t="str">
        <f>HYPERLINK("http://www.medizin-hilft-fluechtlingen.de/images/Dokumente/gSch/gSch_arab.pdf","x")</f>
        <v>x</v>
      </c>
      <c r="EO163" s="112" t="str">
        <f>HYPERLINK("http://www.aponet.de/arabisch/20151016-medizinische-leistungen-fuer-asylbewerber.html","x")</f>
        <v>x</v>
      </c>
      <c r="EP163" s="117" t="str">
        <f t="shared" si="74"/>
        <v>x</v>
      </c>
      <c r="EQ163" s="117" t="str">
        <f>HYPERLINK("http://www.armut-gesundheit.de/fileadmin/redakteur/dokumente/Anamnesebogen%20-%20Arabischnew.pdf","x")</f>
        <v>x</v>
      </c>
      <c r="ER163" s="112" t="str">
        <f>HYPERLINK("http://www.kvs-sachsen.de/fileadmin/img/Mitglieder/Asylbewerber/Allg-Informationen/Anlagen_2-1_2-2_Arabisch_LEK.pdf","x")</f>
        <v>x</v>
      </c>
      <c r="ES163" s="112"/>
      <c r="ET163" s="112" t="str">
        <f>HYPERLINK("http://www.pharmazeutische-zeitung.de/fileadmin/pdf/Fragebogen_PZ_43_2015.pdf","x")</f>
        <v>x</v>
      </c>
      <c r="EU163" s="112" t="str">
        <f>HYPERLINK("http://www.medizin-hilft-fluechtlingen.de/images/Dokumente/ein/ein_arab.pdf","x")</f>
        <v>x</v>
      </c>
      <c r="EV163" s="112" t="str">
        <f>HYPERLINK("http://www.adler-apotheke-hh.de/fileadmin/user_upload/PDF-Dateien/Dosierzettel_mehrsprachig_AUF_0_.pdf","x")</f>
        <v>x</v>
      </c>
      <c r="EW163" s="112" t="str">
        <f t="shared" si="69"/>
        <v>x</v>
      </c>
      <c r="EX163" s="112" t="str">
        <f>HYPERLINK("http://www.rki.de/DE/Content/Infekt/IfSG/Belehrungsbogen/belehrungsbogen_eltern_arabisch.pdf?__blob=publicationFile","x")</f>
        <v>x</v>
      </c>
      <c r="EY163" s="112" t="str">
        <f>HYPERLINK("http://www.bzga.de/infomaterialien/?sid=236","x")</f>
        <v>x</v>
      </c>
      <c r="EZ163" s="112" t="str">
        <f>HYPERLINK("https://www.mh-hannover.de/fileadmin/mhh/bilder/aktuelles_presse/presseinformationen_news/150921_Pilz_Vergif_Arab_3.pdf","x")</f>
        <v>x</v>
      </c>
      <c r="FA163" s="112"/>
      <c r="FB163" s="112" t="str">
        <f>HYPERLINK("http://static.apotheken-umschau.de/media/gp/article_506373/bildwoerterbuch.pdf","x")</f>
        <v>x</v>
      </c>
      <c r="FC163" s="111"/>
      <c r="FD163" s="112" t="str">
        <f t="shared" si="70"/>
        <v>x</v>
      </c>
      <c r="FE163" s="112" t="str">
        <f>HYPERLINK("http://sghanstedt.elbnetz.com/ueber-uns/","x")</f>
        <v>x</v>
      </c>
      <c r="FF163" s="112" t="str">
        <f>HYPERLINK("http://www.fuhlenhagen.com/pdf_dateien/uebertzungshilfe_aerzte_mehrsprachig.pdf","x")</f>
        <v>x</v>
      </c>
      <c r="FG163" s="112" t="str">
        <f>HYPERLINK("http://www.tipdoc.de/grafik/asyl/Gesundheitsheft_Asyl.pdf","x")</f>
        <v>x</v>
      </c>
      <c r="FH163" s="111"/>
      <c r="FI163" s="111"/>
      <c r="FJ163" s="112" t="str">
        <f>HYPERLINK("http://www.bundesgesundheitsministerium.de/fileadmin/dateien/Publikationen/Gesundheit/Broschueren/Ratgeber_Asylsuchende/Ratgeber_Asylsuchende_arab.PDF","x")</f>
        <v>x</v>
      </c>
      <c r="FK163" s="112" t="str">
        <f>HYPERLINK("http://www.rki.de/DE/Content/Infekt/Impfen/Materialien/Downloads-Impfkalender/Impfkalender_Arabisch.pdf?__blob=publicationFile","x")</f>
        <v>x</v>
      </c>
      <c r="FL163" s="112" t="str">
        <f>HYPERLINK("http://www.ethno-medizinisches-zentrum.de/images/PDF-Files/impfwegweiser_arabbisch_2013_online.pdf","x")</f>
        <v>x</v>
      </c>
      <c r="FM163" s="112"/>
      <c r="FN163" s="112" t="str">
        <f>HYPERLINK("http://www.rki.de/DE/Content/Infekt/Impfen/Materialien/Glossar-Downloads/glossar-de-arabisch.pdf?__blob=publicationFile","x")</f>
        <v>x</v>
      </c>
      <c r="FO163" s="112"/>
      <c r="FP163" s="112" t="str">
        <f>HYPERLINK("http://www.rki.de/DE/Content/Infekt/Impfen/Materialien/Downloads-MMR/MMR-Impfinfo-arabisch.pdf?__blob=publicationFile","x")</f>
        <v>x</v>
      </c>
      <c r="FQ163" s="112" t="str">
        <f>HYPERLINK("http://www.rki.de/DE/Content/InfAZ/P/Polio/Ausbruch_Syrien/Informationsblatt_Polio_Arabisch.pdf?__blob=publicationFile","x")</f>
        <v>x</v>
      </c>
      <c r="FR163" s="112" t="str">
        <f>HYPERLINK("http://www.rki.de/DE/Content/Infekt/Impfen/Materialien/Downloads_HepA/Aufklaerung_HAV-Impfung_arabisch.pdf?__blob=publicationFile","x")</f>
        <v>x</v>
      </c>
      <c r="FS163" s="112" t="str">
        <f>HYPERLINK("http://www.rki.de/DE/Content/Infekt/Impfen/Materialien/Downloads_Pneumokokken/Aufklaerung_Pneumo-Impfung_Arabisch.pdf?__blob=publicationFile","x")</f>
        <v>x</v>
      </c>
      <c r="FT163" s="112" t="str">
        <f>HYPERLINK("http://www.rki.de/DE/Content/Infekt/Impfen/Materialien/Downloads-DTaPIPVHibHepB/DTaPIPVHibHepB_arabisch.pdf?__blob=publicationFile","x")</f>
        <v>x</v>
      </c>
      <c r="FU163" s="112" t="str">
        <f>HYPERLINK("http://www.rki.de/DE/Content/Infekt/Impfen/Materialien/Downloads-Varizellen/Varizellen-Impfinfo-arabisch.pdf;jsessionid=65B697F4EE7EDA8A1ED9E2C4CD6C74EC.2_cid363?__blob=publicationFile","x")</f>
        <v>x</v>
      </c>
      <c r="FV163" s="112" t="str">
        <f>HYPERLINK("http://www.rki.de/DE/Content/Infekt/Impfen/Materialien/Downloads-Tdap-IPV/Tdap-IPV-arabisch.pdf?__blob=publicationFile","x")</f>
        <v>x</v>
      </c>
      <c r="FW163" s="112" t="str">
        <f>HYPERLINK("http://www.rki.de/DE/Content/Infekt/Impfen/Materialien/Downloads-Influenza_nasal/Influenza_nasal-arabisch.pdf?__blob=publicationFile","x")</f>
        <v>x</v>
      </c>
      <c r="FX163" s="112" t="str">
        <f>HYPERLINK("http://www.medical-tribune.de/fileadmin/PDF/Arthrose_arabisch.pdf","x")</f>
        <v>x</v>
      </c>
      <c r="FY163" s="112" t="str">
        <f>HYPERLINK("http://www.medical-tribune.de/fileadmin/PDF/Asthma_arabisch.pdf","x")</f>
        <v>x</v>
      </c>
      <c r="FZ163" s="112" t="str">
        <f>HYPERLINK("http://www.medical-tribune.de/fileadmin/PDF/Bluthochdruck_arabisch.pdf","x")</f>
        <v>x</v>
      </c>
      <c r="GA163" s="112"/>
      <c r="GB163" s="112" t="str">
        <f>HYPERLINK("http://www.medical-tribune.de/fileadmin/PDF/COPD_arabisch.pdf","x")</f>
        <v>x</v>
      </c>
      <c r="GC163" s="112"/>
      <c r="GD163" s="112" t="str">
        <f>HYPERLINK("http://www.ethno-medizinisches-zentrum.de/images/PDF-Files/lf_diabete_arab.pdf","x")</f>
        <v>x</v>
      </c>
      <c r="GE163" s="112"/>
      <c r="GF163" s="112"/>
      <c r="GG163" s="112"/>
      <c r="GH163" s="112"/>
      <c r="GI163" s="112" t="str">
        <f>HYPERLINK("http://www.tipdoc.de/bus/pdf/hepatitis/Hep_B_Webseite.pdf","x")</f>
        <v>x</v>
      </c>
      <c r="GJ163" s="112" t="str">
        <f>HYPERLINK("http://www.tipdoc.de/bus/pdf/hepatitis/Hep_C_Webseite.pdf","x")</f>
        <v>x</v>
      </c>
      <c r="GK163" s="111"/>
      <c r="GL163" s="111"/>
      <c r="GM163" s="112" t="str">
        <f>HYPERLINK("http://www.rki.de/DE/Content/Infekt/Impfen/Materialien/Downloads-Influenza/Influenza-arabisch.pdf?__blob=publicationFile","x")</f>
        <v>x</v>
      </c>
      <c r="GN163" s="112"/>
      <c r="GO163" s="112" t="str">
        <f>HYPERLINK("http://www.aponet.de/arabisch/20151111-so-unterscheiden-sich-grippe-und-erkaeltung.html","x")</f>
        <v>x</v>
      </c>
      <c r="GP163" s="112" t="str">
        <f>HYPERLINK("http://www.tipdoc.de/grafik/pdf/kopflaeuse/Kopflaeuse_ARAB.pdf","x")</f>
        <v>x</v>
      </c>
      <c r="GQ163" s="112"/>
      <c r="GR163" s="112" t="str">
        <f>HYPERLINK("http://www.tipdoc.com/bus/pdf/kraetze/tipdoc_Scabies_ARAB.pdf","x")</f>
        <v>x</v>
      </c>
      <c r="GS163" s="112" t="str">
        <f>HYPERLINK("http://www.tipdoc.com/bus/pdf/MagenDarmHaende/MagenDarmHaende_Arab.pdf","x")</f>
        <v>x</v>
      </c>
      <c r="GT163" s="112"/>
      <c r="GU163" s="112" t="str">
        <f>HYPERLINK("http://www.medical-tribune.de/fileadmin/PDF/Rueckenschmerzen_arabisch.pdf","x")</f>
        <v>x</v>
      </c>
      <c r="GV163" s="112"/>
      <c r="GW163" s="112"/>
      <c r="GX163" s="112" t="str">
        <f>HYPERLINK("http://www.medical-tribune.de/fileadmin/PDF/Schwindel_arabisch.pdf","x")</f>
        <v>x</v>
      </c>
      <c r="GY163" s="112"/>
      <c r="GZ163" s="112"/>
      <c r="HA163" s="112"/>
      <c r="HB163" s="112"/>
      <c r="HC163" s="112" t="str">
        <f t="shared" si="71"/>
        <v>x</v>
      </c>
      <c r="HD163" s="112" t="str">
        <f>HYPERLINK("https://www.zahnaerzte-wl.de/images/_PDF-suche/KZV_ZÄK/ENDSTAND_Ankreuzbogen_Ich_verstehe.pdf","x")</f>
        <v>x</v>
      </c>
      <c r="HE163" s="112" t="str">
        <f>HYPERLINK("https://www.zahnaerzte-wl.de/images/_PDF-suche/KZV_ZÄK/Anschreiben_Patienten_arabisch.pdf","x")</f>
        <v>x</v>
      </c>
      <c r="HF163" s="112" t="str">
        <f>HYPERLINK("https://www.zahnaerzte-wl.de/images/_PDF-suche/KZV_ZÄK/Fragebogen_arabisch.pdf","x")</f>
        <v>x</v>
      </c>
      <c r="HG163" s="112" t="str">
        <f>HYPERLINK("https://www.zahnaerzte-wl.de/images/_PDF-suche/KZV_ZÄK/Patientenerhebungsbogen_arabisch.pdf","x")</f>
        <v>x</v>
      </c>
      <c r="HH163" s="112"/>
      <c r="HI163" s="112"/>
      <c r="HJ163" s="112" t="str">
        <f>HYPERLINK("http://www.ibbc-berlin.de/media/Bro_de-arab.pdf","x")</f>
        <v>x</v>
      </c>
      <c r="HK163" s="112"/>
      <c r="HL163" s="112" t="str">
        <f>HYPERLINK("http://www.ethno-medizinisches-zentrum.de/images/PDF-Files/lf_depression__arab.pdf","x")</f>
        <v>x</v>
      </c>
      <c r="HM163" s="112"/>
      <c r="HN163" s="112"/>
      <c r="HO163" s="112"/>
      <c r="HP163" s="112"/>
      <c r="HQ163" s="112"/>
      <c r="HR163" s="112"/>
      <c r="HS163" s="112"/>
      <c r="HT163" s="112"/>
      <c r="HU163" s="112"/>
      <c r="HV163" s="112"/>
      <c r="HW163" s="112"/>
      <c r="HX163" s="112" t="str">
        <f>HYPERLINK("http://www.bkk-psychisch-gesund.de/fileadmin/user_upload/Dokumente/Versicherte/Broschueren/Wegweiser_Psychotherapie_arabisch.pdf","x")</f>
        <v>x</v>
      </c>
      <c r="HY163" s="112" t="str">
        <f t="shared" si="72"/>
        <v>x</v>
      </c>
      <c r="HZ163" s="112" t="str">
        <f t="shared" si="73"/>
        <v>x</v>
      </c>
      <c r="IA163" s="112"/>
      <c r="IB163" s="112"/>
      <c r="IC163" s="112"/>
      <c r="ID163" s="112" t="str">
        <f>HYPERLINK("http://www.susannestein.de/VIA-online/trauma-bilderbuch-arabisch.pdf","x")</f>
        <v>x</v>
      </c>
      <c r="IE163" s="112"/>
      <c r="IF163" s="112"/>
      <c r="IG163" s="112"/>
      <c r="IH163" s="111"/>
      <c r="II163" s="112"/>
      <c r="IJ163" s="112"/>
      <c r="IK163" s="112" t="str">
        <f>HYPERLINK("http://www.bamf.de/SharedDocs/Anlagen/DE/Publikationen/Flyer/Lassen-Sie-Sich-Beraten/lassen-sie-sich-beraten_ar.pdf?__blob=publicationFile","x")</f>
        <v>x</v>
      </c>
      <c r="IL163" s="112" t="str">
        <f>HYPERLINK("http://www.bamf.de/SharedDocs/Anlagen/DE/Publikationen/Flyer/flyer-erstorientierung-asylsuchende_arabisch.pdf?__blob=publicationFile","x")</f>
        <v>x</v>
      </c>
      <c r="IM163" s="111"/>
      <c r="IN163" s="112" t="str">
        <f>HYPERLINK("https://www.bamf.de/SharedDocs/Anlagen/DE/Publikationen/Broschueren/willkommen-in-deutschland_ar.pdf?__blob=publicationFile","x")</f>
        <v>x</v>
      </c>
      <c r="IO163" s="112"/>
      <c r="IP163" s="111"/>
      <c r="IQ163" s="112" t="str">
        <f>HYPERLINK("http://www.bamf.de/SharedDocs/Anlagen/DE/Publikationen/Flyer/Lernen-Sie-Deutsch/lernen-sie-deutsch_ar.pdf?__blob=publicationFile","x")</f>
        <v>x</v>
      </c>
      <c r="IR163" s="112" t="str">
        <f>HYPERLINK("http://www.asyl.net/fileadmin/user_upload/redaktion/Dokumente/Arbeitshilfen/150910_Wie_l%C3%A4uft_ein_Asylverfahren_ab_%C3%9Cberblickstext_Arabisch.pdf","x")</f>
        <v>x</v>
      </c>
      <c r="IS163" s="111"/>
      <c r="IT163" s="111"/>
      <c r="IU163" s="111"/>
      <c r="IV163" s="112" t="str">
        <f>HYPERLINK("http://www.asyl.net/fileadmin/user_upload/infoblatt_anhoerung/Infoblatt_2015_ar_fin.pdf","x")</f>
        <v>x</v>
      </c>
      <c r="IW163" s="112" t="str">
        <f>HYPERLINK("http://efi-landsberg.de/asyl/wp-content/uploads/2014/04/Merkblatt-Asylbewerber-Fluechtlinge.pdf","x")</f>
        <v>x</v>
      </c>
      <c r="IX163" s="112"/>
      <c r="IY163" s="112" t="str">
        <f>HYPERLINK("http://www.bamf.de/SharedDocs/Anlagen/DE/Publikationen/Broschueren/broschuere-eat-a4-ar-arabisch.pdf?__blob=publicationFile","x")</f>
        <v>x</v>
      </c>
      <c r="IZ163" s="111"/>
      <c r="JA163" s="112" t="str">
        <f>HYPERLINK("http://fluechtlingsrat-bw.de/informationen-fuer-fluechtlinge.html","x")</f>
        <v>x</v>
      </c>
      <c r="JB163" s="111"/>
      <c r="JC163" s="112"/>
      <c r="JD163" s="111"/>
      <c r="JE163" s="112"/>
      <c r="JF163" s="112"/>
      <c r="JG163" s="112" t="str">
        <f>HYPERLINK("http://www.bamf.de/SharedDocs/Anlagen/DE/Publikationen/Flyer/Ehegattennachzug/ehegattennachzug-ar.pdf?__blob=publicationFile","x")</f>
        <v>x</v>
      </c>
      <c r="JH163" s="112" t="str">
        <f>HYPERLINK("https://familyreunion-syria.diplo.de/webportal/index.html#start","x")</f>
        <v>x</v>
      </c>
      <c r="JI163" s="111"/>
      <c r="JJ163" s="112"/>
      <c r="JK163" s="112" t="str">
        <f>HYPERLINK("https://www.arbeitsagentur.de/web/wcm/idc/groups/public/documents/webdatei/mdaw/mjgz/~edisp/l6019022dstbai784629.pdf?_ba.sid=L6019022DSTBAI788745","x")</f>
        <v>x</v>
      </c>
      <c r="JL163" s="112" t="str">
        <f>HYPERLINK("http://www.kub-berlin.org/formularprojekt/de/arabisch-antraege-und-anlagen/","x")</f>
        <v>x</v>
      </c>
      <c r="JM163" s="112" t="str">
        <f>HYPERLINK("https://www.arbeitsagentur.de/web/content/DE/Formulare/Detail/index.htm?dfContentId=L6019022DSTBAI485740","x")</f>
        <v>x</v>
      </c>
      <c r="JN163" s="112"/>
      <c r="JO163" s="112"/>
      <c r="JP163" s="112"/>
      <c r="JQ163" s="112"/>
      <c r="JR163" s="112" t="str">
        <f>HYPERLINK("http://www.ibla-germany.de/merkblaetter.php","x")</f>
        <v>x</v>
      </c>
      <c r="JS163" s="112"/>
      <c r="JT163" s="112" t="str">
        <f>HYPERLINK("http://www.b-umf.de/images/willkommen/willkommensbroschurearabisch-web.pdf","x")</f>
        <v>x</v>
      </c>
      <c r="JU163" s="111"/>
      <c r="JV163" s="111"/>
      <c r="JW163" s="112"/>
      <c r="JX163" s="112"/>
      <c r="JY163" s="112"/>
      <c r="JZ163" s="112"/>
      <c r="KA163" s="112" t="str">
        <f>HYPERLINK("http://www.kas.de/wf/de/33.43117/","x")</f>
        <v>x</v>
      </c>
      <c r="KB163" s="112" t="str">
        <f>HYPERLINK("http://www.refugeeguide.de/dl/RefugeeGuide_ar_930.pdf","x")</f>
        <v>x</v>
      </c>
      <c r="KC163" s="112" t="str">
        <f>HYPERLINK("http://www.bpb.de/shop/buecher/grundgesetz/215136/grundgesetz-auf-arabisch","x")</f>
        <v>x</v>
      </c>
      <c r="KD163" s="112" t="str">
        <f>HYPERLINK("http://www.wedel.de/fileadmin/user_upload/media/pdf/Rathaus_und_Politik/20160118_PM_Broschuere.pdf","x")</f>
        <v>x</v>
      </c>
      <c r="KE163" s="112" t="str">
        <f>HYPERLINK("http://www.frauenrechte.de/online/images/downloads/allgemein/TDF_Flyer_Women_Men.pdf","x")</f>
        <v>x</v>
      </c>
      <c r="KF163" s="112" t="str">
        <f>HYPERLINK("http://sab.landtag.sachsen.de/dokumente/landtagskurier/Grundwerte-A5-international_web_08012016.pdf","x")</f>
        <v>x</v>
      </c>
      <c r="KG163" s="112"/>
      <c r="KH163" s="112"/>
      <c r="KI163" s="112"/>
      <c r="KJ163" s="112"/>
      <c r="KK163" s="112"/>
      <c r="KL163" s="112"/>
      <c r="KM163" s="112"/>
      <c r="KN163" s="112"/>
      <c r="KO163" s="112"/>
      <c r="KP163" s="112"/>
      <c r="KQ163" s="112"/>
      <c r="KR163" s="112"/>
      <c r="KS163" s="112"/>
      <c r="KT163" s="112"/>
      <c r="KU163" s="112"/>
      <c r="KV163" s="112"/>
      <c r="KW163" s="112"/>
      <c r="KX163" s="112"/>
      <c r="KY163" s="112"/>
      <c r="KZ163" s="112"/>
      <c r="LA163" s="112"/>
      <c r="LB163" s="112"/>
      <c r="LC163" s="111"/>
      <c r="LD163" s="111"/>
      <c r="LE163" s="111"/>
      <c r="LF163" s="111"/>
      <c r="LG163" s="112"/>
      <c r="LH163" s="111"/>
      <c r="LI163" s="111"/>
      <c r="LJ163" s="111"/>
      <c r="LK163" s="111"/>
      <c r="LL163" s="111"/>
      <c r="LM163" s="111"/>
      <c r="LN163" s="111"/>
      <c r="LO163" s="111"/>
      <c r="LP163" s="111"/>
      <c r="LQ163" s="111"/>
      <c r="LR163" s="111"/>
      <c r="LS163" s="111"/>
      <c r="LT163" s="112"/>
      <c r="LU163" s="111"/>
      <c r="LV163" s="111"/>
      <c r="LW163" s="111"/>
      <c r="LX163" s="111"/>
      <c r="LY163" s="111"/>
      <c r="LZ163" s="112" t="str">
        <f>HYPERLINK("http://www.bjf.info/projekte/cinemanya","x")</f>
        <v>x</v>
      </c>
      <c r="MA163" s="111"/>
      <c r="MB163" s="111"/>
      <c r="MC163" s="111"/>
      <c r="MD163" s="112" t="str">
        <f>HYPERLINK("http://www.rki.de/DE/Content/Infekt/IfSG/Belehrungsbogen/belehrungsbogen_lebensmittel_arabisch.pdf?__blob=publicationFile","x")</f>
        <v>x</v>
      </c>
      <c r="ME163" s="111"/>
      <c r="MF163" s="112" t="str">
        <f>HYPERLINK("http://www.gdv.de/wp-content/uploads/2016/01/Information_Brandschutz_Fluechtlingsheim_-Sicherheit_mehrsprachig.pdf","x")</f>
        <v>x</v>
      </c>
      <c r="MG163" s="112" t="str">
        <f>HYPERLINK("http://www.gdv.de/wp-content/uploads/2016/01/Information_Verhalten-im-Brandfall_mehrsprachig.pdf","x")</f>
        <v>x</v>
      </c>
      <c r="MH163" s="112" t="str">
        <f>HYPERLINK("http://www.aha-region.de/fileadmin/Download/pdf/aha_Plakat_Muelltrennung_ar.pdf","x")</f>
        <v>x</v>
      </c>
      <c r="MI163" s="112" t="str">
        <f>HYPERLINK("http://www.kindersicherheit.de/pdf/2012_poster_achtunggiftig_8sprachig.pdf","x")</f>
        <v>x</v>
      </c>
    </row>
    <row r="164" spans="1:347" x14ac:dyDescent="0.25">
      <c r="A164" s="102" t="s">
        <v>142</v>
      </c>
      <c r="B164" s="127" t="s">
        <v>135</v>
      </c>
      <c r="C164" s="102"/>
      <c r="D164" s="102"/>
      <c r="E164" s="102"/>
      <c r="F164" s="102"/>
      <c r="G164" s="102"/>
      <c r="H164" s="102"/>
      <c r="I164" s="102"/>
      <c r="J164" s="102"/>
      <c r="K164" s="103"/>
      <c r="L164" s="111"/>
      <c r="M164" s="111"/>
      <c r="N164" s="112" t="str">
        <f>HYPERLINK("http://www.ag-fluechtlingshilfe-wetterau.de/uploads/infos/170.pdf","x")</f>
        <v>x</v>
      </c>
      <c r="O164" s="112"/>
      <c r="P164" s="112"/>
      <c r="Q164" s="112"/>
      <c r="R164" s="112"/>
      <c r="S164" s="112"/>
      <c r="T164" s="112"/>
      <c r="U164" s="112"/>
      <c r="V164" s="112"/>
      <c r="W164" s="111"/>
      <c r="X164" s="112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2"/>
      <c r="AP164" s="112"/>
      <c r="AQ164" s="112"/>
      <c r="AR164" s="112"/>
      <c r="AS164" s="112"/>
      <c r="AT164" s="112"/>
      <c r="AU164" s="112"/>
      <c r="AV164" s="113"/>
      <c r="AW164" s="114" t="str">
        <f t="shared" si="55"/>
        <v>x</v>
      </c>
      <c r="AX164" s="114" t="str">
        <f t="shared" si="56"/>
        <v>x</v>
      </c>
      <c r="AY164" s="111"/>
      <c r="AZ164" s="111"/>
      <c r="BA164" s="112" t="str">
        <f t="shared" si="57"/>
        <v>x</v>
      </c>
      <c r="BB164" s="112" t="str">
        <f t="shared" si="58"/>
        <v>x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2" t="str">
        <f t="shared" si="59"/>
        <v>x</v>
      </c>
      <c r="BT164" s="112"/>
      <c r="BU164" s="111"/>
      <c r="BV164" s="112" t="str">
        <f t="shared" si="60"/>
        <v>x</v>
      </c>
      <c r="BW164" s="112"/>
      <c r="BX164" s="112"/>
      <c r="BY164" s="112"/>
      <c r="BZ164" s="112"/>
      <c r="CA164" s="112" t="str">
        <f t="shared" si="61"/>
        <v>x</v>
      </c>
      <c r="CB164" s="112" t="str">
        <f t="shared" si="62"/>
        <v>x</v>
      </c>
      <c r="CC164" s="112" t="str">
        <f t="shared" si="63"/>
        <v>x</v>
      </c>
      <c r="CD164" s="112"/>
      <c r="CE164" s="112"/>
      <c r="CF164" s="111"/>
      <c r="CG164" s="111"/>
      <c r="CH164" s="111"/>
      <c r="CI164" s="111"/>
      <c r="CJ164" s="112" t="str">
        <f>HYPERLINK("https://www.hilfetelefon.de/fileadmin/hilfetelefon_de/Materialien/weitere_werbemittel/Klappflyer_Vorder-_und_Rueckseite_opt2.pdf","x")</f>
        <v>x</v>
      </c>
      <c r="CK164" s="112" t="str">
        <f t="shared" si="64"/>
        <v>x</v>
      </c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5"/>
      <c r="DD164" s="112"/>
      <c r="DE164" s="112"/>
      <c r="DF164" s="112" t="str">
        <f t="shared" si="65"/>
        <v>x</v>
      </c>
      <c r="DG164" s="115" t="str">
        <f t="shared" si="66"/>
        <v>x</v>
      </c>
      <c r="DH164" s="112" t="str">
        <f t="shared" si="67"/>
        <v>x</v>
      </c>
      <c r="DI164" s="112" t="str">
        <f t="shared" si="68"/>
        <v>x</v>
      </c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2"/>
      <c r="DV164" s="112" t="str">
        <f>HYPERLINK("https://www.bmbf.de/pub/KAUSA_Elternratgeber_deutsch_chinesisch_bf.pdf","x")</f>
        <v>x</v>
      </c>
      <c r="DW164" s="111"/>
      <c r="DX164" s="111"/>
      <c r="DY164" s="111"/>
      <c r="DZ164" s="111"/>
      <c r="EA164" s="111"/>
      <c r="EB164" s="112"/>
      <c r="EC164" s="111"/>
      <c r="ED164" s="111"/>
      <c r="EE164" s="111"/>
      <c r="EF164" s="111"/>
      <c r="EG164" s="111"/>
      <c r="EH164" s="111"/>
      <c r="EI164" s="111"/>
      <c r="EJ164" s="112"/>
      <c r="EK164" s="112"/>
      <c r="EL164" s="111"/>
      <c r="EM164" s="112" t="str">
        <f>HYPERLINK("http://www.kvs-sachsen.de/fileadmin/img/Mitglieder/Asylbewerber/Allg-Informationen/Anlage_1_Chinesisch_LEK.pdf","x")</f>
        <v>x</v>
      </c>
      <c r="EN164" s="111"/>
      <c r="EO164" s="111"/>
      <c r="EP164" s="117" t="str">
        <f t="shared" si="74"/>
        <v>x</v>
      </c>
      <c r="EQ164" s="117" t="str">
        <f>HYPERLINK("http://www.medknowledge.de/migration/tipdoc/anamnesebogen/tipdoc_Anamnese_chin.pdf","x")</f>
        <v>x</v>
      </c>
      <c r="ER164" s="112" t="str">
        <f>HYPERLINK("http://www.kvs-sachsen.de/fileadmin/img/Mitglieder/Asylbewerber/Allg-Informationen/Anlagen_2-1_2-2_Chinesisch_LEK.pdf","x")</f>
        <v>x</v>
      </c>
      <c r="ES164" s="112"/>
      <c r="ET164" s="112"/>
      <c r="EU164" s="111"/>
      <c r="EV164" s="111"/>
      <c r="EW164" s="112" t="str">
        <f t="shared" si="69"/>
        <v>x</v>
      </c>
      <c r="EX164" s="111"/>
      <c r="EY164" s="111"/>
      <c r="EZ164" s="111"/>
      <c r="FA164" s="111"/>
      <c r="FB164" s="111"/>
      <c r="FC164" s="111"/>
      <c r="FD164" s="112" t="str">
        <f t="shared" si="70"/>
        <v>x</v>
      </c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2" t="str">
        <f t="shared" si="71"/>
        <v>x</v>
      </c>
      <c r="HD164" s="111"/>
      <c r="HE164" s="111"/>
      <c r="HF164" s="111"/>
      <c r="HG164" s="111"/>
      <c r="HH164" s="111"/>
      <c r="HI164" s="111"/>
      <c r="HJ164" s="111"/>
      <c r="HK164" s="112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2" t="str">
        <f t="shared" si="72"/>
        <v>x</v>
      </c>
      <c r="HZ164" s="112" t="str">
        <f t="shared" si="73"/>
        <v>x</v>
      </c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2"/>
      <c r="IL164" s="111"/>
      <c r="IM164" s="111"/>
      <c r="IN164" s="111"/>
      <c r="IO164" s="111"/>
      <c r="IP164" s="111"/>
      <c r="IQ164" s="112"/>
      <c r="IR164" s="112"/>
      <c r="IS164" s="111"/>
      <c r="IT164" s="111"/>
      <c r="IU164" s="111"/>
      <c r="IV164" s="112" t="str">
        <f>HYPERLINK("http://www.asyl.net/fileadmin/user_upload/infoblatt_anhoerung/Chin_final.pdf","x")</f>
        <v>x</v>
      </c>
      <c r="IW164" s="112"/>
      <c r="IX164" s="112"/>
      <c r="IY164" s="112" t="str">
        <f>HYPERLINK("http://www.bamf.de/SharedDocs/Anlagen/DE/Publikationen/Broschueren/broschuere-eat-a4-zh-chinesisch.pdf?__blob=publicationFile","x")</f>
        <v>x</v>
      </c>
      <c r="IZ164" s="111"/>
      <c r="JA164" s="111"/>
      <c r="JB164" s="111"/>
      <c r="JC164" s="112"/>
      <c r="JD164" s="111"/>
      <c r="JE164" s="112"/>
      <c r="JF164" s="112"/>
      <c r="JG164" s="111"/>
      <c r="JH164" s="111"/>
      <c r="JI164" s="111"/>
      <c r="JJ164" s="112"/>
      <c r="JK164" s="112"/>
      <c r="JL164" s="112"/>
      <c r="JM164" s="112"/>
      <c r="JN164" s="112"/>
      <c r="JO164" s="112"/>
      <c r="JP164" s="112"/>
      <c r="JQ164" s="112"/>
      <c r="JR164" s="112" t="str">
        <f>HYPERLINK("http://www.ibla-germany.de/merkblaetter.php","x")</f>
        <v>x</v>
      </c>
      <c r="JS164" s="112"/>
      <c r="JT164" s="111"/>
      <c r="JU164" s="111"/>
      <c r="JV164" s="111"/>
      <c r="JW164" s="112"/>
      <c r="JX164" s="112"/>
      <c r="JY164" s="111"/>
      <c r="JZ164" s="111"/>
      <c r="KA164" s="111"/>
      <c r="KB164" s="111"/>
      <c r="KC164" s="111"/>
      <c r="KD164" s="111"/>
      <c r="KE164" s="111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  <c r="MI164" s="111"/>
    </row>
    <row r="165" spans="1:347" x14ac:dyDescent="0.25">
      <c r="A165" s="102" t="s">
        <v>129</v>
      </c>
      <c r="B165" s="127" t="s">
        <v>128</v>
      </c>
      <c r="C165" s="102"/>
      <c r="D165" s="102"/>
      <c r="E165" s="102"/>
      <c r="F165" s="102"/>
      <c r="G165" s="102"/>
      <c r="H165" s="102"/>
      <c r="I165" s="102"/>
      <c r="J165" s="102"/>
      <c r="K165" s="103"/>
      <c r="L165" s="111"/>
      <c r="M165" s="111"/>
      <c r="N165" s="112" t="str">
        <f>HYPERLINK("http://www.ag-fluechtlingshilfe-wetterau.de/uploads/infos/170.pdf","x")</f>
        <v>x</v>
      </c>
      <c r="O165" s="112"/>
      <c r="P165" s="112" t="str">
        <f>HYPERLINK("https://willkommensteamelmshorn.files.wordpress.com/2015/11/sortieranleitung_pinneberg_2015_polnisch.pdf","x")</f>
        <v>x</v>
      </c>
      <c r="Q165" s="112"/>
      <c r="R165" s="112"/>
      <c r="S165" s="112"/>
      <c r="T165" s="112"/>
      <c r="U165" s="112"/>
      <c r="V165" s="112"/>
      <c r="W165" s="111"/>
      <c r="X165" s="112"/>
      <c r="Y165" s="111"/>
      <c r="Z165" s="111"/>
      <c r="AA165" s="111"/>
      <c r="AB165" s="111"/>
      <c r="AC165" s="111"/>
      <c r="AD165" s="111"/>
      <c r="AE165" s="111"/>
      <c r="AF165" s="112" t="str">
        <f>HYPERLINK("http://www.kub-berlin.org/formularprojekt/de/polnisch-antraege-und-anlagen-2/","x")</f>
        <v>x</v>
      </c>
      <c r="AG165" s="111"/>
      <c r="AH165" s="111"/>
      <c r="AI165" s="111"/>
      <c r="AJ165" s="111"/>
      <c r="AK165" s="111"/>
      <c r="AL165" s="111"/>
      <c r="AM165" s="111"/>
      <c r="AN165" s="111"/>
      <c r="AO165" s="112"/>
      <c r="AP165" s="112"/>
      <c r="AQ165" s="112"/>
      <c r="AR165" s="112"/>
      <c r="AS165" s="112"/>
      <c r="AT165" s="112"/>
      <c r="AU165" s="112"/>
      <c r="AV165" s="113"/>
      <c r="AW165" s="114" t="str">
        <f t="shared" si="55"/>
        <v>x</v>
      </c>
      <c r="AX165" s="114" t="str">
        <f t="shared" si="56"/>
        <v>x</v>
      </c>
      <c r="AY165" s="111"/>
      <c r="AZ165" s="111"/>
      <c r="BA165" s="112" t="str">
        <f t="shared" si="57"/>
        <v>x</v>
      </c>
      <c r="BB165" s="112" t="str">
        <f t="shared" si="58"/>
        <v>x</v>
      </c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2" t="str">
        <f t="shared" si="59"/>
        <v>x</v>
      </c>
      <c r="BT165" s="112"/>
      <c r="BU165" s="111"/>
      <c r="BV165" s="112" t="str">
        <f t="shared" si="60"/>
        <v>x</v>
      </c>
      <c r="BW165" s="112"/>
      <c r="BX165" s="112"/>
      <c r="BY165" s="112"/>
      <c r="BZ165" s="112"/>
      <c r="CA165" s="112" t="str">
        <f t="shared" si="61"/>
        <v>x</v>
      </c>
      <c r="CB165" s="112" t="str">
        <f t="shared" si="62"/>
        <v>x</v>
      </c>
      <c r="CC165" s="112" t="str">
        <f t="shared" si="63"/>
        <v>x</v>
      </c>
      <c r="CD165" s="112"/>
      <c r="CE165" s="112"/>
      <c r="CF165" s="111"/>
      <c r="CG165" s="112" t="str">
        <f>HYPERLINK("http://www.braunschweig.de/leben/frauen/hilfe/Ohne-Gewalt-leben.pdf","x")</f>
        <v>x</v>
      </c>
      <c r="CH165" s="112" t="str">
        <f>HYPERLINK("http://mifkjf.rlp.de/fileadmin/mifkjf/Frauen/Gewalt_gegen_Frauen/Downloads/Broschueren_Flyer/Flyer_Gewalt_polnisch.pdf","x")</f>
        <v>x</v>
      </c>
      <c r="CI165" s="112" t="str">
        <f>HYPERLINK("https://www.hilfetelefon.de/fileadmin/hilfetelefon_de/Materialien/Flyer/Infoflyer_Hilfetelefon_Gewalt_gegen_Frauen141105_b2.pdf","x")</f>
        <v>x</v>
      </c>
      <c r="CJ165" s="112" t="str">
        <f>HYPERLINK("https://www.hilfetelefon.de/fileadmin/hilfetelefon_de/Materialien/weitere_werbemittel/Klappflyer_Vorder-_und_Rueckseite_opt2.pdf","x")</f>
        <v>x</v>
      </c>
      <c r="CK165" s="112" t="str">
        <f t="shared" si="64"/>
        <v>x</v>
      </c>
      <c r="CL165" s="112"/>
      <c r="CM165" s="112"/>
      <c r="CN165" s="112"/>
      <c r="CO165" s="112"/>
      <c r="CP165" s="112" t="str">
        <f>HYPERLINK("http://www.schwanger-und-viele-fragen.de/pl/","x")</f>
        <v>x</v>
      </c>
      <c r="CQ165" s="112"/>
      <c r="CR165" s="112" t="str">
        <f>HYPERLINK("https://www.hebammenverband.de/index.php?eID=tx_nawsecuredl&amp;u=0&amp;g=0&amp;t=1462395526&amp;hash=e973fb0d011e39e50c4cd4584c741d331502f40b&amp;file=fileadmin/user_upload/pdf/Beruf_Hebamme/Was_tun_Hebammen/DHV_Flyer_Was_tun_Hebammen_polnisch_web.pdf","x")</f>
        <v>x</v>
      </c>
      <c r="CS165" s="112"/>
      <c r="CT165" s="112"/>
      <c r="CU165" s="112" t="str">
        <f>HYPERLINK("http://www.profamilia.de/fileadmin/publikationen/Erwachsene/mehrsprachig/verhuetung_polnisch.pdf","x")</f>
        <v>x</v>
      </c>
      <c r="CV165" s="112"/>
      <c r="CW165" s="112"/>
      <c r="CX165" s="112" t="str">
        <f>HYPERLINK("http://www.profamilia.de/fileadmin/publikationen/Reihe_Koerper_und_Sexualtitaet/Bro_Schwangerschaftsabbruch_PL_151117.pdf","x")</f>
        <v>x</v>
      </c>
      <c r="CY165" s="112" t="str">
        <f>HYPERLINK("http://www.caritas-schwarzwald-alb-donau.de/68854.html","x")</f>
        <v>x</v>
      </c>
      <c r="CZ165" s="112" t="str">
        <f>HYPERLINK("http://www.dgfpi.de/tl_files/download/medien/unwissen-macht-p.pdf","x")</f>
        <v>x</v>
      </c>
      <c r="DA165" s="112"/>
      <c r="DB165" s="112"/>
      <c r="DC165" s="115"/>
      <c r="DD165" s="112"/>
      <c r="DE165" s="112"/>
      <c r="DF165" s="112" t="str">
        <f t="shared" si="65"/>
        <v>x</v>
      </c>
      <c r="DG165" s="115" t="str">
        <f t="shared" si="66"/>
        <v>x</v>
      </c>
      <c r="DH165" s="112" t="str">
        <f t="shared" si="67"/>
        <v>x</v>
      </c>
      <c r="DI165" s="112" t="str">
        <f t="shared" si="68"/>
        <v>x</v>
      </c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2" t="str">
        <f>HYPERLINK("http://bildung.koeln.de/materialbibliothek/download.php?idx=e5ba7045a94c71b15ce8c649f927aefe","x")</f>
        <v>x</v>
      </c>
      <c r="DT165" s="112" t="str">
        <f>HYPERLINK("http://bildung.koeln.de/materialbibliothek/download.php?idx=e5ba7045a94c71b15ce8c649f927aefe","x")</f>
        <v>x</v>
      </c>
      <c r="DU165" s="112"/>
      <c r="DV165" s="112" t="str">
        <f>HYPERLINK("https://www.bmbf.de/pub/Kausa_Elternbroschuere_polnisch.pdf","x")</f>
        <v>x</v>
      </c>
      <c r="DW165" s="111"/>
      <c r="DX165" s="111"/>
      <c r="DY165" s="111"/>
      <c r="DZ165" s="112" t="str">
        <f>HYPERLINK("http://www.bamf.de/SharedDocs/Anlagen/DE/Publikationen/Flyer/AnerkennungBerufsabschluss/anerkennung-berufsabschluss_pl.pdf?__blob=publicationFile","x")</f>
        <v>x</v>
      </c>
      <c r="EA165" s="112" t="str">
        <f>HYPERLINK("http://www.bamf.de/SharedDocs/Anlagen/DE/Publikationen/Flyer/AnerkennungBerufsabschluss/anerkennung-berufsabschluss_ausland_pl.pdf?__blob=publicationFile","x")</f>
        <v>x</v>
      </c>
      <c r="EB165" s="112" t="str">
        <f>HYPERLINK("http://www.bamf.de/SharedDocs/Anlagen/DE/Publikationen/Broschueren/willkommen-in-deutschland-info-blaue-karte-eu_pl.pdf?__blob=publicationFile","x")</f>
        <v>x</v>
      </c>
      <c r="EC165" s="112" t="str">
        <f>HYPERLINK("http://www.bamf.de/SharedDocs/Anlagen/DE/Publikationen/Flyer/Berufsbezsprachf-ESF-BAMF/berufsbezsprachf-esf-bamf_pl.pdf?__blob=publicationFile","x")</f>
        <v>x</v>
      </c>
      <c r="ED165" s="111"/>
      <c r="EE165" s="111"/>
      <c r="EF165" s="111"/>
      <c r="EG165" s="111"/>
      <c r="EH165" s="111"/>
      <c r="EI165" s="111"/>
      <c r="EJ165" s="112"/>
      <c r="EK165" s="112"/>
      <c r="EL165" s="111"/>
      <c r="EM165" s="111"/>
      <c r="EN165" s="111"/>
      <c r="EO165" s="111"/>
      <c r="EP165" s="117" t="str">
        <f t="shared" si="74"/>
        <v>x</v>
      </c>
      <c r="EQ165" s="117" t="str">
        <f>HYPERLINK("http://www.medknowledge.de/migration/tipdoc/anamnesebogen/tipdoc_Anamnese_pol.pdf","x")</f>
        <v>x</v>
      </c>
      <c r="ER165" s="111"/>
      <c r="ES165" s="111"/>
      <c r="ET165" s="111"/>
      <c r="EU165" s="111"/>
      <c r="EV165" s="111"/>
      <c r="EW165" s="112" t="str">
        <f t="shared" si="69"/>
        <v>x</v>
      </c>
      <c r="EX165" s="112" t="str">
        <f>HYPERLINK("http://www.rki.de/DE/Content/Infekt/IfSG/Belehrungsbogen/belehrungsbogen_eltern_franzoesisch.pdf?__blob=publicationFile","x")</f>
        <v>x</v>
      </c>
      <c r="EY165" s="111"/>
      <c r="EZ165" s="111"/>
      <c r="FA165" s="111"/>
      <c r="FB165" s="111"/>
      <c r="FC165" s="111"/>
      <c r="FD165" s="112" t="str">
        <f t="shared" si="70"/>
        <v>x</v>
      </c>
      <c r="FE165" s="112" t="str">
        <f>HYPERLINK("http://sghanstedt.elbnetz.com/ueber-uns/","x")</f>
        <v>x</v>
      </c>
      <c r="FF165" s="111"/>
      <c r="FG165" s="111"/>
      <c r="FH165" s="111"/>
      <c r="FI165" s="111"/>
      <c r="FJ165" s="112"/>
      <c r="FK165" s="112" t="str">
        <f>HYPERLINK("http://www.rki.de/DE/Content/Infekt/Impfen/Materialien/Downloads-Impfkalender/Impfkalender_Polnisch.pdf?__blob=publicationFile","x")</f>
        <v>x</v>
      </c>
      <c r="FL165" s="112" t="str">
        <f>HYPERLINK("http://www.ethno-medizinisches-zentrum.de/images/PDF-Files/impfwegweiser_polnisch_2013_online.pdf","x")</f>
        <v>x</v>
      </c>
      <c r="FM165" s="112"/>
      <c r="FN165" s="112" t="str">
        <f>HYPERLINK("http://www.rki.de/DE/Content/Infekt/Impfen/Materialien/Glossar-Downloads/glossar-de-polnisch.pdf?__blob=publicationFile","x")</f>
        <v>x</v>
      </c>
      <c r="FO165" s="112"/>
      <c r="FP165" s="112" t="str">
        <f>HYPERLINK("http://www.rki.de/DE/Content/Infekt/Impfen/Materialien/Downloads-MMR/MMR-Impfinfo-polnisch.pdf?__blob=publicationFile","x")</f>
        <v>x</v>
      </c>
      <c r="FQ165" s="111"/>
      <c r="FR165" s="112" t="str">
        <f>HYPERLINK("http://www.rki.de/DE/Content/Infekt/Impfen/Materialien/Downloads_HepA/Aufklaerung_HAV-Impfung_Polnisch.pdf?__blob=publicationFile","x")</f>
        <v>x</v>
      </c>
      <c r="FS165" s="112" t="str">
        <f>HYPERLINK("http://www.rki.de/DE/Content/Infekt/Impfen/Materialien/Downloads_Pneumokokken/Aufklaerung_Pneumo-Impfung_Polnisch.pdf?__blob=publicationFile","x")</f>
        <v>x</v>
      </c>
      <c r="FT165" s="112" t="str">
        <f>HYPERLINK("http://www.rki.de/DE/Content/Infekt/Impfen/Materialien/Downloads-DTaPIPVHibHepB/DTaPIPVHibHepB-polnisch.pdf?__blob=publicationFile","x")</f>
        <v>x</v>
      </c>
      <c r="FU165" s="112" t="str">
        <f>HYPERLINK("http://www.rki.de/DE/Content/Infekt/Impfen/Materialien/Downloads-Varizellen/Varizellen-Impfinfo-polnisch.pdf;jsessionid=65B697F4EE7EDA8A1ED9E2C4CD6C74EC.2_cid363?__blob=publicationFile","x")</f>
        <v>x</v>
      </c>
      <c r="FV165" s="112" t="str">
        <f>HYPERLINK("http://www.rki.de/DE/Content/Infekt/Impfen/Materialien/Downloads-Tdap-IPV/Tdap-IPV-polnisch.pdf?__blob=publicationFile","x")</f>
        <v>x</v>
      </c>
      <c r="FW165" s="112" t="str">
        <f>HYPERLINK("http://www.rki.de/DE/Content/Infekt/Impfen/Materialien/Downloads-Influenza_nasal/Influenza_nasal-polnisch.pdf?__blob=publicationFile","x")</f>
        <v>x</v>
      </c>
      <c r="FX165" s="111"/>
      <c r="FY165" s="111"/>
      <c r="FZ165" s="111"/>
      <c r="GA165" s="111"/>
      <c r="GB165" s="111"/>
      <c r="GC165" s="111"/>
      <c r="GD165" s="112" t="str">
        <f>HYPERLINK("http://www.ethno-medizinisches-zentrum.de/images/PDF-Files/lf_diabete_polnisch.pdf","x")</f>
        <v>x</v>
      </c>
      <c r="GE165" s="111"/>
      <c r="GF165" s="111"/>
      <c r="GG165" s="111"/>
      <c r="GH165" s="111"/>
      <c r="GI165" s="111"/>
      <c r="GJ165" s="111"/>
      <c r="GK165" s="111"/>
      <c r="GL165" s="111"/>
      <c r="GM165" s="112" t="str">
        <f>HYPERLINK("http://www.rki.de/DE/Content/Infekt/Impfen/Materialien/Downloads-Influenza/Influenza-polnisch.pdf?__blob=publicationFile","x")</f>
        <v>x</v>
      </c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2" t="str">
        <f t="shared" si="71"/>
        <v>x</v>
      </c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2" t="str">
        <f>HYPERLINK("http://www.bkk-psychisch-gesund.de/fileadmin/user_upload/Dokumente/Versicherte/Broschueren/Wegweiser_Psychotherapie_polnisch.pdf","x")</f>
        <v>x</v>
      </c>
      <c r="HY165" s="112" t="str">
        <f t="shared" si="72"/>
        <v>x</v>
      </c>
      <c r="HZ165" s="112" t="str">
        <f t="shared" si="73"/>
        <v>x</v>
      </c>
      <c r="IA165" s="111"/>
      <c r="IB165" s="111"/>
      <c r="IC165" s="111"/>
      <c r="ID165" s="111"/>
      <c r="IE165" s="111"/>
      <c r="IF165" s="111"/>
      <c r="IG165" s="111"/>
      <c r="IH165" s="111"/>
      <c r="II165" s="112" t="str">
        <f>HYPERLINK("http://www.caritas.de/hilfeundberatung/onlineberatung/suchtberatung/haeufiggestelltefragensucht/haeufiggestelltefragen-sucht","x")</f>
        <v>x</v>
      </c>
      <c r="IJ165" s="111"/>
      <c r="IK165" s="112" t="str">
        <f>HYPERLINK("http://www.bamf.de/SharedDocs/Anlagen/DE/Publikationen/Flyer/Lassen-Sie-Sich-Beraten/lassen-sie-sich-beraten_pl.pdf?__blob=publicationFile","x")</f>
        <v>x</v>
      </c>
      <c r="IL165" s="111"/>
      <c r="IM165" s="111"/>
      <c r="IN165" s="112" t="str">
        <f>HYPERLINK("https://www.bamf.de/SharedDocs/Anlagen/DE/Publikationen/Broschueren/willkommen-in-deutschland_pl.pdf?__blob=publicationFile","x")</f>
        <v>x</v>
      </c>
      <c r="IO165" s="112"/>
      <c r="IP165" s="111"/>
      <c r="IQ165" s="112" t="str">
        <f>HYPERLINK("http://www.bamf.de/SharedDocs/Anlagen/DE/Publikationen/Flyer/Lernen-Sie-Deutsch/lernen-sie-deutsch_pl.pdf?__blob=publicationFile","x")</f>
        <v>x</v>
      </c>
      <c r="IR165" s="112"/>
      <c r="IS165" s="111"/>
      <c r="IT165" s="111"/>
      <c r="IU165" s="111"/>
      <c r="IV165" s="112"/>
      <c r="IW165" s="112"/>
      <c r="IX165" s="112"/>
      <c r="IY165" s="112"/>
      <c r="IZ165" s="111"/>
      <c r="JA165" s="111"/>
      <c r="JB165" s="111"/>
      <c r="JC165" s="112"/>
      <c r="JD165" s="111"/>
      <c r="JE165" s="112"/>
      <c r="JF165" s="112"/>
      <c r="JG165" s="112"/>
      <c r="JH165" s="112"/>
      <c r="JI165" s="111"/>
      <c r="JJ165" s="112"/>
      <c r="JK165" s="112"/>
      <c r="JL165" s="112"/>
      <c r="JM165" s="112" t="str">
        <f>HYPERLINK("https://www.arbeitsagentur.de/web/content/DE/Formulare/Detail/index.htm?dfContentId=L6019022DSTBAI485740","x")</f>
        <v>x</v>
      </c>
      <c r="JN165" s="112"/>
      <c r="JO165" s="112"/>
      <c r="JP165" s="112"/>
      <c r="JQ165" s="112"/>
      <c r="JR165" s="112" t="str">
        <f>HYPERLINK("http://www.ibla-germany.de/merkblaetter.php","x")</f>
        <v>x</v>
      </c>
      <c r="JS165" s="112"/>
      <c r="JT165" s="111"/>
      <c r="JU165" s="111"/>
      <c r="JV165" s="111"/>
      <c r="JW165" s="112"/>
      <c r="JX165" s="112"/>
      <c r="JY165" s="111"/>
      <c r="JZ165" s="111"/>
      <c r="KA165" s="111"/>
      <c r="KB165" s="111"/>
      <c r="KC165" s="111"/>
      <c r="KD165" s="112" t="str">
        <f>HYPERLINK("http://www.wedel.de/fileadmin/user_upload/media/pdf/Rathaus_und_Politik/20160118_PM_Broschuere.pdf","x")</f>
        <v>x</v>
      </c>
      <c r="KE165" s="112"/>
      <c r="KF165" s="111"/>
      <c r="KG165" s="111"/>
      <c r="KH165" s="111"/>
      <c r="KI165" s="111"/>
      <c r="KJ165" s="111"/>
      <c r="KK165" s="111"/>
      <c r="KL165" s="111"/>
      <c r="KM165" s="111"/>
      <c r="KN165" s="111"/>
      <c r="KO165" s="111"/>
      <c r="KP165" s="111"/>
      <c r="KQ165" s="111"/>
      <c r="KR165" s="111"/>
      <c r="KS165" s="111"/>
      <c r="KT165" s="111"/>
      <c r="KU165" s="111"/>
      <c r="KV165" s="111"/>
      <c r="KW165" s="111"/>
      <c r="KX165" s="111"/>
      <c r="KY165" s="111"/>
      <c r="KZ165" s="111"/>
      <c r="LA165" s="111"/>
      <c r="LB165" s="111"/>
      <c r="LC165" s="111"/>
      <c r="LD165" s="111"/>
      <c r="LE165" s="111"/>
      <c r="LF165" s="111"/>
      <c r="LG165" s="111"/>
      <c r="LH165" s="111"/>
      <c r="LI165" s="111"/>
      <c r="LJ165" s="111"/>
      <c r="LK165" s="111"/>
      <c r="LL165" s="111"/>
      <c r="LM165" s="111"/>
      <c r="LN165" s="111"/>
      <c r="LO165" s="111"/>
      <c r="LP165" s="111"/>
      <c r="LQ165" s="111"/>
      <c r="LR165" s="111"/>
      <c r="LS165" s="111"/>
      <c r="LT165" s="111"/>
      <c r="LU165" s="111"/>
      <c r="LV165" s="111"/>
      <c r="LW165" s="111"/>
      <c r="LX165" s="111"/>
      <c r="LY165" s="111"/>
      <c r="LZ165" s="111"/>
      <c r="MA165" s="111"/>
      <c r="MB165" s="111"/>
      <c r="MC165" s="111"/>
      <c r="MD165" s="112" t="str">
        <f>HYPERLINK("http://www.rki.de/DE/Content/Infekt/IfSG/Belehrungsbogen/belehrungsbogen_lebensmittel_polnisch.pdf?__blob=publicationFile","x")</f>
        <v>x</v>
      </c>
      <c r="ME165" s="111"/>
      <c r="MF165" s="111"/>
      <c r="MG165" s="111"/>
      <c r="MH165" s="111"/>
      <c r="MI165" s="112"/>
    </row>
    <row r="166" spans="1:347" x14ac:dyDescent="0.25">
      <c r="A166" s="102" t="s">
        <v>411</v>
      </c>
      <c r="B166" s="127" t="s">
        <v>34</v>
      </c>
      <c r="C166" s="102"/>
      <c r="D166" s="102"/>
      <c r="E166" s="102"/>
      <c r="F166" s="102"/>
      <c r="G166" s="102"/>
      <c r="H166" s="102"/>
      <c r="I166" s="102"/>
      <c r="J166" s="102"/>
      <c r="K166" s="103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2" t="str">
        <f>HYPERLINK("http://www.kub-berlin.org/formularprojekt/de/portugiesisch-antraege-und-anlagen-uebersetzungshilfen/","x")</f>
        <v>x</v>
      </c>
      <c r="AG166" s="111"/>
      <c r="AH166" s="111"/>
      <c r="AI166" s="111"/>
      <c r="AJ166" s="111"/>
      <c r="AK166" s="111"/>
      <c r="AL166" s="111"/>
      <c r="AM166" s="111"/>
      <c r="AN166" s="111"/>
      <c r="AO166" s="112"/>
      <c r="AP166" s="112"/>
      <c r="AQ166" s="112"/>
      <c r="AR166" s="112"/>
      <c r="AS166" s="112"/>
      <c r="AT166" s="112"/>
      <c r="AU166" s="112"/>
      <c r="AV166" s="113"/>
      <c r="AW166" s="114" t="str">
        <f t="shared" si="55"/>
        <v>x</v>
      </c>
      <c r="AX166" s="114" t="str">
        <f t="shared" si="56"/>
        <v>x</v>
      </c>
      <c r="AY166" s="111"/>
      <c r="AZ166" s="111"/>
      <c r="BA166" s="112" t="str">
        <f t="shared" si="57"/>
        <v>x</v>
      </c>
      <c r="BB166" s="112" t="str">
        <f t="shared" si="58"/>
        <v>x</v>
      </c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2" t="str">
        <f t="shared" si="59"/>
        <v>x</v>
      </c>
      <c r="BT166" s="112"/>
      <c r="BU166" s="111"/>
      <c r="BV166" s="112" t="str">
        <f t="shared" si="60"/>
        <v>x</v>
      </c>
      <c r="BW166" s="112" t="str">
        <f>HYPERLINK("http://www.welcomegrooves.de/wp-content/uploads/2015/11/welcomegrooves-de-portugiesisch.pdf","x")</f>
        <v>x</v>
      </c>
      <c r="BX166" s="112"/>
      <c r="BY166" s="112"/>
      <c r="BZ166" s="112"/>
      <c r="CA166" s="112" t="str">
        <f t="shared" si="61"/>
        <v>x</v>
      </c>
      <c r="CB166" s="112" t="str">
        <f t="shared" si="62"/>
        <v>x</v>
      </c>
      <c r="CC166" s="112" t="str">
        <f t="shared" si="63"/>
        <v>x</v>
      </c>
      <c r="CD166" s="112"/>
      <c r="CE166" s="112"/>
      <c r="CF166" s="111"/>
      <c r="CG166" s="111"/>
      <c r="CH166" s="111"/>
      <c r="CI166" s="111"/>
      <c r="CJ166" s="112" t="str">
        <f>HYPERLINK("https://www.hilfetelefon.de/fileadmin/hilfetelefon_de/Materialien/weitere_werbemittel/Klappflyer_Vorder-_und_Rueckseite_opt2.pdf","x")</f>
        <v>x</v>
      </c>
      <c r="CK166" s="112" t="str">
        <f t="shared" si="64"/>
        <v>x</v>
      </c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5"/>
      <c r="DD166" s="112"/>
      <c r="DE166" s="112"/>
      <c r="DF166" s="112" t="str">
        <f t="shared" si="65"/>
        <v>x</v>
      </c>
      <c r="DG166" s="115" t="str">
        <f t="shared" si="66"/>
        <v>x</v>
      </c>
      <c r="DH166" s="112" t="str">
        <f t="shared" si="67"/>
        <v>x</v>
      </c>
      <c r="DI166" s="112" t="str">
        <f t="shared" si="68"/>
        <v>x</v>
      </c>
      <c r="DJ166" s="112" t="str">
        <f>HYPERLINK("http://www.bibliomedia.ch/de/angebote/dokumente/Glossar_portugiesisch.pdf","x")</f>
        <v>x</v>
      </c>
      <c r="DK166" s="112"/>
      <c r="DL166" s="112"/>
      <c r="DM166" s="112"/>
      <c r="DN166" s="112"/>
      <c r="DO166" s="112"/>
      <c r="DP166" s="111"/>
      <c r="DQ166" s="111"/>
      <c r="DR166" s="111"/>
      <c r="DS166" s="112" t="str">
        <f>HYPERLINK("http://bildung.koeln.de/materialbibliothek/download.php?idx=de2686c222102377b8ae1e8183c8a22a","x")</f>
        <v>x</v>
      </c>
      <c r="DT166" s="112" t="str">
        <f>HYPERLINK("http://bildung.koeln.de/materialbibliothek/download.php?idx=035b9a2c186ac6facf2908441ea63b5a","x")</f>
        <v>x</v>
      </c>
      <c r="DU166" s="112"/>
      <c r="DV166" s="112" t="str">
        <f>HYPERLINK("https://www.bmbf.de/pub/KAUSA_Elternratgeber_deutsch_portugiesisch.pdf","x")</f>
        <v>x</v>
      </c>
      <c r="DW166" s="111"/>
      <c r="DX166" s="111"/>
      <c r="DY166" s="111"/>
      <c r="DZ166" s="111"/>
      <c r="EA166" s="112" t="str">
        <f>HYPERLINK("http://www.bamf.de/SharedDocs/Anlagen/DE/Publikationen/Flyer/AnerkennungBerufsabschluss/anerkennung-berufsabschluss_ausland_pt.pdf?__blob=publicationFile","x")</f>
        <v>x</v>
      </c>
      <c r="EB166" s="112"/>
      <c r="EC166" s="112" t="str">
        <f>HYPERLINK("http://www.bamf.de/SharedDocs/Anlagen/DE/Publikationen/Flyer/Berufsbezsprachf-ESF-BAMF/berufsbezsprachf-esf-bamf_por.pdf?__blob=publicationFile","x")</f>
        <v>x</v>
      </c>
      <c r="ED166" s="111"/>
      <c r="EE166" s="111"/>
      <c r="EF166" s="111"/>
      <c r="EG166" s="111"/>
      <c r="EH166" s="111"/>
      <c r="EI166" s="111"/>
      <c r="EJ166" s="112"/>
      <c r="EK166" s="112"/>
      <c r="EL166" s="111"/>
      <c r="EM166" s="112" t="str">
        <f>HYPERLINK("http://www.kvs-sachsen.de/fileadmin/img/Mitglieder/Asylbewerber/Allg-Informationen/Anlage_1_Portugiesisch_LEK.pdf","x")</f>
        <v>x</v>
      </c>
      <c r="EN166" s="111"/>
      <c r="EO166" s="111"/>
      <c r="EP166" s="117" t="str">
        <f t="shared" si="74"/>
        <v>x</v>
      </c>
      <c r="EQ166" s="117" t="str">
        <f>HYPERLINK("http://www.armut-gesundheit.de/fileadmin/redakteur/dokumente/Anamnesebogen%20-%20portugiesischnew.pdf","x")</f>
        <v>x</v>
      </c>
      <c r="ER166" s="112" t="str">
        <f>HYPERLINK("http://www.kvs-sachsen.de/fileadmin/img/Mitglieder/Asylbewerber/Allg-Informationen/Anlagen_2-1_2-2_Portugiesisch_LEK.pdf","x")</f>
        <v>x</v>
      </c>
      <c r="ES166" s="111"/>
      <c r="ET166" s="111"/>
      <c r="EU166" s="111"/>
      <c r="EV166" s="111"/>
      <c r="EW166" s="112" t="str">
        <f t="shared" si="69"/>
        <v>x</v>
      </c>
      <c r="EX166" s="111"/>
      <c r="EY166" s="111"/>
      <c r="EZ166" s="111"/>
      <c r="FA166" s="111"/>
      <c r="FB166" s="111"/>
      <c r="FC166" s="111"/>
      <c r="FD166" s="112" t="str">
        <f t="shared" si="70"/>
        <v>x</v>
      </c>
      <c r="FE166" s="112" t="str">
        <f>HYPERLINK("http://sghanstedt.elbnetz.com/ueber-uns/","x")</f>
        <v>x</v>
      </c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2" t="str">
        <f>HYPERLINK("http://www.tipdoc.de/bus/pdf/hiv/HIV%20ESP_Webseite.pdf","x")</f>
        <v>x</v>
      </c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2" t="str">
        <f t="shared" si="71"/>
        <v>x</v>
      </c>
      <c r="HD166" s="111"/>
      <c r="HE166" s="111"/>
      <c r="HF166" s="111"/>
      <c r="HG166" s="111"/>
      <c r="HH166" s="111"/>
      <c r="HI166" s="111"/>
      <c r="HJ166" s="111"/>
      <c r="HK166" s="112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2" t="str">
        <f t="shared" si="72"/>
        <v>x</v>
      </c>
      <c r="HZ166" s="112" t="str">
        <f t="shared" si="73"/>
        <v>x</v>
      </c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2" t="str">
        <f>HYPERLINK("http://www.bamf.de/SharedDocs/Anlagen/DE/Publikationen/Flyer/Lassen-Sie-Sich-Beraten/lassen-sie-sich-beraten_pt.pdf?__blob=publicationFile","x")</f>
        <v>x</v>
      </c>
      <c r="IL166" s="111"/>
      <c r="IM166" s="111"/>
      <c r="IN166" s="112" t="str">
        <f>HYPERLINK("https://www.bamf.de/SharedDocs/Anlagen/DE/Publikationen/Broschueren/willkommen-in-deutschland_pt.pdf?__blob=publicationFile","x")</f>
        <v>x</v>
      </c>
      <c r="IO166" s="112"/>
      <c r="IP166" s="111"/>
      <c r="IQ166" s="112"/>
      <c r="IR166" s="112"/>
      <c r="IS166" s="111"/>
      <c r="IT166" s="111"/>
      <c r="IU166" s="111"/>
      <c r="IV166" s="112"/>
      <c r="IW166" s="112"/>
      <c r="IX166" s="112" t="str">
        <f>HYPERLINK("http://www.berlin.de/labo/willkommen-in-berlin/service/downloads/artikel.273193.php","x")</f>
        <v>x</v>
      </c>
      <c r="IY166" s="112" t="str">
        <f>HYPERLINK("http://www.bamf.de/SharedDocs/Anlagen/DE/Publikationen/Broschueren/broschuere-eat-a4-pt-portugiesisch.pdf?__blob=publicationFile","x")</f>
        <v>x</v>
      </c>
      <c r="IZ166" s="111"/>
      <c r="JA166" s="111"/>
      <c r="JB166" s="111"/>
      <c r="JC166" s="112"/>
      <c r="JD166" s="111"/>
      <c r="JE166" s="112"/>
      <c r="JF166" s="112"/>
      <c r="JG166" s="112"/>
      <c r="JH166" s="112"/>
      <c r="JI166" s="111"/>
      <c r="JJ166" s="112"/>
      <c r="JK166" s="112"/>
      <c r="JL166" s="112" t="str">
        <f>HYPERLINK("http://www.kub-berlin.org/formularprojekt/de/portugiesisch-antraege-und-anlagen-uebersetzungshilfen/","x")</f>
        <v>x</v>
      </c>
      <c r="JM166" s="112" t="str">
        <f>HYPERLINK("https://www.arbeitsagentur.de/web/content/DE/Formulare/Detail/index.htm?dfContentId=L6019022DSTBAI485740","x")</f>
        <v>x</v>
      </c>
      <c r="JN166" s="112"/>
      <c r="JO166" s="112"/>
      <c r="JP166" s="112"/>
      <c r="JQ166" s="112"/>
      <c r="JR166" s="112" t="str">
        <f>HYPERLINK("http://www.ibla-germany.de/merkblaetter.php","x")</f>
        <v>x</v>
      </c>
      <c r="JS166" s="112"/>
      <c r="JT166" s="111"/>
      <c r="JU166" s="111"/>
      <c r="JV166" s="111"/>
      <c r="JW166" s="112"/>
      <c r="JX166" s="112"/>
      <c r="JY166" s="111"/>
      <c r="JZ166" s="111"/>
      <c r="KA166" s="111"/>
      <c r="KB166" s="111"/>
      <c r="KC166" s="111"/>
      <c r="KD166" s="111"/>
      <c r="KE166" s="111"/>
      <c r="KF166" s="111"/>
      <c r="KG166" s="111"/>
      <c r="KH166" s="111"/>
      <c r="KI166" s="111"/>
      <c r="KJ166" s="111"/>
      <c r="KK166" s="111"/>
      <c r="KL166" s="111"/>
      <c r="KM166" s="111"/>
      <c r="KN166" s="111"/>
      <c r="KO166" s="111"/>
      <c r="KP166" s="111"/>
      <c r="KQ166" s="111"/>
      <c r="KR166" s="111"/>
      <c r="KS166" s="111"/>
      <c r="KT166" s="111"/>
      <c r="KU166" s="111"/>
      <c r="KV166" s="111"/>
      <c r="KW166" s="111"/>
      <c r="KX166" s="111"/>
      <c r="KY166" s="111"/>
      <c r="KZ166" s="111"/>
      <c r="LA166" s="111"/>
      <c r="LB166" s="111"/>
      <c r="LC166" s="111"/>
      <c r="LD166" s="111"/>
      <c r="LE166" s="111"/>
      <c r="LF166" s="111"/>
      <c r="LG166" s="111"/>
      <c r="LH166" s="111"/>
      <c r="LI166" s="111"/>
      <c r="LJ166" s="111"/>
      <c r="LK166" s="111"/>
      <c r="LL166" s="111"/>
      <c r="LM166" s="111"/>
      <c r="LN166" s="111"/>
      <c r="LO166" s="111"/>
      <c r="LP166" s="111"/>
      <c r="LQ166" s="111"/>
      <c r="LR166" s="111"/>
      <c r="LS166" s="111"/>
      <c r="LT166" s="111"/>
      <c r="LU166" s="111"/>
      <c r="LV166" s="111"/>
      <c r="LW166" s="111"/>
      <c r="LX166" s="111"/>
      <c r="LY166" s="111"/>
      <c r="LZ166" s="111"/>
      <c r="MA166" s="111"/>
      <c r="MB166" s="111"/>
      <c r="MC166" s="111"/>
      <c r="MD166" s="111"/>
      <c r="ME166" s="111"/>
      <c r="MF166" s="111"/>
      <c r="MG166" s="111"/>
      <c r="MH166" s="111"/>
      <c r="MI166" s="111"/>
    </row>
    <row r="167" spans="1:347" x14ac:dyDescent="0.25">
      <c r="A167" s="102" t="s">
        <v>391</v>
      </c>
      <c r="B167" s="127" t="s">
        <v>4</v>
      </c>
      <c r="C167" s="102"/>
      <c r="D167" s="102"/>
      <c r="E167" s="102"/>
      <c r="F167" s="102"/>
      <c r="G167" s="102"/>
      <c r="H167" s="102"/>
      <c r="I167" s="102"/>
      <c r="J167" s="102"/>
      <c r="K167" s="103"/>
      <c r="L167" s="111"/>
      <c r="M167" s="111"/>
      <c r="N167" s="112" t="str">
        <f>HYPERLINK("http://www.ag-fluechtlingshilfe-wetterau.de/uploads/infos/170.pdf","x")</f>
        <v>x</v>
      </c>
      <c r="O167" s="112" t="str">
        <f>HYPERLINK("http://www.ag-fluechtlingshilfe-wetterau.de/uploads/infos/220.pdf","x")</f>
        <v>x</v>
      </c>
      <c r="P167" s="112" t="str">
        <f>HYPERLINK("http://www.awb-ahrweiler.de/admin/data/ddownload/Abfall%20Sonderhinweise-englisch_2014.pdf","x")</f>
        <v>x</v>
      </c>
      <c r="Q167" s="112" t="str">
        <f>HYPERLINK("http://www.ag-fluechtlingshilfe-wetterau.de/uploads/infos/221.pdf","x")</f>
        <v>x</v>
      </c>
      <c r="R167" s="112" t="str">
        <f>HYPERLINK("http://www.konto.org/download/merkblatt-basiskonto-asylbewerber-english.pdf","x")</f>
        <v>x</v>
      </c>
      <c r="S167" s="112"/>
      <c r="T167" s="112" t="str">
        <f>HYPERLINK("https://antworten.sparkasse.de/wp-content/uploads/2015/10/English.pdf","x")</f>
        <v>x</v>
      </c>
      <c r="U167" s="112" t="str">
        <f>HYPERLINK("http://www.ag-fluechtlingshilfe-wetterau.de/uploads/infos/191.pdf","x")</f>
        <v>x</v>
      </c>
      <c r="V167" s="112"/>
      <c r="W167" s="112"/>
      <c r="X16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6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67" s="112"/>
      <c r="AA167" s="112"/>
      <c r="AB167" s="112"/>
      <c r="AC167" s="112" t="str">
        <f>HYPERLINK("http://www.vzhh.de/vzhh/409638/vzhh_refugees_telephone_internet.pdf","x")</f>
        <v>x</v>
      </c>
      <c r="AD167" s="112" t="str">
        <f>HYPERLINK("http://www.vzhh.de/vzhh/410647/vzhh_refugees_rundfunk.pdf","x")</f>
        <v>x</v>
      </c>
      <c r="AE167" s="112" t="str">
        <f>HYPERLINK("http://www.vzhh.de/vzhh/411476/vzhh_refugees_rundfunk_befreiung.pdf","x")</f>
        <v>x</v>
      </c>
      <c r="AF167" s="112" t="str">
        <f>HYPERLINK("http://www.kub-berlin.org/formularprojekt/de/englisch-antraege-und-anlagen-uebersetzungshilfen/","x")</f>
        <v>x</v>
      </c>
      <c r="AG167" s="112" t="str">
        <f>HYPERLINK("http://asyl-in-moenchengladbach.de/wp-content/uploads/2015/11/100711-Flyer_GB.pdf","x")</f>
        <v>x</v>
      </c>
      <c r="AH167" s="112" t="str">
        <f>HYPERLINK("http://sghanstedt.elbnetz.com/ueber-uns/","x")</f>
        <v>x</v>
      </c>
      <c r="AI167" s="112" t="str">
        <f>HYPERLINK("https://www.adac.de/sp/stiftung/_mmm/pdf/SGE_FOL_Verkehrssicherheit_Fl%C3%BCchtlinge_A3_01_16_Internet_250277.pdf","x")</f>
        <v>x</v>
      </c>
      <c r="AJ167" s="112" t="str">
        <f>HYPERLINK("http://www.stadt-koeln.de/mediaasset/content/kvb_kinderleicht_und_spielend_einfach__englisch_.pdf","x")</f>
        <v>x</v>
      </c>
      <c r="AK167" s="112" t="str">
        <f>HYPERLINK("https://www.vrsinfo.de/fileadmin/Dateien/downloadcenter/Folder_MobilPassTicket_Refugees01012016.pdf","x")</f>
        <v>x</v>
      </c>
      <c r="AL167" s="112" t="str">
        <f>HYPERLINK("https://www.vrsinfo.de/fileadmin/Dateien/downloadcenter/Willkommen_im_VRS2016_Druck.pdf","x")</f>
        <v>x</v>
      </c>
      <c r="AM167" s="112"/>
      <c r="AN167" s="112" t="str">
        <f>HYPERLINK("https://www.deutschebahn.com/file/de/2191748/eYdgZpqGpp5sMJ2KMKtg2r8aE4Q/10123812/data/infos_fuer_fluechtlinge.pdf","x")</f>
        <v>x</v>
      </c>
      <c r="AO167" s="112"/>
      <c r="AP167" s="112"/>
      <c r="AQ167" s="112"/>
      <c r="AR167" s="112"/>
      <c r="AS167" s="112"/>
      <c r="AT167" s="112"/>
      <c r="AU167" s="112" t="str">
        <f>HYPERLINK("http://www.stadt-koeln.de/mediaasset/content/festkomitee_flyer_2016_d_gb.pdf","x")</f>
        <v>x</v>
      </c>
      <c r="AV167" s="113"/>
      <c r="AW167" s="114" t="str">
        <f t="shared" si="55"/>
        <v>x</v>
      </c>
      <c r="AX167" s="114" t="str">
        <f t="shared" si="56"/>
        <v>x</v>
      </c>
      <c r="AY167" s="112" t="str">
        <f>HYPERLINK("http://fi-lohmar-siegburg.de/data/documents/Findefix_arabisch-Bildwoerterbuch.pdf","x")</f>
        <v>x</v>
      </c>
      <c r="AZ167" s="111"/>
      <c r="BA167" s="112" t="str">
        <f t="shared" si="57"/>
        <v>x</v>
      </c>
      <c r="BB167" s="112" t="str">
        <f t="shared" si="58"/>
        <v>x</v>
      </c>
      <c r="BC167" s="111"/>
      <c r="BD167" s="111"/>
      <c r="BE167" s="112" t="str">
        <f>HYPERLINK("http://fi-lohmar-siegburg.de/data/documents/communicationboard-arabic-english.pdf","x")</f>
        <v>x</v>
      </c>
      <c r="BF167" s="112"/>
      <c r="BG167" s="111"/>
      <c r="BH167" s="112" t="str">
        <f>HYPERLINK("http://www.refugeephrasebook.de/pdf/germany150920.pdf","x")</f>
        <v>x</v>
      </c>
      <c r="BI167" s="112" t="str">
        <f>HYPERLINK("https://www.advanced-online.eu/downloads/RefugeePhrasebookCards_German-English.pdf","x")</f>
        <v>x</v>
      </c>
      <c r="BJ167" s="112" t="str">
        <f>HYPERLINK("http://www.klett-sprachen.de/download/8638/W100255_Refugees_Welcome_Wortschatz.pdf","x")</f>
        <v>x</v>
      </c>
      <c r="BK167" s="111"/>
      <c r="BL167" s="112" t="str">
        <f>HYPERLINK("http://www.bundessprachenamt.de/deutsch/wir_ueber_uns/nachrichten/2015/20151103/Verständigungshilfe_Englisch_26_11_2015.pdf","x")</f>
        <v>x</v>
      </c>
      <c r="BM167" s="112" t="str">
        <f>HYPERLINK("http://www.frnrw.de/images/Aus_den_Initiativen/Ehrenamtler/2015/Dictionary_x10_print-2.pdf","x")</f>
        <v>x</v>
      </c>
      <c r="BN167" s="112" t="str">
        <f>HYPERLINK("http://www.medbox.org/toolboxes/kleines-worterbuch-little-dictionary-deutsch-englisch-arabisch/preview","x")</f>
        <v>x</v>
      </c>
      <c r="BO167" s="112" t="str">
        <f>HYPERLINK("http://mylanguages.org/dari_phrases.php","x")</f>
        <v>x</v>
      </c>
      <c r="BP167" s="111"/>
      <c r="BQ167" s="111"/>
      <c r="BR167" s="111"/>
      <c r="BS167" s="112" t="str">
        <f t="shared" si="59"/>
        <v>x</v>
      </c>
      <c r="BT167" s="112"/>
      <c r="BU167" s="111"/>
      <c r="BV167" s="112" t="str">
        <f t="shared" si="60"/>
        <v>x</v>
      </c>
      <c r="BW167" s="112" t="str">
        <f>HYPERLINK("http://www.welcomegrooves.de/wp-content/uploads/2015/10/welcomegrooves_DE-ENGLISH1.pdf","x")</f>
        <v>x</v>
      </c>
      <c r="BX167" s="112"/>
      <c r="BY167" s="112"/>
      <c r="BZ167" s="112"/>
      <c r="CA167" s="112" t="str">
        <f t="shared" si="61"/>
        <v>x</v>
      </c>
      <c r="CB167" s="112" t="str">
        <f t="shared" si="62"/>
        <v>x</v>
      </c>
      <c r="CC167" s="112" t="str">
        <f t="shared" si="63"/>
        <v>x</v>
      </c>
      <c r="CD167" s="112"/>
      <c r="CE167" s="112"/>
      <c r="CF167" s="111"/>
      <c r="CG167" s="112" t="str">
        <f>HYPERLINK("http://www.braunschweig.de/leben/frauen/hilfe/Ohne-Gewalt-leben.pdf","x")</f>
        <v>x</v>
      </c>
      <c r="CH167" s="112" t="str">
        <f>HYPERLINK("http://mifkjf.rlp.de/fileadmin/mifkjf/Frauen/Gewalt_gegen_Frauen/Downloads/Broschueren_Flyer/Flyer_Gewalt_englisch.pdf","x")</f>
        <v>x</v>
      </c>
      <c r="CI167" s="112" t="str">
        <f>HYPERLINK("https://www.hilfetelefon.de/fileadmin/hilfetelefon_de/Materialien/Flyer/Infoflyer_Hilfetelefon_Gewalt_gegen_Frauen141105_b2.pdf","x")</f>
        <v>x</v>
      </c>
      <c r="CJ167" s="112" t="str">
        <f>HYPERLINK("https://www.hilfetelefon.de/fileadmin/hilfetelefon_de/Materialien/weitere_werbemittel/Klappflyer_Vorder-_und_Rueckseite_opt2.pdf","x")</f>
        <v>x</v>
      </c>
      <c r="CK167" s="112" t="str">
        <f t="shared" si="64"/>
        <v>x</v>
      </c>
      <c r="CL167" s="112" t="str">
        <f>HYPERLINK("http://www.frauenberatungsstelle.de/pdf/Migrantinnen-beraten-Migrantinnen.pdf","x")</f>
        <v>x</v>
      </c>
      <c r="CM167" s="112" t="str">
        <f>HYPERLINK("http://www.frauenleben.org/spezielle_beratungsangebote/sexualisierte_gewalt.htm","x")</f>
        <v>x</v>
      </c>
      <c r="CN167" s="112"/>
      <c r="CO167" s="112"/>
      <c r="CP167" s="112" t="str">
        <f>HYPERLINK("http://www.schwanger-und-viele-fragen.de/en/","x")</f>
        <v>x</v>
      </c>
      <c r="CQ167" s="112"/>
      <c r="CR16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67" s="112" t="str">
        <f>HYPERLINK("http://en.beststart.org/for_parents/are-you-looking-resources-languages-other-english-and-french","x")</f>
        <v>x</v>
      </c>
      <c r="CT167" s="112"/>
      <c r="CU167" s="112" t="str">
        <f>HYPERLINK("http://www.profamilia.de/fileadmin/publikationen/Erwachsene/mehrsprachig/Bro_Verhuetung_engl_2013.pdf","x")</f>
        <v>x</v>
      </c>
      <c r="CV167" s="112" t="str">
        <f>HYPERLINK("http://www.profamilia.de/fileadmin/publikationen/Erwachsene/mehrsprachig/Bro_Pille_danach_Faltblatt_140122_RZ.pdf","x")</f>
        <v>x</v>
      </c>
      <c r="CW167" s="112" t="str">
        <f>HYPERLINK("http://www.profamilia.de/fileadmin/publikationen/Reihe_Verhuetungsmethoden/Einleger_englisch.pdf","x")</f>
        <v>x</v>
      </c>
      <c r="CX167" s="112" t="str">
        <f>HYPERLINK("http://www.profamilia.de/fileadmin/publikationen/Reihe_Koerper_und_Sexualtitaet/Schwangerschaftsabbruch_englisch_2010.pdf","x")</f>
        <v>x</v>
      </c>
      <c r="CY167" s="112" t="str">
        <f>HYPERLINK("http://www.caritas-schwarzwald-alb-donau.de/68854.html","x")</f>
        <v>x</v>
      </c>
      <c r="CZ167" s="112" t="str">
        <f>HYPERLINK("http://www.dgfpi.de/tl_files/download/medien/unwissen-macht-en.pdf","x")</f>
        <v>x</v>
      </c>
      <c r="DA167" s="112"/>
      <c r="DB167" s="112"/>
      <c r="DC167" s="115" t="str">
        <f>HYPERLINK("http://www.kindersicherheit.de/pdf/2013_BAG_Tomi_and_Mila_Deutsch_English.pdf","x")</f>
        <v>x</v>
      </c>
      <c r="DD167" s="112"/>
      <c r="DE167" s="112"/>
      <c r="DF167" s="112" t="str">
        <f t="shared" si="65"/>
        <v>x</v>
      </c>
      <c r="DG167" s="115" t="str">
        <f t="shared" si="66"/>
        <v>x</v>
      </c>
      <c r="DH167" s="112" t="str">
        <f t="shared" si="67"/>
        <v>x</v>
      </c>
      <c r="DI167" s="112" t="str">
        <f t="shared" si="68"/>
        <v>x</v>
      </c>
      <c r="DJ167" s="112"/>
      <c r="DK167" s="112"/>
      <c r="DL167" s="112"/>
      <c r="DM167" s="112"/>
      <c r="DN167" s="112"/>
      <c r="DO167" s="112" t="str">
        <f>HYPERLINK("http://www.wdrmaus.de/sachgeschichten/maus-international/","x")</f>
        <v>x</v>
      </c>
      <c r="DP167" s="111"/>
      <c r="DQ167" s="111"/>
      <c r="DR167" s="112" t="str">
        <f>HYPERLINK("https://broschueren.nordrheinwestfalendirekt.de/broschuerenservice/msw/eng-das-schulsystem-in-nordrhein-westfalen-einfach-und-schnell-erklaert/1902","x")</f>
        <v>x</v>
      </c>
      <c r="DS167" s="112" t="str">
        <f>HYPERLINK("http://bildung.koeln.de/materialbibliothek/download.php?idx=8e2a9f658e9fa830ce17dc18f0fb0268","x")</f>
        <v>x</v>
      </c>
      <c r="DT167" s="112" t="str">
        <f>HYPERLINK("http://bildung.koeln.de/materialbibliothek/download.php?idx=90aff7e7259385cadb46c517317f1446","x")</f>
        <v>x</v>
      </c>
      <c r="DU167" s="112"/>
      <c r="DV167" s="112" t="str">
        <f>HYPERLINK("https://www.bmbf.de/pub/Kausa_Elternbroschuere_englisch.pdf","x")</f>
        <v>x</v>
      </c>
      <c r="DW167" s="112"/>
      <c r="DX167" s="112" t="str">
        <f>HYPERLINK("http://www.wissenschaft.nrw.de/studium/informieren/informationen-fuer-fluechtlinge-die-in-nrw-studieren-moechten/","x")</f>
        <v>x</v>
      </c>
      <c r="DY167" s="112" t="str">
        <f>HYPERLINK("http://www.bamf.de/SharedDocs/Anlagen/DE/Publikationen/Flyer/AnerkennungBerufsabschluss/berufliche_anerkennung_akademische-heilberufe_en.pdf?__blob=publicationFile","x")</f>
        <v>x</v>
      </c>
      <c r="DZ167" s="112" t="str">
        <f>HYPERLINK("http://www.bamf.de/SharedDocs/Anlagen/EN/Publikationen/Flyer/AnerkennungBerufsabschluss/anerkennung-berufsabschluss.pdf?__blob=publicationFile","x")</f>
        <v>x</v>
      </c>
      <c r="EA167" s="112" t="str">
        <f>HYPERLINK("http://www.bamf.de/SharedDocs/Anlagen/EN/Publikationen/Flyer/AnerkennungBerufsabschluss/anerkennung-berufsabschluss_ausland.pdf?__blob=publicationFile","x")</f>
        <v>x</v>
      </c>
      <c r="EB167" s="112" t="str">
        <f>HYPERLINK("http://www.bamf.de/SharedDocs/Anlagen/EN/Publikationen/Broschueren/willkommen-in-deutschland-info-blaue-karte-eu_en.pdf?__blob=publicationFile","x")</f>
        <v>x</v>
      </c>
      <c r="EC167" s="112" t="str">
        <f>HYPERLINK("http://www.bamf.de/SharedDocs/Anlagen/EN/Publikationen/Flyer/Berufsbezsprachf-ESF-BAMF/berufsbezsprachf-esf-bamf.pdf?__blob=publicationFile","x")</f>
        <v>x</v>
      </c>
      <c r="ED167" s="111"/>
      <c r="EE167" s="111"/>
      <c r="EF167" s="111"/>
      <c r="EG167" s="111"/>
      <c r="EH167" s="111"/>
      <c r="EI167" s="111"/>
      <c r="EJ167" s="112"/>
      <c r="EK167" s="112" t="str">
        <f>HYPERLINK("http://fluechtlingsrat-bw.de/files/Dateien/Dokumente/Materialbestellung/2014-12-flyer%20arbeitserlaubnis%20EN%20WEB.pdf","x")</f>
        <v>x</v>
      </c>
      <c r="EL167" s="112" t="str">
        <f>HYPERLINK("http://www.aponet.de/englisch/20151019-fuer-den-notfall-wichtige-rufnummern-im-ueberblick.html","x")</f>
        <v>x</v>
      </c>
      <c r="EM167" s="112" t="str">
        <f>HYPERLINK("http://www.kvs-sachsen.de/fileadmin/img/Mitglieder/Asylbewerber/Allg-Informationen/Anlage_1_Englisch_LEK.pdf","x")</f>
        <v>x</v>
      </c>
      <c r="EN167" s="112" t="str">
        <f>HYPERLINK("http://www.medizin-hilft-fluechtlingen.de/images/Dokumente/gSch/gSch_eng.pdf","x")</f>
        <v>x</v>
      </c>
      <c r="EO167" s="112" t="str">
        <f>HYPERLINK("http://www.aponet.de/englisch/medical-care-for-asylum-seekers.html","x")</f>
        <v>x</v>
      </c>
      <c r="EP167" s="117" t="str">
        <f t="shared" si="74"/>
        <v>x</v>
      </c>
      <c r="EQ167" s="117" t="str">
        <f>HYPERLINK("http://www.armut-gesundheit.de/fileadmin/redakteur/dokumente/Anamnesebogen%20-%20englischnew.pdf","x")</f>
        <v>x</v>
      </c>
      <c r="ER167" s="112" t="str">
        <f>HYPERLINK("http://www.kvs-sachsen.de/fileadmin/img/Mitglieder/Asylbewerber/Allg-Informationen/Anlagen_2-1_2-2_Englisch_LEK.pdf","x")</f>
        <v>x</v>
      </c>
      <c r="ES167" s="111"/>
      <c r="ET167" s="111"/>
      <c r="EU167" s="112" t="str">
        <f>HYPERLINK("http://www.medizin-hilft-fluechtlingen.de/images/Dokumente/ein/ein_engl.pdf","x")</f>
        <v>x</v>
      </c>
      <c r="EV167" s="112" t="str">
        <f>HYPERLINK("http://www.adler-apotheke-hh.de/fileadmin/user_upload/PDF-Dateien/Dosierzettel_mehrsprachig_AUF_0_.pdf","x")</f>
        <v>x</v>
      </c>
      <c r="EW167" s="112" t="str">
        <f t="shared" si="69"/>
        <v>x</v>
      </c>
      <c r="EX167" s="112" t="str">
        <f>HYPERLINK("http://www.rki.de/DE/Content/Infekt/IfSG/Belehrungsbogen/belehrungsbogen_eltern_englisch.pdf?__blob=publicationFile","x")</f>
        <v>x</v>
      </c>
      <c r="EY167" s="112" t="str">
        <f>HYPERLINK("http://www.bzga.de/infomaterialien/?sid=236","x")</f>
        <v>x</v>
      </c>
      <c r="EZ167" s="112" t="str">
        <f>HYPERLINK("https://www.mh-hannover.de/fileadmin/mhh/bilder/aktuelles_presse/pressestelle/bilder/Pilzvergif_English.pdf","x")</f>
        <v>x</v>
      </c>
      <c r="FA167" s="112"/>
      <c r="FB167" s="112" t="str">
        <f>HYPERLINK("http://static.apotheken-umschau.de/media/gp/article_506373/bildwoerterbuch.pdf","x")</f>
        <v>x</v>
      </c>
      <c r="FC167" s="112" t="str">
        <f>HYPERLINK("https://www.studentenwerke.de/sites/default/files/gesundheitswoerterbuch.pdf","x")</f>
        <v>x</v>
      </c>
      <c r="FD167" s="112" t="str">
        <f t="shared" si="70"/>
        <v>x</v>
      </c>
      <c r="FE167" s="112" t="str">
        <f>HYPERLINK("http://sghanstedt.elbnetz.com/ueber-uns/","x")</f>
        <v>x</v>
      </c>
      <c r="FF167" s="112" t="str">
        <f>HYPERLINK("http://www.fuhlenhagen.com/pdf_dateien/uebertzungshilfe_aerzte_mehrsprachig.pdf","x")</f>
        <v>x</v>
      </c>
      <c r="FG167" s="112" t="str">
        <f>HYPERLINK("http://www.tipdoc.de/grafik/asyl/Gesundheitsheft_Asyl.pdf","x")</f>
        <v>x</v>
      </c>
      <c r="FH167" s="111"/>
      <c r="FI167" s="111"/>
      <c r="FJ167" s="112" t="str">
        <f>HYPERLINK("http://www.bundesgesundheitsministerium.de/fileadmin/dateien/Publikationen/Gesundheit/Broschueren/Ratgeber_Asylsuchende/Ratgeber_Asylsuchende_engl.pdf","x")</f>
        <v>x</v>
      </c>
      <c r="FK167" s="112" t="str">
        <f>HYPERLINK("http://www.rki.de/DE/Content/Infekt/Impfen/Materialien/Downloads-Impfkalender/Impfkalender_Englisch.pdf?__blob=publicationFile","x")</f>
        <v>x</v>
      </c>
      <c r="FL167" s="112" t="str">
        <f>HYPERLINK("http://www.ethno-medizinisches-zentrum.de/images/PDF-Files/impfwegweiser_englisch_2013_online.pdf","x")</f>
        <v>x</v>
      </c>
      <c r="FM167" s="112"/>
      <c r="FN167" s="112" t="str">
        <f>HYPERLINK("http://www.rki.de/DE/Content/Infekt/Impfen/Materialien/Glossar-Downloads/glossar-de-englisch.pdf?__blob=publicationFile","x")</f>
        <v>x</v>
      </c>
      <c r="FO167" s="112" t="str">
        <f>HYPERLINK("http://www.euro.who.int/__data/assets/pdf_file/0005/160754/VPDs_Signs-symptoms-complications.pdf?ua=1","x")</f>
        <v>x</v>
      </c>
      <c r="FP167" s="112" t="str">
        <f>HYPERLINK("http://www.rki.de/DE/Content/Infekt/Impfen/Materialien/Downloads-MMR/MMR-Impfinfo-englisch.pdf?__blob=publicationFile","x")</f>
        <v>x</v>
      </c>
      <c r="FQ167" s="112" t="str">
        <f>HYPERLINK("http://www.rki.de/DE/Content/InfAZ/P/Polio/Ausbruch_Syrien/Informationsblatt_Polio_Englisch.pdf?__blob=publicationFile","x")</f>
        <v>x</v>
      </c>
      <c r="FR167" s="112" t="str">
        <f>HYPERLINK("http://www.rki.de/DE/Content/Infekt/Impfen/Materialien/Downloads_HepA/Aufklaerung_HAV-Impfung_Englisch.pdf?__blob=publicationFile","x")</f>
        <v>x</v>
      </c>
      <c r="FS167" s="112" t="str">
        <f>HYPERLINK("http://www.rki.de/DE/Content/Infekt/Impfen/Materialien/Downloads_Pneumokokken/Aufklaerung_Pneumo-Impfung_Englisch.pdf?__blob=publicationFile","x")</f>
        <v>x</v>
      </c>
      <c r="FT167" s="112" t="str">
        <f>HYPERLINK("http://www.rki.de/DE/Content/Infekt/Impfen/Materialien/Downloads-DTaPIPVHibHepB/DTaPIPVHibHepB-englisch.pdf?__blob=publicationFile","x")</f>
        <v>x</v>
      </c>
      <c r="FU167" s="112" t="str">
        <f>HYPERLINK("http://www.rki.de/DE/Content/Infekt/Impfen/Materialien/Downloads-Varizellen/Varizellen-Impfinfo-englisch.pdf;jsessionid=65B697F4EE7EDA8A1ED9E2C4CD6C74EC.2_cid363?__blob=publicationFile","x")</f>
        <v>x</v>
      </c>
      <c r="FV167" s="112" t="str">
        <f>HYPERLINK("http://www.rki.de/DE/Content/Infekt/Impfen/Materialien/Downloads-Tdap-IPV/Tdap-IPV-englisch.pdf?__blob=publicationFile","x")</f>
        <v>x</v>
      </c>
      <c r="FW167" s="112" t="str">
        <f>HYPERLINK("http://www.rki.de/DE/Content/Infekt/Impfen/Materialien/Downloads-Influenza_nasal/Influenza_nasal-englisch.pdf?__blob=publicationFile","x")</f>
        <v>x</v>
      </c>
      <c r="FX167" s="111"/>
      <c r="FY167" s="112"/>
      <c r="FZ167" s="112"/>
      <c r="GA167" s="111"/>
      <c r="GB167" s="111"/>
      <c r="GC167" s="111"/>
      <c r="GD167" s="112" t="str">
        <f>HYPERLINK("http://www.ethno-medizinisches-zentrum.de/images/PDF-Files/lf_diabete_englisch.pdf","x")</f>
        <v>x</v>
      </c>
      <c r="GE167" s="111"/>
      <c r="GF167" s="111"/>
      <c r="GG167" s="111"/>
      <c r="GH167" s="112"/>
      <c r="GI167" s="111"/>
      <c r="GJ167" s="111"/>
      <c r="GK167" s="112" t="str">
        <f>HYPERLINK("http://www.tipdoc.de/bus/pdf/hiv/HIV%20ESP_Webseite.pdf","x")</f>
        <v>x</v>
      </c>
      <c r="GL167" s="111"/>
      <c r="GM167" s="112" t="str">
        <f>HYPERLINK("http://www.rki.de/DE/Content/Infekt/Impfen/Materialien/Downloads-Influenza/Influenza-englisch.pdf?__blob=publicationFile","x")</f>
        <v>x</v>
      </c>
      <c r="GN167" s="111"/>
      <c r="GO167" s="112" t="str">
        <f>HYPERLINK("http://www.aponet.de/englisch/20151111-so-unterscheiden-sich-grippe-und-erkaeltung.html","x")</f>
        <v>x</v>
      </c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2" t="str">
        <f t="shared" si="71"/>
        <v>x</v>
      </c>
      <c r="HD167" s="112" t="str">
        <f>HYPERLINK("https://www.zahnaerzte-wl.de/images/_PDF-suche/KZV_ZÄK/ENDSTAND_Ankreuzbogen_Ich_verstehe.pdf","x")</f>
        <v>x</v>
      </c>
      <c r="HE167" s="112" t="str">
        <f>HYPERLINK("https://www.zahnaerzte-wl.de/images/_PDF-suche/KZV_ZÄK/Anschreiben_Patienten_englisch.pdf","x")</f>
        <v>x</v>
      </c>
      <c r="HF167" s="112" t="str">
        <f>HYPERLINK("https://www.zahnaerzte-wl.de/images/_PDF-suche/KZV_ZÄK/Fragebogen_englisch.pdf","x")</f>
        <v>x</v>
      </c>
      <c r="HG167" s="112" t="str">
        <f>HYPERLINK("https://www.zahnaerzte-wl.de/images/_PDF-suche/KZV_ZÄK/Patientenerhebungsbogen_englisch.pdf","x")</f>
        <v>x</v>
      </c>
      <c r="HH167" s="112"/>
      <c r="HI167" s="112" t="str">
        <f>HYPERLINK("http://www.bvkm.de/fileadmin/web_data/Behinderung_und_Migration_englisch_2014.pdf","x")</f>
        <v>x</v>
      </c>
      <c r="HJ167" s="112"/>
      <c r="HK167" s="112" t="str">
        <f>HYPERLINK("http://www.psychenet.de/en/mental-health/knowledge/depression.html","x")</f>
        <v>x</v>
      </c>
      <c r="HL167" s="111"/>
      <c r="HM167" s="112" t="str">
        <f>HYPERLINK("http://www.psychenet.de/en/mental-health/knowledge/psychoses.html","x")</f>
        <v>x</v>
      </c>
      <c r="HN167" s="112" t="str">
        <f>HYPERLINK("http://www.psychenet.de/en/mental-health/knowledge/somatoform-disorders.html","x")</f>
        <v>x</v>
      </c>
      <c r="HO167" s="112" t="str">
        <f>HYPERLINK("http://www.psychenet.de/en/mental-health/knowledge/anorexia.html","x")</f>
        <v>x</v>
      </c>
      <c r="HP167" s="112" t="str">
        <f>HYPERLINK("http://www.psychenet.de/en/mental-health/knowledge/bulimia.html","x")</f>
        <v>x</v>
      </c>
      <c r="HQ167" s="112" t="str">
        <f>HYPERLINK("http://www.psychenet.de/en/mental-health/knowledge/bipolar-disorder.html","x")</f>
        <v>x</v>
      </c>
      <c r="HR167" s="112" t="str">
        <f>HYPERLINK("http://www.psychenet.de/en/mental-health/knowledge/panic-and-agoraphobia.html","x")</f>
        <v>x</v>
      </c>
      <c r="HS167" s="112" t="str">
        <f>HYPERLINK("http://www.psychenet.de/en/mental-health/knowledge/social-phobia.html","x")</f>
        <v>x</v>
      </c>
      <c r="HT167" s="112" t="str">
        <f>HYPERLINK("http://www.psychenet.de/en/mental-health/knowledge/generalized-anxiety-disorder.html","x")</f>
        <v>x</v>
      </c>
      <c r="HU167" s="112"/>
      <c r="HV167" s="112" t="str">
        <f>HYPERLINK("http://www.psychenet.de/en/mental-health/knowledge/information-and-support.html","x")</f>
        <v>x</v>
      </c>
      <c r="HW167" s="112"/>
      <c r="HX167" s="112" t="str">
        <f>HYPERLINK("http://www.bkk-psychisch-gesund.de/fileadmin/user_upload/Dokumente/Versicherte/Broschueren/Wegweiser_Psychotherapie_englisch.pdf","x")</f>
        <v>x</v>
      </c>
      <c r="HY167" s="112" t="str">
        <f t="shared" si="72"/>
        <v>x</v>
      </c>
      <c r="HZ167" s="112" t="str">
        <f t="shared" si="73"/>
        <v>x</v>
      </c>
      <c r="IA167" s="112" t="str">
        <f>HYPERLINK("http://peacefulheart.se/wp-content/uploads/2012/02/TTT_English_2013.pdf","x")</f>
        <v>x</v>
      </c>
      <c r="IB167" s="112"/>
      <c r="IC167" s="112"/>
      <c r="ID167" s="112" t="str">
        <f>HYPERLINK("http://www.susannestein.de/VIA-online/trauma-picture-book.pdf","x")</f>
        <v>x</v>
      </c>
      <c r="IE167" s="112" t="str">
        <f>HYPERLINK("http://www.psychenet.de/en/mental-health/knowledge/alcohol-in-adolescence.html","x")</f>
        <v>x</v>
      </c>
      <c r="IF167" s="112"/>
      <c r="IG167" s="112"/>
      <c r="IH167" s="111"/>
      <c r="II167" s="112" t="str">
        <f>HYPERLINK("http://www.caritas.de/hilfeundberatung/onlineberatung/suchtberatung/haeufiggestelltefragensucht/haeufiggestelltefragen-sucht","x")</f>
        <v>x</v>
      </c>
      <c r="IJ167" s="112" t="str">
        <f>HYPERLINK("http://www.dhs.de/fileadmin/user_upload/pdf/Broschueren/Ein_Angebot_an_alle-Englisch.pdf","x")</f>
        <v>x</v>
      </c>
      <c r="IK167" s="112" t="str">
        <f>HYPERLINK("http://www.bamf.de/SharedDocs/Anlagen/EN/Publikationen/Flyer/Lassen-Sie-Sich-Beraten/lassen-sie-sich-beraten.pdf?__blob=publicationFile","x")</f>
        <v>x</v>
      </c>
      <c r="IL167" s="115" t="str">
        <f>HYPERLINK("http://www.bamf.de/SharedDocs/Anlagen/EN/Publikationen/Flyer/flyer-erstorientierung-asylsuchende.pdf?__blob=publicationFile","x")</f>
        <v>x</v>
      </c>
      <c r="IM167" s="112" t="str">
        <f>HYPERLINK("http://www.frnrw.de/index.php/inhaltliche-themen/arbeitshilfen/item/3710-erstinfos-fuer-asylsuchende","x")</f>
        <v>x</v>
      </c>
      <c r="IN167" s="112" t="str">
        <f>HYPERLINK("http://www.bamf.de/SharedDocs/Anlagen/EN/Publikationen/Broschueren/willkommen-in-deutschland.pdf;jsessionid=2D72CB108E4AC02BBB9659E7D9A589B2.1_cid368?__blob=publicationFile","x")</f>
        <v>x</v>
      </c>
      <c r="IO167" s="112"/>
      <c r="IP167" s="112"/>
      <c r="IQ167" s="112" t="str">
        <f>HYPERLINK("http://www.bamf.de/SharedDocs/Anlagen/EN/Publikationen/Flyer/Lernen-Sie-Deutsch/lernen-sie-deutsch.pdf?__blob=publicationFile","x")</f>
        <v>x</v>
      </c>
      <c r="IR167" s="112" t="str">
        <f>HYPERLINK("http://www.asyl.net/fileadmin/user_upload/redaktion/Dokumente/Arbeitshilfen/150910_Wie_l%C3%A4uft_ein_Asylverfahren_ab_%C3%9Cberblickstext_Englisch.pdf","x")</f>
        <v>x</v>
      </c>
      <c r="IS167" s="111"/>
      <c r="IT167" s="112" t="str">
        <f>HYPERLINK("http://www.bamf.de/SharedDocs/Anlagen/EN/Publikationen/Flyer/ablauf-asylverfahren.pdf;jsessionid=DBD4307960D761935FCC3E0325D459A1.1_cid294?__blob=publicationFile","x")</f>
        <v>x</v>
      </c>
      <c r="IU167" s="111"/>
      <c r="IV167" s="112" t="str">
        <f>HYPERLINK("http://www.asyl.net/fileadmin/user_upload/infoblatt_anhoerung/Infoblatt_2015_en_fin.pdf","x")</f>
        <v>x</v>
      </c>
      <c r="IW167" s="112"/>
      <c r="IX167" s="112" t="str">
        <f>HYPERLINK("http://www.berlin.de/labo/willkommen-in-berlin/service/downloads/artikel.273193.php","x")</f>
        <v>x</v>
      </c>
      <c r="IY167" s="112" t="str">
        <f>HYPERLINK("http://www.bamf.de/SharedDocs/Anlagen/EN/Publikationen/Broschueren/broschuere-eat-a4.pdf?__blob=publicationFile","x")</f>
        <v>x</v>
      </c>
      <c r="IZ167" s="111"/>
      <c r="JA167" s="112" t="str">
        <f>HYPERLINK("http://fluechtlingsrat-bw.de/informationen-fuer-fluechtlinge.html","x")</f>
        <v>x</v>
      </c>
      <c r="JB167" s="111"/>
      <c r="JC167" s="112" t="str">
        <f>HYPERLINK("http://www.bamf.de/SharedDocs/Anlagen/EN/Publikationen/Flyer/20150223_ura2_en.pdf?__blob=publicationFile","x")</f>
        <v>x</v>
      </c>
      <c r="JD167" s="111"/>
      <c r="JE167" s="112"/>
      <c r="JF167" s="112"/>
      <c r="JG167" s="112" t="str">
        <f>HYPERLINK("http://www.bamf.de/SharedDocs/Anlagen/EN/Publikationen/Flyer/Ehegattennachzug/ehegattennachzug.pdf?__blob=publicationFile","x")</f>
        <v>x</v>
      </c>
      <c r="JH167" s="112" t="str">
        <f>HYPERLINK("https://familyreunion-syria.diplo.de/webportal/index.html#start","x")</f>
        <v>x</v>
      </c>
      <c r="JI167" s="112" t="str">
        <f>HYPERLINK("http://ec.europa.eu/dgs/home-affairs/what-we-do/networks/european_migration_network/docs/emn-glossary-en-version.pdf","x")</f>
        <v>x</v>
      </c>
      <c r="JJ167" s="112"/>
      <c r="JK167" s="112" t="str">
        <f>HYPERLINK("https://www.arbeitsagentur.de/web/wcm/idc/groups/public/documents/webdatei/mdaw/mjgz/~edisp/l6019022dstbai784628.pdf?_ba.sid=L6019022DSTBAI784625","x")</f>
        <v>x</v>
      </c>
      <c r="JL167" s="112" t="str">
        <f>HYPERLINK("http://www.kub-berlin.org/formularprojekt/de/englisch-antraege-und-anlagen-uebersetzungshilfen/","x")</f>
        <v>x</v>
      </c>
      <c r="JM167" s="112" t="str">
        <f>HYPERLINK("https://www.arbeitsagentur.de/web/content/DE/Formulare/Detail/index.htm?dfContentId=L6019022DSTBAI485740","x")</f>
        <v>x</v>
      </c>
      <c r="JN167" s="112"/>
      <c r="JO167" s="112"/>
      <c r="JP167" s="112"/>
      <c r="JQ167" s="112"/>
      <c r="JR167" s="112" t="str">
        <f>HYPERLINK("http://www.ibla-germany.de/merkblaetter.php","x")</f>
        <v>x</v>
      </c>
      <c r="JS167" s="112"/>
      <c r="JT167" s="112" t="str">
        <f>HYPERLINK("http://www.b-umf.de/images/willkommen/willkommensbroschureenglisch-web.pdf","x")</f>
        <v>x</v>
      </c>
      <c r="JU167" s="111"/>
      <c r="JV167" s="111"/>
      <c r="JW167" s="112"/>
      <c r="JX167" s="112" t="str">
        <f>HYPERLINK("https://www.arbeitsagentur.de/web/wcm/idc/groups/public/documents/webdatei/mdaw/mjgz/~edisp/l6019022dstbai784636.pdf?_ba.sid=L6019022DSTBAI784633","x")</f>
        <v>x</v>
      </c>
      <c r="JY167" s="112"/>
      <c r="JZ167" s="112"/>
      <c r="KA167" s="112"/>
      <c r="KB167" s="112" t="str">
        <f>HYPERLINK("http://www.refugeeguide.de/dl/RefugeeGuide_en_925.pdf","x")</f>
        <v>x</v>
      </c>
      <c r="KC167" s="112" t="str">
        <f>HYPERLINK("http://www.gesetze-im-internet.de/englisch_gg/basic_law_for_the_federal_republic_of_germany.pdf","x")</f>
        <v>x</v>
      </c>
      <c r="KD167" s="112" t="str">
        <f>HYPERLINK("http://www.wedel.de/fileadmin/user_upload/media/pdf/Rathaus_und_Politik/20160118_PM_Broschuere.pdf","x")</f>
        <v>x</v>
      </c>
      <c r="KE167" s="112" t="str">
        <f>HYPERLINK("http://www.frauenrechte.de/online/images/downloads/allgemein/TDF_Flyer_Women_Men.pdf","x")</f>
        <v>x</v>
      </c>
      <c r="KF167" s="112" t="str">
        <f>HYPERLINK("http://sab.landtag.sachsen.de/dokumente/landtagskurier/Grundwerte-A5-international_web_08012016.pdf","x")</f>
        <v>x</v>
      </c>
      <c r="KG167" s="112"/>
      <c r="KH167" s="112"/>
      <c r="KI167" s="112"/>
      <c r="KJ167" s="112"/>
      <c r="KK167" s="112"/>
      <c r="KL167" s="112"/>
      <c r="KM167" s="112"/>
      <c r="KN167" s="112"/>
      <c r="KO167" s="112"/>
      <c r="KP167" s="112"/>
      <c r="KQ167" s="112"/>
      <c r="KR167" s="112"/>
      <c r="KS167" s="112"/>
      <c r="KT167" s="112"/>
      <c r="KU167" s="112"/>
      <c r="KV167" s="112"/>
      <c r="KW167" s="112"/>
      <c r="KX167" s="112"/>
      <c r="KY167" s="112"/>
      <c r="KZ167" s="112"/>
      <c r="LA167" s="112"/>
      <c r="LB167" s="112"/>
      <c r="LC167" s="111"/>
      <c r="LD167" s="112"/>
      <c r="LE167" s="112"/>
      <c r="LF167" s="112"/>
      <c r="LG167" s="112"/>
      <c r="LH167" s="112"/>
      <c r="LI167" s="112"/>
      <c r="LJ167" s="112"/>
      <c r="LK167" s="112"/>
      <c r="LL167" s="112"/>
      <c r="LM167" s="112"/>
      <c r="LN167" s="112"/>
      <c r="LO167" s="112"/>
      <c r="LP167" s="112"/>
      <c r="LQ167" s="112"/>
      <c r="LR167" s="112"/>
      <c r="LS167" s="112"/>
      <c r="LT167" s="112"/>
      <c r="LU167" s="112"/>
      <c r="LV167" s="112"/>
      <c r="LW167" s="112"/>
      <c r="LX167" s="112"/>
      <c r="LY167" s="112"/>
      <c r="LZ167" s="112"/>
      <c r="MA167" s="112"/>
      <c r="MB167" s="112"/>
      <c r="MC167" s="111"/>
      <c r="MD167" s="112" t="str">
        <f>HYPERLINK("http://www.rki.de/DE/Content/Infekt/IfSG/Belehrungsbogen/belehrungsbogen_lebensmittel_englisch.pdf?__blob=publicationFile","x")</f>
        <v>x</v>
      </c>
      <c r="ME167" s="112"/>
      <c r="MF167" s="112" t="str">
        <f>HYPERLINK("http://www.gdv.de/wp-content/uploads/2016/01/Information_Brandschutz_Fluechtlingsheim_-Sicherheit_mehrsprachig.pdf","x")</f>
        <v>x</v>
      </c>
      <c r="MG167" s="112" t="str">
        <f>HYPERLINK("http://www.gdv.de/wp-content/uploads/2016/01/Information_Verhalten-im-Brandfall_mehrsprachig.pdf","x")</f>
        <v>x</v>
      </c>
      <c r="MH167" s="112" t="str">
        <f>HYPERLINK("http://www.aha-region.de/fileadmin/Download/pdf/aha_Plakat_Muelltrennung_en.pdf","x")</f>
        <v>x</v>
      </c>
      <c r="MI167" s="112" t="str">
        <f>HYPERLINK("http://www.kindersicherheit.de/pdf/2012_poster_achtunggiftig_8sprachig.pdf","x")</f>
        <v>x</v>
      </c>
    </row>
    <row r="168" spans="1:347" x14ac:dyDescent="0.25">
      <c r="A168" s="102" t="s">
        <v>391</v>
      </c>
      <c r="B168" s="127" t="s">
        <v>490</v>
      </c>
      <c r="C168" s="102"/>
      <c r="D168" s="102"/>
      <c r="E168" s="102"/>
      <c r="F168" s="102"/>
      <c r="G168" s="102"/>
      <c r="H168" s="102"/>
      <c r="I168" s="102"/>
      <c r="J168" s="102"/>
      <c r="K168" s="103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2"/>
      <c r="AP168" s="112"/>
      <c r="AQ168" s="112"/>
      <c r="AR168" s="112"/>
      <c r="AS168" s="112"/>
      <c r="AT168" s="112"/>
      <c r="AU168" s="112"/>
      <c r="AV168" s="113"/>
      <c r="AW168" s="114" t="str">
        <f t="shared" si="55"/>
        <v>x</v>
      </c>
      <c r="AX168" s="114" t="str">
        <f t="shared" si="56"/>
        <v>x</v>
      </c>
      <c r="AY168" s="111"/>
      <c r="AZ168" s="111"/>
      <c r="BA168" s="112" t="str">
        <f t="shared" si="57"/>
        <v>x</v>
      </c>
      <c r="BB168" s="112" t="str">
        <f t="shared" si="58"/>
        <v>x</v>
      </c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2" t="str">
        <f t="shared" si="59"/>
        <v>x</v>
      </c>
      <c r="BT168" s="112"/>
      <c r="BU168" s="111"/>
      <c r="BV168" s="112" t="str">
        <f t="shared" si="60"/>
        <v>x</v>
      </c>
      <c r="BW168" s="112" t="str">
        <f>HYPERLINK("http://www.welcomegrooves.de/wp-content/uploads/2015/10/welcomegrooves_DE-KISWAHILI.pdf","x")</f>
        <v>x</v>
      </c>
      <c r="BX168" s="112"/>
      <c r="BY168" s="112"/>
      <c r="BZ168" s="112"/>
      <c r="CA168" s="112" t="str">
        <f t="shared" si="61"/>
        <v>x</v>
      </c>
      <c r="CB168" s="112" t="str">
        <f t="shared" si="62"/>
        <v>x</v>
      </c>
      <c r="CC168" s="112" t="str">
        <f t="shared" si="63"/>
        <v>x</v>
      </c>
      <c r="CD168" s="112"/>
      <c r="CE168" s="112"/>
      <c r="CF168" s="111"/>
      <c r="CG168" s="111"/>
      <c r="CH168" s="111"/>
      <c r="CI168" s="111"/>
      <c r="CJ168" s="112"/>
      <c r="CK168" s="112" t="str">
        <f t="shared" si="64"/>
        <v>x</v>
      </c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5"/>
      <c r="DD168" s="112"/>
      <c r="DE168" s="112"/>
      <c r="DF168" s="112" t="str">
        <f t="shared" si="65"/>
        <v>x</v>
      </c>
      <c r="DG168" s="115" t="str">
        <f t="shared" si="66"/>
        <v>x</v>
      </c>
      <c r="DH168" s="112" t="str">
        <f t="shared" si="67"/>
        <v>x</v>
      </c>
      <c r="DI168" s="112" t="str">
        <f t="shared" si="68"/>
        <v>x</v>
      </c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2"/>
      <c r="DV168" s="111"/>
      <c r="DW168" s="111"/>
      <c r="DX168" s="111"/>
      <c r="DY168" s="111"/>
      <c r="DZ168" s="111"/>
      <c r="EA168" s="111"/>
      <c r="EB168" s="112"/>
      <c r="EC168" s="112"/>
      <c r="ED168" s="111"/>
      <c r="EE168" s="111"/>
      <c r="EF168" s="111"/>
      <c r="EG168" s="111"/>
      <c r="EH168" s="111"/>
      <c r="EI168" s="111"/>
      <c r="EJ168" s="112"/>
      <c r="EK168" s="112"/>
      <c r="EL168" s="111"/>
      <c r="EM168" s="112"/>
      <c r="EN168" s="112"/>
      <c r="EO168" s="111"/>
      <c r="EP168" s="117"/>
      <c r="EQ168" s="118"/>
      <c r="ER168" s="112"/>
      <c r="ES168" s="111"/>
      <c r="ET168" s="111"/>
      <c r="EU168" s="111"/>
      <c r="EV168" s="111"/>
      <c r="EW168" s="112" t="str">
        <f t="shared" si="69"/>
        <v>x</v>
      </c>
      <c r="EX168" s="111"/>
      <c r="EY168" s="111"/>
      <c r="EZ168" s="111"/>
      <c r="FA168" s="111"/>
      <c r="FB168" s="111"/>
      <c r="FC168" s="111"/>
      <c r="FD168" s="112" t="str">
        <f t="shared" si="70"/>
        <v>x</v>
      </c>
      <c r="FE168" s="112"/>
      <c r="FF168" s="111"/>
      <c r="FG168" s="111"/>
      <c r="FH168" s="111"/>
      <c r="FI168" s="111"/>
      <c r="FJ168" s="112"/>
      <c r="FK168" s="112"/>
      <c r="FL168" s="111"/>
      <c r="FM168" s="111"/>
      <c r="FN168" s="112"/>
      <c r="FO168" s="112"/>
      <c r="FP168" s="112"/>
      <c r="FQ168" s="111"/>
      <c r="FR168" s="112"/>
      <c r="FS168" s="112"/>
      <c r="FT168" s="112"/>
      <c r="FU168" s="112"/>
      <c r="FV168" s="112"/>
      <c r="FW168" s="112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2"/>
      <c r="GI168" s="111"/>
      <c r="GJ168" s="111"/>
      <c r="GK168" s="111"/>
      <c r="GL168" s="111"/>
      <c r="GM168" s="112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2" t="str">
        <f t="shared" si="71"/>
        <v>x</v>
      </c>
      <c r="HD168" s="111"/>
      <c r="HE168" s="111"/>
      <c r="HF168" s="111"/>
      <c r="HG168" s="111"/>
      <c r="HH168" s="111"/>
      <c r="HI168" s="111"/>
      <c r="HJ168" s="111"/>
      <c r="HK168" s="112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2" t="str">
        <f t="shared" si="72"/>
        <v>x</v>
      </c>
      <c r="HZ168" s="112" t="str">
        <f t="shared" si="73"/>
        <v>x</v>
      </c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2"/>
      <c r="IL168" s="111"/>
      <c r="IM168" s="111"/>
      <c r="IN168" s="111"/>
      <c r="IO168" s="111"/>
      <c r="IP168" s="111"/>
      <c r="IQ168" s="112"/>
      <c r="IR168" s="112"/>
      <c r="IS168" s="111"/>
      <c r="IT168" s="111"/>
      <c r="IU168" s="111"/>
      <c r="IV168" s="112"/>
      <c r="IW168" s="112"/>
      <c r="IX168" s="112"/>
      <c r="IY168" s="112"/>
      <c r="IZ168" s="111"/>
      <c r="JA168" s="111"/>
      <c r="JB168" s="111"/>
      <c r="JC168" s="112"/>
      <c r="JD168" s="111"/>
      <c r="JE168" s="112"/>
      <c r="JF168" s="112"/>
      <c r="JG168" s="112"/>
      <c r="JH168" s="112"/>
      <c r="JI168" s="111"/>
      <c r="JJ168" s="112"/>
      <c r="JK168" s="112"/>
      <c r="JL168" s="112"/>
      <c r="JM168" s="112"/>
      <c r="JN168" s="112"/>
      <c r="JO168" s="112"/>
      <c r="JP168" s="112"/>
      <c r="JQ168" s="112"/>
      <c r="JR168" s="112"/>
      <c r="JS168" s="112"/>
      <c r="JT168" s="112"/>
      <c r="JU168" s="111"/>
      <c r="JV168" s="111"/>
      <c r="JW168" s="112"/>
      <c r="JX168" s="112"/>
      <c r="JY168" s="111"/>
      <c r="JZ168" s="111"/>
      <c r="KA168" s="111"/>
      <c r="KB168" s="111"/>
      <c r="KC168" s="111"/>
      <c r="KD168" s="111"/>
      <c r="KE168" s="112" t="str">
        <f>HYPERLINK("http://www.frauenrechte.de/online/images/downloads/allgemein/TDF_Flyer_Women_Men.pdf","x")</f>
        <v>x</v>
      </c>
      <c r="KF168" s="112"/>
      <c r="KG168" s="111"/>
      <c r="KH168" s="111"/>
      <c r="KI168" s="111"/>
      <c r="KJ168" s="111"/>
      <c r="KK168" s="111"/>
      <c r="KL168" s="111"/>
      <c r="KM168" s="111"/>
      <c r="KN168" s="111"/>
      <c r="KO168" s="111"/>
      <c r="KP168" s="111"/>
      <c r="KQ168" s="111"/>
      <c r="KR168" s="111"/>
      <c r="KS168" s="111"/>
      <c r="KT168" s="111"/>
      <c r="KU168" s="111"/>
      <c r="KV168" s="111"/>
      <c r="KW168" s="111"/>
      <c r="KX168" s="111"/>
      <c r="KY168" s="111"/>
      <c r="KZ168" s="111"/>
      <c r="LA168" s="111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  <c r="MI168" s="111"/>
    </row>
    <row r="169" spans="1:347" x14ac:dyDescent="0.25">
      <c r="A169" s="102" t="s">
        <v>58</v>
      </c>
      <c r="B169" s="127" t="s">
        <v>0</v>
      </c>
      <c r="C169" s="102"/>
      <c r="D169" s="102"/>
      <c r="E169" s="102"/>
      <c r="F169" s="102"/>
      <c r="G169" s="102"/>
      <c r="H169" s="102"/>
      <c r="I169" s="102"/>
      <c r="J169" s="102"/>
      <c r="K169" s="103"/>
      <c r="L169" s="111"/>
      <c r="M169" s="111"/>
      <c r="N169" s="111"/>
      <c r="O169" s="111"/>
      <c r="P169" s="112" t="str">
        <f>HYPERLINK("https://willkommensteamelmshorn.files.wordpress.com/2015/11/sortieranleitung_pinneberg_2015_albanisch.pdf","x")</f>
        <v>x</v>
      </c>
      <c r="Q169" s="111"/>
      <c r="R169" s="111"/>
      <c r="S169" s="111"/>
      <c r="T169" s="111"/>
      <c r="U169" s="111"/>
      <c r="V169" s="111"/>
      <c r="W169" s="112"/>
      <c r="X169" s="111"/>
      <c r="Y169" s="112"/>
      <c r="Z169" s="112"/>
      <c r="AA169" s="112"/>
      <c r="AB169" s="112"/>
      <c r="AC169" s="112"/>
      <c r="AD169" s="112"/>
      <c r="AE169" s="112"/>
      <c r="AF169" s="112"/>
      <c r="AG169" s="112" t="str">
        <f>HYPERLINK("http://asyl-in-moenchengladbach.de/wp-content/uploads/2015/11/100711-Flyer_alban.pdf","x")</f>
        <v>x</v>
      </c>
      <c r="AH169" s="111"/>
      <c r="AI169" s="111"/>
      <c r="AJ169" s="111"/>
      <c r="AK169" s="111"/>
      <c r="AL169" s="111"/>
      <c r="AM169" s="111"/>
      <c r="AN169" s="111"/>
      <c r="AO169" s="112"/>
      <c r="AP169" s="112"/>
      <c r="AQ169" s="112"/>
      <c r="AR169" s="112"/>
      <c r="AS169" s="112"/>
      <c r="AT169" s="112"/>
      <c r="AU169" s="112"/>
      <c r="AV169" s="113"/>
      <c r="AW169" s="114" t="str">
        <f t="shared" si="55"/>
        <v>x</v>
      </c>
      <c r="AX169" s="114" t="str">
        <f t="shared" si="56"/>
        <v>x</v>
      </c>
      <c r="AY169" s="111"/>
      <c r="AZ169" s="111"/>
      <c r="BA169" s="112" t="str">
        <f t="shared" si="57"/>
        <v>x</v>
      </c>
      <c r="BB169" s="112" t="str">
        <f t="shared" si="58"/>
        <v>x</v>
      </c>
      <c r="BC169" s="111"/>
      <c r="BD169" s="111"/>
      <c r="BE169" s="111"/>
      <c r="BF169" s="111"/>
      <c r="BG169" s="111"/>
      <c r="BH169" s="111"/>
      <c r="BI169" s="112" t="str">
        <f>HYPERLINK("https://www.advanced-online.eu/downloads/RefugeePhrasebookCards_German-Albanian.pdf","x")</f>
        <v>x</v>
      </c>
      <c r="BJ169" s="111"/>
      <c r="BK169" s="111"/>
      <c r="BL169" s="112" t="str">
        <f>HYPERLINK("http://www.bundessprachenamt.de/deutsch/wir_ueber_uns/nachrichten/2015/20151103/Verständigungshilfe_Albanisch_26_11_2015.pdf","x")</f>
        <v>x</v>
      </c>
      <c r="BM169" s="112" t="str">
        <f>HYPERLINK("http://www.frnrw.de/images/Aus_den_Initiativen/Ehrenamtler/2015/Dictionary_x10_print-2.pdf","x")</f>
        <v>x</v>
      </c>
      <c r="BN169" s="111"/>
      <c r="BO169" s="111"/>
      <c r="BP169" s="111"/>
      <c r="BQ169" s="111"/>
      <c r="BR169" s="111"/>
      <c r="BS169" s="112" t="str">
        <f t="shared" si="59"/>
        <v>x</v>
      </c>
      <c r="BT169" s="112"/>
      <c r="BU169" s="111"/>
      <c r="BV169" s="112" t="str">
        <f t="shared" si="60"/>
        <v>x</v>
      </c>
      <c r="BW169" s="112" t="str">
        <f>HYPERLINK("http://www.welcomegrooves.de/wp-content/uploads/2015/10/welcomegrooves_DE-ALBANISCH.pdf","x")</f>
        <v>x</v>
      </c>
      <c r="BX169" s="112"/>
      <c r="BY169" s="112"/>
      <c r="BZ169" s="112" t="str">
        <f>HYPERLINK("http://fluechtlingshilfe-nettetal.de/ausbildung/video-sprachkurse-deutsch-fuer-fluechtlinge/video-sprachkurs-albanisch-deutsch/","x")</f>
        <v>x</v>
      </c>
      <c r="CA169" s="112" t="str">
        <f t="shared" si="61"/>
        <v>x</v>
      </c>
      <c r="CB169" s="112" t="str">
        <f t="shared" si="62"/>
        <v>x</v>
      </c>
      <c r="CC169" s="112" t="str">
        <f t="shared" si="63"/>
        <v>x</v>
      </c>
      <c r="CD169" s="112"/>
      <c r="CE169" s="112"/>
      <c r="CF169" s="111"/>
      <c r="CG169" s="111"/>
      <c r="CH169" s="111"/>
      <c r="CI169" s="111"/>
      <c r="CJ169" s="111"/>
      <c r="CK169" s="112" t="str">
        <f t="shared" si="64"/>
        <v>x</v>
      </c>
      <c r="CL169" s="112"/>
      <c r="CM169" s="112"/>
      <c r="CN169" s="112"/>
      <c r="CO169" s="112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2"/>
      <c r="DA169" s="112" t="str">
        <f>HYPERLINK("http://sichere-orte-schaffen.de/wp-content/uploads/Minibrosch_Fluechtlinge_multilang.pdf","x")</f>
        <v>x</v>
      </c>
      <c r="DB169" s="112"/>
      <c r="DC169" s="115"/>
      <c r="DD169" s="112"/>
      <c r="DE169" s="112"/>
      <c r="DF169" s="112" t="str">
        <f t="shared" si="65"/>
        <v>x</v>
      </c>
      <c r="DG169" s="115" t="str">
        <f t="shared" si="66"/>
        <v>x</v>
      </c>
      <c r="DH169" s="112" t="str">
        <f t="shared" si="67"/>
        <v>x</v>
      </c>
      <c r="DI169" s="112" t="str">
        <f t="shared" si="68"/>
        <v>x</v>
      </c>
      <c r="DJ169" s="112" t="str">
        <f>HYPERLINK("http://www.bibliomedia.ch/de/angebote/dokumente/Glossar_albanisch.pdf","x")</f>
        <v>x</v>
      </c>
      <c r="DK169" s="112"/>
      <c r="DL169" s="112"/>
      <c r="DM169" s="112"/>
      <c r="DN169" s="112"/>
      <c r="DO169" s="112"/>
      <c r="DP169" s="111"/>
      <c r="DQ169" s="111"/>
      <c r="DR169" s="111"/>
      <c r="DS169" s="112" t="str">
        <f>HYPERLINK("http://bildung.koeln.de/materialbibliothek/download.php?idx=00d90bf2e613ea68bb3a6eb10941e749","x")</f>
        <v>x</v>
      </c>
      <c r="DT169" s="112" t="str">
        <f>HYPERLINK("http://bildung.koeln.de/materialbibliothek/download.php?idx=7fe9bcc33373e31f48b8dc613c66ad26","x")</f>
        <v>x</v>
      </c>
      <c r="DU169" s="112"/>
      <c r="DV169" s="111"/>
      <c r="DW169" s="111"/>
      <c r="DX169" s="111"/>
      <c r="DY169" s="111"/>
      <c r="DZ169" s="111"/>
      <c r="EA169" s="111"/>
      <c r="EB169" s="112"/>
      <c r="EC169" s="111"/>
      <c r="ED169" s="111"/>
      <c r="EE169" s="111"/>
      <c r="EF169" s="111"/>
      <c r="EG169" s="111"/>
      <c r="EH169" s="111"/>
      <c r="EI169" s="111"/>
      <c r="EJ169" s="112"/>
      <c r="EK169" s="112"/>
      <c r="EL169" s="111"/>
      <c r="EM169" s="112" t="str">
        <f>HYPERLINK("http://www.kvs-sachsen.de/fileadmin/img/Mitglieder/Asylbewerber/Allg-Informationen/Anlage_1_Albanisch_LEK.pdf","x")</f>
        <v>x</v>
      </c>
      <c r="EN169" s="111"/>
      <c r="EO169" s="111"/>
      <c r="EP169" s="117" t="str">
        <f>HYPERLINK("http://www.medi-bild.de/pdf/anamnese/Welche_Sprache.pdf","x")</f>
        <v>x</v>
      </c>
      <c r="EQ169" s="118"/>
      <c r="ER169" s="112" t="str">
        <f>HYPERLINK("http://www.kvs-sachsen.de/fileadmin/img/Mitglieder/Asylbewerber/Allg-Informationen/Anlagen_2-1_2-2_Albanisch_LEK.pdf","x")</f>
        <v>x</v>
      </c>
      <c r="ES169" s="112"/>
      <c r="ET169" s="112"/>
      <c r="EU169" s="111"/>
      <c r="EV169" s="112" t="str">
        <f>HYPERLINK("http://www.adler-apotheke-hh.de/fileadmin/user_upload/PDF-Dateien/Dosierzettel_mehrsprachig_AUF_0_.pdf","x")</f>
        <v>x</v>
      </c>
      <c r="EW169" s="112" t="str">
        <f t="shared" si="69"/>
        <v>x</v>
      </c>
      <c r="EX169" s="111"/>
      <c r="EY169" s="111"/>
      <c r="EZ169" s="111"/>
      <c r="FA169" s="111"/>
      <c r="FB169" s="111"/>
      <c r="FC169" s="111"/>
      <c r="FD169" s="112" t="str">
        <f t="shared" si="70"/>
        <v>x</v>
      </c>
      <c r="FE169" s="112" t="str">
        <f>HYPERLINK("http://sghanstedt.elbnetz.com/ueber-uns/","x")</f>
        <v>x</v>
      </c>
      <c r="FF169" s="112" t="str">
        <f>HYPERLINK("http://www.fuhlenhagen.com/pdf_dateien/uebertzungshilfe_aerzte_mehrsprachig.pdf","x")</f>
        <v>x</v>
      </c>
      <c r="FG169" s="112" t="str">
        <f>HYPERLINK("http://www.tipdoc.de/grafik/asyl/Gesundheitsheft_Asyl.pdf","x")</f>
        <v>x</v>
      </c>
      <c r="FH169" s="111"/>
      <c r="FI169" s="111"/>
      <c r="FJ169" s="112"/>
      <c r="FK169" s="112" t="str">
        <f>HYPERLINK("http://www.rki.de/DE/Content/Infekt/Impfen/Materialien/Downloads-Impfkalender/Impfkalender_Albanisch.pdf?__blob=publicationFile","x")</f>
        <v>x</v>
      </c>
      <c r="FL169" s="112" t="str">
        <f>HYPERLINK("http://www.ethno-medizinisches-zentrum.de/images/PDF-Files/impfwegweiser_albanisch_2013_online.pdf","x")</f>
        <v>x</v>
      </c>
      <c r="FM169" s="112"/>
      <c r="FN169" s="112" t="str">
        <f>HYPERLINK("http://www.rki.de/DE/Content/Infekt/Impfen/Materialien/Glossar-Downloads/glossar-de-albanisch.pdf?__blob=publicationFile","x")</f>
        <v>x</v>
      </c>
      <c r="FO169" s="112"/>
      <c r="FP169" s="112" t="str">
        <f>HYPERLINK("http://www.rki.de/DE/Content/Infekt/Impfen/Materialien/Downloads-MMR/MMR-Impfinfo-albanisch.pdf?__blob=publicationFile","x")</f>
        <v>x</v>
      </c>
      <c r="FQ169" s="111"/>
      <c r="FR169" s="112" t="str">
        <f>HYPERLINK("http://www.rki.de/DE/Content/Infekt/Impfen/Materialien/Downloads_HepA/Aufklaerung_HAV-Impfung_albanisch.pdf?__blob=publicationFile","x")</f>
        <v>x</v>
      </c>
      <c r="FS169" s="112" t="str">
        <f>HYPERLINK("http://www.rki.de/DE/Content/Infekt/Impfen/Materialien/Downloads_Pneumokokken/Aufklaerung_Pneumo-Impfung_Albanisch.pdf?__blob=publicationFile","x")</f>
        <v>x</v>
      </c>
      <c r="FT169" s="112" t="str">
        <f>HYPERLINK("http://www.rki.de/DE/Content/Infekt/Impfen/Materialien/Downloads-DTaPIPVHibHepB/DTaPIPVHibHepB_albanisch.pdf?__blob=publicationFile","x")</f>
        <v>x</v>
      </c>
      <c r="FU16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69" s="112" t="str">
        <f>HYPERLINK("http://www.rki.de/DE/Content/Infekt/Impfen/Materialien/Downloads-Tdap-IPV/Tdap-IPV-albanisch.pdf?__blob=publicationFile","x")</f>
        <v>x</v>
      </c>
      <c r="FW169" s="112" t="str">
        <f>HYPERLINK("http://www.rki.de/DE/Content/Infekt/Impfen/Materialien/Downloads-Influenza_nasal/Influenza_nasal-albanisch.pdf?__blob=publicationFile","x")</f>
        <v>x</v>
      </c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2" t="str">
        <f>HYPERLINK("http://www.rki.de/DE/Content/Infekt/Impfen/Materialien/Downloads-Influenza/Influenza-albanisch.pdf?__blob=publicationFile","x")</f>
        <v>x</v>
      </c>
      <c r="GN169" s="111"/>
      <c r="GO169" s="111"/>
      <c r="GP169" s="112" t="str">
        <f>HYPERLINK("http://www.tipdoc.de/grafik/pdf/kopflaeuse/Kopflaeuse_ALBAN.pdf","x")</f>
        <v>x</v>
      </c>
      <c r="GQ169" s="112"/>
      <c r="GR169" s="112" t="str">
        <f>HYPERLINK("http://www.tipdoc.com/bus/pdf/kraetze/tipdoc_Scabies_ALBAN.pdf","x")</f>
        <v>x</v>
      </c>
      <c r="GS169" s="112" t="str">
        <f>HYPERLINK("http://www.tipdoc.com/bus/pdf/MagenDarmHaende/MagenDarmHaende_ALBAN.pdf","x")</f>
        <v>x</v>
      </c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2" t="str">
        <f t="shared" si="71"/>
        <v>x</v>
      </c>
      <c r="HD169" s="112" t="str">
        <f>HYPERLINK("https://www.zahnaerzte-wl.de/images/_PDF-suche/KZV_ZÄK/ENDSTAND_Ankreuzbogen_Ich_verstehe.pdf","x")</f>
        <v>x</v>
      </c>
      <c r="HE169" s="112" t="str">
        <f>HYPERLINK("https://www.zahnaerzte-wl.de/images/_PDF-suche/KZV_ZÄK/Anschreiben_albanisch.pdf","x")</f>
        <v>x</v>
      </c>
      <c r="HF169" s="112" t="str">
        <f>HYPERLINK("https://www.zahnaerzte-wl.de/images/_PDF-suche/KZV_ZÄK/Fragebogen_albanisch.pdf","x")</f>
        <v>x</v>
      </c>
      <c r="HG169" s="112" t="str">
        <f>HYPERLINK("https://www.zahnaerzte-wl.de/images/_PDF-suche/KZV_ZÄK/Fragebogen_albanisch.pdf","x")</f>
        <v>x</v>
      </c>
      <c r="HH169" s="112"/>
      <c r="HI169" s="112"/>
      <c r="HJ169" s="112"/>
      <c r="HK169" s="112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2" t="str">
        <f t="shared" si="72"/>
        <v>x</v>
      </c>
      <c r="HZ169" s="112" t="str">
        <f t="shared" si="73"/>
        <v>x</v>
      </c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2"/>
      <c r="IL169" s="111"/>
      <c r="IM169" s="111"/>
      <c r="IN169" s="111"/>
      <c r="IO169" s="111"/>
      <c r="IP169" s="111"/>
      <c r="IQ169" s="112"/>
      <c r="IR169" s="112"/>
      <c r="IS169" s="111"/>
      <c r="IT169" s="111"/>
      <c r="IU169" s="111"/>
      <c r="IV169" s="112" t="str">
        <f>HYPERLINK("http://www.asyl.net/fileadmin/user_upload/infoblatt_anhoerung/Infoblatt_2015_alb_fin.pdf","x")</f>
        <v>x</v>
      </c>
      <c r="IW169" s="112"/>
      <c r="IX169" s="112"/>
      <c r="IY169" s="112" t="str">
        <f>HYPERLINK("http://www.bamf.de/SharedDocs/Anlagen/DE/Publikationen/Broschueren/broschuere-eat-a4-sq-albanisch.pdf?__blob=publicationFile","x")</f>
        <v>x</v>
      </c>
      <c r="IZ169" s="111"/>
      <c r="JA169" s="111"/>
      <c r="JB169" s="111"/>
      <c r="JC169" s="112" t="str">
        <f>HYPERLINK("http://www.bamf.de/SharedDocs/Anlagen/DE/Publikationen/Flyer/20140110_ura2-kinderprojekt_alb.pdf?__blob=publicationFile","x")</f>
        <v>x</v>
      </c>
      <c r="JD169" s="111"/>
      <c r="JE169" s="112"/>
      <c r="JF169" s="112"/>
      <c r="JG169" s="111"/>
      <c r="JH169" s="111"/>
      <c r="JI169" s="111"/>
      <c r="JJ169" s="112"/>
      <c r="JK169" s="112"/>
      <c r="JL169" s="112"/>
      <c r="JM169" s="112"/>
      <c r="JN169" s="112"/>
      <c r="JO169" s="112"/>
      <c r="JP169" s="112"/>
      <c r="JQ169" s="112"/>
      <c r="JR169" s="112" t="str">
        <f>HYPERLINK("http://www.ibla-germany.de/merkblaetter.php","x")</f>
        <v>x</v>
      </c>
      <c r="JS169" s="112"/>
      <c r="JT169" s="111"/>
      <c r="JU169" s="111"/>
      <c r="JV169" s="111"/>
      <c r="JW169" s="112"/>
      <c r="JX169" s="112"/>
      <c r="JY169" s="112"/>
      <c r="JZ169" s="112"/>
      <c r="KA169" s="112"/>
      <c r="KB169" s="112" t="str">
        <f>HYPERLINK("http://www.refugeeguide.de/dl/RefugeeGuide_al_929.pdf","x")</f>
        <v>x</v>
      </c>
      <c r="KC169" s="111"/>
      <c r="KD169" s="111"/>
      <c r="KE169" s="112" t="str">
        <f>HYPERLINK("http://www.frauenrechte.de/online/images/downloads/allgemein/TDF_Flyer_Women_Men.pdf","x")</f>
        <v>x</v>
      </c>
      <c r="KF169" s="111"/>
      <c r="KG169" s="112"/>
      <c r="KH169" s="112"/>
      <c r="KI169" s="112"/>
      <c r="KJ169" s="112"/>
      <c r="KK169" s="112"/>
      <c r="KL169" s="112"/>
      <c r="KM169" s="112"/>
      <c r="KN169" s="112"/>
      <c r="KO169" s="112"/>
      <c r="KP169" s="112"/>
      <c r="KQ169" s="112"/>
      <c r="KR169" s="112"/>
      <c r="KS169" s="112"/>
      <c r="KT169" s="112"/>
      <c r="KU169" s="112"/>
      <c r="KV169" s="112"/>
      <c r="KW169" s="112"/>
      <c r="KX169" s="112"/>
      <c r="KY169" s="112"/>
      <c r="KZ169" s="112"/>
      <c r="LA169" s="112"/>
      <c r="LB169" s="112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  <c r="MI169" s="111"/>
    </row>
    <row r="170" spans="1:347" x14ac:dyDescent="0.25">
      <c r="A170" s="102" t="s">
        <v>58</v>
      </c>
      <c r="B170" s="127" t="s">
        <v>30</v>
      </c>
      <c r="C170" s="102"/>
      <c r="D170" s="102"/>
      <c r="E170" s="102"/>
      <c r="F170" s="102"/>
      <c r="G170" s="102"/>
      <c r="H170" s="102"/>
      <c r="I170" s="102"/>
      <c r="J170" s="102"/>
      <c r="K170" s="103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2"/>
      <c r="AP170" s="112"/>
      <c r="AQ170" s="112"/>
      <c r="AR170" s="112"/>
      <c r="AS170" s="112"/>
      <c r="AT170" s="112"/>
      <c r="AU170" s="112"/>
      <c r="AV170" s="113"/>
      <c r="AW170" s="114" t="str">
        <f t="shared" si="55"/>
        <v>x</v>
      </c>
      <c r="AX170" s="114" t="str">
        <f t="shared" si="56"/>
        <v>x</v>
      </c>
      <c r="AY170" s="111"/>
      <c r="AZ170" s="111"/>
      <c r="BA170" s="112" t="str">
        <f t="shared" si="57"/>
        <v>x</v>
      </c>
      <c r="BB170" s="112" t="str">
        <f t="shared" si="58"/>
        <v>x</v>
      </c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2" t="str">
        <f t="shared" si="59"/>
        <v>x</v>
      </c>
      <c r="BT170" s="112"/>
      <c r="BU170" s="111"/>
      <c r="BV170" s="112" t="str">
        <f t="shared" si="60"/>
        <v>x</v>
      </c>
      <c r="BW170" s="112" t="str">
        <f>HYPERLINK("http://www.welcomegrooves.de/wp-content/uploads/2015/11/welcomegrooves_DE-BULGARISCH_V1.pdf","x")</f>
        <v>x</v>
      </c>
      <c r="BX170" s="112"/>
      <c r="BY170" s="112"/>
      <c r="BZ170" s="112"/>
      <c r="CA170" s="112" t="str">
        <f t="shared" si="61"/>
        <v>x</v>
      </c>
      <c r="CB170" s="112" t="str">
        <f t="shared" si="62"/>
        <v>x</v>
      </c>
      <c r="CC170" s="112" t="str">
        <f t="shared" si="63"/>
        <v>x</v>
      </c>
      <c r="CD170" s="112"/>
      <c r="CE170" s="112"/>
      <c r="CF170" s="111"/>
      <c r="CG170" s="111"/>
      <c r="CH170" s="111"/>
      <c r="CI170" s="111"/>
      <c r="CJ170" s="112" t="str">
        <f>HYPERLINK("https://www.hilfetelefon.de/fileadmin/hilfetelefon_de/Materialien/weitere_werbemittel/Klappflyer_Vorder-_und_Rueckseite_opt2.pdf","x")</f>
        <v>x</v>
      </c>
      <c r="CK170" s="112" t="str">
        <f t="shared" si="64"/>
        <v>x</v>
      </c>
      <c r="CL170" s="112"/>
      <c r="CM170" s="112"/>
      <c r="CN170" s="112"/>
      <c r="CO170" s="112"/>
      <c r="CP170" s="112" t="str">
        <f>HYPERLINK("http://www.schwanger-und-viele-fragen.de/bg/","x")</f>
        <v>x</v>
      </c>
      <c r="CQ170" s="112"/>
      <c r="CR170" s="112"/>
      <c r="CS170" s="112"/>
      <c r="CT170" s="112"/>
      <c r="CU170" s="112" t="str">
        <f>HYPERLINK("http://www.profamilia.de/fileadmin/publikationen/Erwachsene/mehrsprachig/Bro_Verhuetung_bul_141016.pdf","x")</f>
        <v>x</v>
      </c>
      <c r="CV170" s="112"/>
      <c r="CW170" s="112"/>
      <c r="CX170" s="112"/>
      <c r="CY170" s="112"/>
      <c r="CZ170" s="112"/>
      <c r="DA170" s="112"/>
      <c r="DB170" s="112"/>
      <c r="DC170" s="115"/>
      <c r="DD170" s="112"/>
      <c r="DE170" s="112"/>
      <c r="DF170" s="112" t="str">
        <f t="shared" si="65"/>
        <v>x</v>
      </c>
      <c r="DG170" s="115" t="str">
        <f t="shared" si="66"/>
        <v>x</v>
      </c>
      <c r="DH170" s="112" t="str">
        <f t="shared" si="67"/>
        <v>x</v>
      </c>
      <c r="DI170" s="112" t="str">
        <f t="shared" si="68"/>
        <v>x</v>
      </c>
      <c r="DJ170" s="112" t="str">
        <f>HYPERLINK("http://www.bibliomedia.ch/de/angebote/dokumente/Glossar_bulgarisch.pdf","x")</f>
        <v>x</v>
      </c>
      <c r="DK170" s="112"/>
      <c r="DL170" s="112"/>
      <c r="DM170" s="112"/>
      <c r="DN170" s="112"/>
      <c r="DO170" s="112"/>
      <c r="DP170" s="111"/>
      <c r="DQ170" s="112" t="str">
        <f>HYPERLINK("http://tipdoc.de/bus/grafik/kinder-tip/SCHULTIP_give_BulgRoSRB.pdf","x")</f>
        <v>x</v>
      </c>
      <c r="DR170" s="111"/>
      <c r="DS170" s="112" t="str">
        <f>HYPERLINK("http://bildung.koeln.de/materialbibliothek/download.php?idx=fa5ec5a51d71668e22b39aad7ce835b7","x")</f>
        <v>x</v>
      </c>
      <c r="DT170" s="112" t="str">
        <f>HYPERLINK("http://bildung.koeln.de/materialbibliothek/download.php?idx=b6156c96f0672121e7a1d19acc23ac96","x")</f>
        <v>x</v>
      </c>
      <c r="DU170" s="112"/>
      <c r="DV170" s="112" t="str">
        <f>HYPERLINK("https://www.bmbf.de/pub/Kausa_Elternratgeber_deutsch_bulgarisch.pdf","x")</f>
        <v>x</v>
      </c>
      <c r="DW170" s="111"/>
      <c r="DX170" s="111"/>
      <c r="DY170" s="111"/>
      <c r="DZ170" s="112" t="str">
        <f>HYPERLINK("http://www.bamf.de/SharedDocs/Anlagen/DE/Publikationen/Flyer/AnerkennungBerufsabschluss/anerkennung-berufsabschluss_bg.pdf?__blob=publicationFile","x")</f>
        <v>x</v>
      </c>
      <c r="EA170" s="112"/>
      <c r="EB170" s="112"/>
      <c r="EC170" s="112"/>
      <c r="ED170" s="111"/>
      <c r="EE170" s="111"/>
      <c r="EF170" s="111"/>
      <c r="EG170" s="111"/>
      <c r="EH170" s="111"/>
      <c r="EI170" s="111"/>
      <c r="EJ170" s="112"/>
      <c r="EK170" s="112"/>
      <c r="EL170" s="111"/>
      <c r="EM170" s="111"/>
      <c r="EN170" s="111"/>
      <c r="EO170" s="111"/>
      <c r="EP170" s="117" t="str">
        <f>HYPERLINK("http://www.medi-bild.de/pdf/anamnese/Welche_Sprache.pdf","x")</f>
        <v>x</v>
      </c>
      <c r="EQ170" s="117" t="str">
        <f>HYPERLINK("http://www.armut-gesundheit.de/fileadmin/redakteur/dokumente/Anamnesebogen%20-%20bulgarischnew.pdf","x")</f>
        <v>x</v>
      </c>
      <c r="ER170" s="111"/>
      <c r="ES170" s="111"/>
      <c r="ET170" s="111"/>
      <c r="EU170" s="111"/>
      <c r="EV170" s="111"/>
      <c r="EW170" s="112" t="str">
        <f t="shared" si="69"/>
        <v>x</v>
      </c>
      <c r="EX170" s="111"/>
      <c r="EY170" s="111"/>
      <c r="EZ170" s="111"/>
      <c r="FA170" s="111"/>
      <c r="FB170" s="111"/>
      <c r="FC170" s="111"/>
      <c r="FD170" s="112" t="str">
        <f t="shared" si="70"/>
        <v>x</v>
      </c>
      <c r="FE170" s="112" t="str">
        <f>HYPERLINK("http://sghanstedt.elbnetz.com/ueber-uns/","x")</f>
        <v>x</v>
      </c>
      <c r="FF170" s="111"/>
      <c r="FG170" s="111"/>
      <c r="FH170" s="111"/>
      <c r="FI170" s="111"/>
      <c r="FJ170" s="112"/>
      <c r="FK170" s="112" t="str">
        <f>HYPERLINK("http://www.rki.de/DE/Content/Infekt/Impfen/Materialien/Downloads-Impfkalender/Impfkalender_Bulgarisch.pdf?__blob=publicationFile","x")</f>
        <v>x</v>
      </c>
      <c r="FL170" s="112" t="str">
        <f>HYPERLINK("http://www.ethno-medizinisches-zentrum.de/images/PDF-Files/impfwegweiser_bulgarisch_2013_online.pdf","x")</f>
        <v>x</v>
      </c>
      <c r="FM170" s="112"/>
      <c r="FN170" s="111"/>
      <c r="FO170" s="111"/>
      <c r="FP170" s="112" t="str">
        <f>HYPERLINK("http://www.rki.de/DE/Content/Infekt/Impfen/Materialien/Downloads-MMR/MMR-Impfinfo-bulgarisch.pdf?__blob=publicationFile","x")</f>
        <v>x</v>
      </c>
      <c r="FQ170" s="111"/>
      <c r="FR170" s="112" t="str">
        <f>HYPERLINK("http://www.rki.de/DE/Content/Infekt/Impfen/Materialien/Downloads_HepA/Aufklaerung_HAV-Impfung_bulgarisch.pdf?__blob=publicationFile","x")</f>
        <v>x</v>
      </c>
      <c r="FS170" s="112" t="str">
        <f>HYPERLINK("http://www.rki.de/DE/Content/Infekt/Impfen/Materialien/Downloads_Pneumokokken/Aufklaerung_Pneumo-Impfung_Bulgarisch.pdf?__blob=publicationFile","x")</f>
        <v>x</v>
      </c>
      <c r="FT170" s="112" t="str">
        <f>HYPERLINK("http://www.rki.de/DE/Content/Infekt/Impfen/Materialien/Downloads-DTaPIPVHibHepB/DTaPIPVHibHepB_bulgarisch.pdf?__blob=publicationFile","x")</f>
        <v>x</v>
      </c>
      <c r="FU170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70" s="112" t="str">
        <f>HYPERLINK("http://www.rki.de/DE/Content/Infekt/Impfen/Materialien/Downloads-Tdap-IPV/Tdap-IPV-bulgarisch.pdf?__blob=publicationFile","x")</f>
        <v>x</v>
      </c>
      <c r="FW170" s="112" t="str">
        <f>HYPERLINK("http://www.rki.de/DE/Content/Infekt/Impfen/Materialien/Downloads-Influenza_nasal/Influenza_nasal-bulgarisch.pdf?__blob=publicationFile","x")</f>
        <v>x</v>
      </c>
      <c r="FX170" s="111"/>
      <c r="FY170" s="111"/>
      <c r="FZ170" s="111"/>
      <c r="GA170" s="111"/>
      <c r="GB170" s="111"/>
      <c r="GC170" s="111"/>
      <c r="GD170" s="112" t="str">
        <f>HYPERLINK("http://www.ethno-medizinisches-zentrum.de/images/PDF-Files/lf_diabete_bulgarish.pdf","x")</f>
        <v>x</v>
      </c>
      <c r="GE170" s="111"/>
      <c r="GF170" s="111"/>
      <c r="GG170" s="111"/>
      <c r="GH170" s="111"/>
      <c r="GI170" s="111"/>
      <c r="GJ170" s="111"/>
      <c r="GK170" s="111"/>
      <c r="GL170" s="111"/>
      <c r="GM170" s="112" t="str">
        <f>HYPERLINK("http://www.rki.de/DE/Content/Infekt/Impfen/Materialien/Downloads-Influenza/Influenza-bulgarisch.pdf?__blob=publicationFile","x")</f>
        <v>x</v>
      </c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2" t="str">
        <f t="shared" si="71"/>
        <v>x</v>
      </c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2" t="str">
        <f t="shared" si="72"/>
        <v>x</v>
      </c>
      <c r="HZ170" s="112" t="str">
        <f t="shared" si="73"/>
        <v>x</v>
      </c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2"/>
      <c r="IL170" s="111"/>
      <c r="IM170" s="111"/>
      <c r="IN170" s="112" t="str">
        <f>HYPERLINK("https://www.bamf.de/SharedDocs/Anlagen/DE/Publikationen/Broschueren/willkommen-in-deutschland_bg.pdf?__blob=publicationFile","x")</f>
        <v>x</v>
      </c>
      <c r="IO170" s="112"/>
      <c r="IP170" s="111"/>
      <c r="IQ170" s="112" t="str">
        <f>HYPERLINK("http://www.bamf.de/SharedDocs/Anlagen/DE/Publikationen/Flyer/Lernen-Sie-Deutsch/lernen-sie-deutsch_bg.pdf?__blob=publicationFile","x")</f>
        <v>x</v>
      </c>
      <c r="IR170" s="112"/>
      <c r="IS170" s="111"/>
      <c r="IT170" s="111"/>
      <c r="IU170" s="111"/>
      <c r="IV170" s="112"/>
      <c r="IW170" s="112"/>
      <c r="IX170" s="112"/>
      <c r="IY170" s="112"/>
      <c r="IZ170" s="111"/>
      <c r="JA170" s="111"/>
      <c r="JB170" s="111"/>
      <c r="JC170" s="112"/>
      <c r="JD170" s="111"/>
      <c r="JE170" s="112"/>
      <c r="JF170" s="112"/>
      <c r="JG170" s="112"/>
      <c r="JH170" s="112"/>
      <c r="JI170" s="111"/>
      <c r="JJ170" s="112"/>
      <c r="JK170" s="112"/>
      <c r="JL170" s="112"/>
      <c r="JM170" s="112" t="str">
        <f>HYPERLINK("https://www.arbeitsagentur.de/web/content/DE/Formulare/Detail/index.htm?dfContentId=L6019022DSTBAI485740","x")</f>
        <v>x</v>
      </c>
      <c r="JN170" s="112"/>
      <c r="JO170" s="112"/>
      <c r="JP170" s="112"/>
      <c r="JQ170" s="112"/>
      <c r="JR170" s="112" t="str">
        <f>HYPERLINK("http://www.ibla-germany.de/merkblaetter.php","x")</f>
        <v>x</v>
      </c>
      <c r="JS170" s="112"/>
      <c r="JT170" s="111"/>
      <c r="JU170" s="111"/>
      <c r="JV170" s="111"/>
      <c r="JW170" s="112"/>
      <c r="JX170" s="112"/>
      <c r="JY170" s="111"/>
      <c r="JZ170" s="111"/>
      <c r="KA170" s="111"/>
      <c r="KB170" s="111"/>
      <c r="KC170" s="111"/>
      <c r="KD170" s="111"/>
      <c r="KE170" s="111"/>
      <c r="KF170" s="111"/>
      <c r="KG170" s="111"/>
      <c r="KH170" s="111"/>
      <c r="KI170" s="111"/>
      <c r="KJ170" s="111"/>
      <c r="KK170" s="111"/>
      <c r="KL170" s="111"/>
      <c r="KM170" s="111"/>
      <c r="KN170" s="111"/>
      <c r="KO170" s="111"/>
      <c r="KP170" s="111"/>
      <c r="KQ170" s="111"/>
      <c r="KR170" s="111"/>
      <c r="KS170" s="111"/>
      <c r="KT170" s="111"/>
      <c r="KU170" s="111"/>
      <c r="KV170" s="111"/>
      <c r="KW170" s="111"/>
      <c r="KX170" s="111"/>
      <c r="KY170" s="111"/>
      <c r="KZ170" s="111"/>
      <c r="LA170" s="111"/>
      <c r="LB170" s="111"/>
      <c r="LC170" s="111"/>
      <c r="LD170" s="111"/>
      <c r="LE170" s="111"/>
      <c r="LF170" s="111"/>
      <c r="LG170" s="111"/>
      <c r="LH170" s="111"/>
      <c r="LI170" s="111"/>
      <c r="LJ170" s="111"/>
      <c r="LK170" s="111"/>
      <c r="LL170" s="111"/>
      <c r="LM170" s="111"/>
      <c r="LN170" s="111"/>
      <c r="LO170" s="111"/>
      <c r="LP170" s="111"/>
      <c r="LQ170" s="111"/>
      <c r="LR170" s="111"/>
      <c r="LS170" s="111"/>
      <c r="LT170" s="111"/>
      <c r="LU170" s="111"/>
      <c r="LV170" s="111"/>
      <c r="LW170" s="111"/>
      <c r="LX170" s="111"/>
      <c r="LY170" s="111"/>
      <c r="LZ170" s="111"/>
      <c r="MA170" s="111"/>
      <c r="MB170" s="111"/>
      <c r="MC170" s="111"/>
      <c r="MD170" s="111"/>
      <c r="ME170" s="111"/>
      <c r="MF170" s="111"/>
      <c r="MG170" s="111"/>
      <c r="MH170" s="111"/>
      <c r="MI170" s="111"/>
    </row>
    <row r="171" spans="1:347" x14ac:dyDescent="0.25">
      <c r="A171" s="102" t="s">
        <v>58</v>
      </c>
      <c r="B171" s="127" t="s">
        <v>153</v>
      </c>
      <c r="C171" s="102"/>
      <c r="D171" s="102"/>
      <c r="E171" s="102"/>
      <c r="F171" s="102"/>
      <c r="G171" s="102"/>
      <c r="H171" s="102"/>
      <c r="I171" s="102"/>
      <c r="J171" s="102"/>
      <c r="K171" s="103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3"/>
      <c r="AW171" s="114" t="str">
        <f t="shared" si="55"/>
        <v>x</v>
      </c>
      <c r="AX171" s="114" t="str">
        <f t="shared" si="56"/>
        <v>x</v>
      </c>
      <c r="AY171" s="111"/>
      <c r="AZ171" s="111"/>
      <c r="BA171" s="112" t="str">
        <f t="shared" si="57"/>
        <v>x</v>
      </c>
      <c r="BB171" s="112" t="str">
        <f t="shared" si="58"/>
        <v>x</v>
      </c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2" t="str">
        <f t="shared" si="59"/>
        <v>x</v>
      </c>
      <c r="BT171" s="112"/>
      <c r="BU171" s="111"/>
      <c r="BV171" s="112" t="str">
        <f t="shared" si="60"/>
        <v>x</v>
      </c>
      <c r="BW171" s="112"/>
      <c r="BX171" s="112"/>
      <c r="BY171" s="112"/>
      <c r="BZ171" s="112"/>
      <c r="CA171" s="112" t="str">
        <f t="shared" si="61"/>
        <v>x</v>
      </c>
      <c r="CB171" s="112" t="str">
        <f t="shared" si="62"/>
        <v>x</v>
      </c>
      <c r="CC171" s="112" t="str">
        <f t="shared" si="63"/>
        <v>x</v>
      </c>
      <c r="CD171" s="112"/>
      <c r="CE171" s="112"/>
      <c r="CF171" s="111"/>
      <c r="CG171" s="111"/>
      <c r="CH171" s="111"/>
      <c r="CI171" s="111"/>
      <c r="CJ171" s="111"/>
      <c r="CK171" s="112" t="str">
        <f t="shared" si="64"/>
        <v>x</v>
      </c>
      <c r="CL171" s="112"/>
      <c r="CM171" s="112"/>
      <c r="CN171" s="112"/>
      <c r="CO171" s="112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2"/>
      <c r="DA171" s="112"/>
      <c r="DB171" s="112"/>
      <c r="DC171" s="115"/>
      <c r="DD171" s="112"/>
      <c r="DE171" s="112"/>
      <c r="DF171" s="112" t="str">
        <f t="shared" si="65"/>
        <v>x</v>
      </c>
      <c r="DG171" s="115" t="str">
        <f t="shared" si="66"/>
        <v>x</v>
      </c>
      <c r="DH171" s="112" t="str">
        <f t="shared" si="67"/>
        <v>x</v>
      </c>
      <c r="DI171" s="112" t="str">
        <f t="shared" si="68"/>
        <v>x</v>
      </c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2" t="str">
        <f>HYPERLINK("http://bildung.koeln.de/materialbibliothek/download.php?idx=ffca9a983564046e13193e94deeff609","x")</f>
        <v>x</v>
      </c>
      <c r="DT171" s="112" t="str">
        <f>HYPERLINK("http://bildung.koeln.de/materialbibliothek/download.php?idx=1a02e789389f6b5edac5f907fb9f00d3","x")</f>
        <v>x</v>
      </c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8"/>
      <c r="EQ171" s="118"/>
      <c r="ER171" s="111"/>
      <c r="ES171" s="111"/>
      <c r="ET171" s="111"/>
      <c r="EU171" s="111"/>
      <c r="EV171" s="111"/>
      <c r="EW171" s="112" t="str">
        <f t="shared" si="69"/>
        <v>x</v>
      </c>
      <c r="EX171" s="111"/>
      <c r="EY171" s="111"/>
      <c r="EZ171" s="111"/>
      <c r="FA171" s="111"/>
      <c r="FB171" s="111"/>
      <c r="FC171" s="111"/>
      <c r="FD171" s="112" t="str">
        <f t="shared" si="70"/>
        <v>x</v>
      </c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2" t="str">
        <f t="shared" si="71"/>
        <v>x</v>
      </c>
      <c r="HD171" s="112" t="str">
        <f>HYPERLINK("https://www.zahnaerzte-wl.de/images/_PDF-suche/KZV_ZÄK/ENDSTAND_Ankreuzbogen_Ich_verstehe.pdf","x")</f>
        <v>x</v>
      </c>
      <c r="HE171" s="112" t="str">
        <f>HYPERLINK("https://www.zahnaerzte-wl.de/images/_PDF-suche/KZV_ZÄK/Anschreiben_romani.pdf","x")</f>
        <v>x</v>
      </c>
      <c r="HF171" s="112" t="str">
        <f>HYPERLINK("https://www.zahnaerzte-wl.de/images/_PDF-suche/KZV_ZÄK/Fragebogen_romani.pdf","x")</f>
        <v>x</v>
      </c>
      <c r="HG171" s="112" t="str">
        <f>HYPERLINK("https://www.zahnaerzte-wl.de/images/_PDF-suche/KZV_ZÄK/Patientenerhebungsbogen_romani.pdf","x")</f>
        <v>x</v>
      </c>
      <c r="HH171" s="112"/>
      <c r="HI171" s="112"/>
      <c r="HJ171" s="112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2" t="str">
        <f t="shared" si="72"/>
        <v>x</v>
      </c>
      <c r="HZ171" s="112" t="str">
        <f t="shared" si="73"/>
        <v>x</v>
      </c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1"/>
      <c r="JF171" s="111"/>
      <c r="JG171" s="111"/>
      <c r="JH171" s="111"/>
      <c r="JI171" s="111"/>
      <c r="JJ171" s="111"/>
      <c r="JK171" s="111"/>
      <c r="JL171" s="111"/>
      <c r="JM171" s="111"/>
      <c r="JN171" s="111"/>
      <c r="JO171" s="111"/>
      <c r="JP171" s="111"/>
      <c r="JQ171" s="111"/>
      <c r="JR171" s="111"/>
      <c r="JS171" s="111"/>
      <c r="JT171" s="111"/>
      <c r="JU171" s="111"/>
      <c r="JV171" s="111"/>
      <c r="JW171" s="111"/>
      <c r="JX171" s="111"/>
      <c r="JY171" s="111"/>
      <c r="JZ171" s="111"/>
      <c r="KA171" s="111"/>
      <c r="KB171" s="111"/>
      <c r="KC171" s="111"/>
      <c r="KD171" s="111"/>
      <c r="KE171" s="111"/>
      <c r="KF171" s="111"/>
      <c r="KG171" s="111"/>
      <c r="KH171" s="111"/>
      <c r="KI171" s="111"/>
      <c r="KJ171" s="111"/>
      <c r="KK171" s="111"/>
      <c r="KL171" s="111"/>
      <c r="KM171" s="111"/>
      <c r="KN171" s="111"/>
      <c r="KO171" s="111"/>
      <c r="KP171" s="111"/>
      <c r="KQ171" s="111"/>
      <c r="KR171" s="111"/>
      <c r="KS171" s="111"/>
      <c r="KT171" s="111"/>
      <c r="KU171" s="111"/>
      <c r="KV171" s="111"/>
      <c r="KW171" s="111"/>
      <c r="KX171" s="111"/>
      <c r="KY171" s="111"/>
      <c r="KZ171" s="111"/>
      <c r="LA171" s="111"/>
      <c r="LB171" s="111"/>
      <c r="LC171" s="111"/>
      <c r="LD171" s="111"/>
      <c r="LE171" s="111"/>
      <c r="LF171" s="111"/>
      <c r="LG171" s="111"/>
      <c r="LH171" s="111"/>
      <c r="LI171" s="111"/>
      <c r="LJ171" s="111"/>
      <c r="LK171" s="111"/>
      <c r="LL171" s="111"/>
      <c r="LM171" s="111"/>
      <c r="LN171" s="111"/>
      <c r="LO171" s="111"/>
      <c r="LP171" s="111"/>
      <c r="LQ171" s="111"/>
      <c r="LR171" s="111"/>
      <c r="LS171" s="111"/>
      <c r="LT171" s="111"/>
      <c r="LU171" s="111"/>
      <c r="LV171" s="111"/>
      <c r="LW171" s="111"/>
      <c r="LX171" s="111"/>
      <c r="LY171" s="111"/>
      <c r="LZ171" s="111"/>
      <c r="MA171" s="111"/>
      <c r="MB171" s="111"/>
      <c r="MC171" s="111"/>
      <c r="MD171" s="111"/>
      <c r="ME171" s="111"/>
      <c r="MF171" s="111"/>
      <c r="MG171" s="111"/>
      <c r="MH171" s="111"/>
      <c r="MI171" s="111"/>
    </row>
    <row r="172" spans="1:347" x14ac:dyDescent="0.25">
      <c r="A172" s="102" t="s">
        <v>58</v>
      </c>
      <c r="B172" s="127" t="s">
        <v>18</v>
      </c>
      <c r="C172" s="102"/>
      <c r="D172" s="102"/>
      <c r="E172" s="102"/>
      <c r="F172" s="102"/>
      <c r="G172" s="102"/>
      <c r="H172" s="102"/>
      <c r="I172" s="102"/>
      <c r="J172" s="102"/>
      <c r="K172" s="103"/>
      <c r="L172" s="111"/>
      <c r="M172" s="111"/>
      <c r="N172" s="111"/>
      <c r="O172" s="111"/>
      <c r="P172" s="112" t="str">
        <f>HYPERLINK("https://willkommensteamelmshorn.files.wordpress.com/2015/11/sortieranleitung_pinneberg_2015_rumacc88nisch.pdf","x")</f>
        <v>x</v>
      </c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2"/>
      <c r="AP172" s="112"/>
      <c r="AQ172" s="112"/>
      <c r="AR172" s="112"/>
      <c r="AS172" s="112"/>
      <c r="AT172" s="112"/>
      <c r="AU172" s="112"/>
      <c r="AV172" s="113"/>
      <c r="AW172" s="114" t="str">
        <f t="shared" si="55"/>
        <v>x</v>
      </c>
      <c r="AX172" s="114" t="str">
        <f t="shared" si="56"/>
        <v>x</v>
      </c>
      <c r="AY172" s="111"/>
      <c r="AZ172" s="111"/>
      <c r="BA172" s="112" t="str">
        <f t="shared" si="57"/>
        <v>x</v>
      </c>
      <c r="BB172" s="112" t="str">
        <f t="shared" si="58"/>
        <v>x</v>
      </c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2" t="str">
        <f>HYPERLINK("http://www.frnrw.de/images/Aus_den_Initiativen/Ehrenamtler/2015/Dictionary_x10_print-2.pdf","x")</f>
        <v>x</v>
      </c>
      <c r="BN172" s="111"/>
      <c r="BO172" s="111"/>
      <c r="BP172" s="111"/>
      <c r="BQ172" s="111"/>
      <c r="BR172" s="111"/>
      <c r="BS172" s="112" t="str">
        <f t="shared" si="59"/>
        <v>x</v>
      </c>
      <c r="BT172" s="112"/>
      <c r="BU172" s="111"/>
      <c r="BV172" s="112" t="str">
        <f t="shared" si="60"/>
        <v>x</v>
      </c>
      <c r="BW172" s="112" t="str">
        <f>HYPERLINK("http://www.welcomegrooves.de/wp-content/uploads/2015/10/welcomegrooves_DE-RUMAENISCH.pdf","x")</f>
        <v>x</v>
      </c>
      <c r="BX172" s="112"/>
      <c r="BY172" s="112"/>
      <c r="BZ172" s="112"/>
      <c r="CA172" s="112" t="str">
        <f t="shared" si="61"/>
        <v>x</v>
      </c>
      <c r="CB172" s="112" t="str">
        <f t="shared" si="62"/>
        <v>x</v>
      </c>
      <c r="CC172" s="112" t="str">
        <f t="shared" si="63"/>
        <v>x</v>
      </c>
      <c r="CD172" s="112"/>
      <c r="CE172" s="112"/>
      <c r="CF172" s="111"/>
      <c r="CG172" s="111"/>
      <c r="CH172" s="112"/>
      <c r="CI172" s="112" t="str">
        <f>HYPERLINK("https://www.hilfetelefon.de/fileadmin/hilfetelefon_de/Materialien/Flyer/Infoflyer_Hilfetelefon_Gewalt_gegen_Frauen141105_b2.pdf","x")</f>
        <v>x</v>
      </c>
      <c r="CJ172" s="112" t="str">
        <f>HYPERLINK("https://www.hilfetelefon.de/fileadmin/hilfetelefon_de/Materialien/weitere_werbemittel/Klappflyer_Vorder-_und_Rueckseite_opt2.pdf","x")</f>
        <v>x</v>
      </c>
      <c r="CK172" s="112" t="str">
        <f t="shared" si="64"/>
        <v>x</v>
      </c>
      <c r="CL172" s="112" t="str">
        <f>HYPERLINK("http://www.frauenberatungsstelle.de/pdf/Migrantinnen-beraten-Migrantinnen.pdf","x")</f>
        <v>x</v>
      </c>
      <c r="CM172" s="112"/>
      <c r="CN172" s="112"/>
      <c r="CO172" s="112"/>
      <c r="CP172" s="112" t="str">
        <f>HYPERLINK("http://www.schwanger-und-viele-fragen.de/ro/","x")</f>
        <v>x</v>
      </c>
      <c r="CQ172" s="112"/>
      <c r="CR172" s="112"/>
      <c r="CS172" s="112"/>
      <c r="CT172" s="112"/>
      <c r="CU172" s="112" t="str">
        <f>HYPERLINK("http://www.profamilia.de/fileadmin/publikationen/Erwachsene/mehrsprachig/Bro_Verhuetung_rum_141016.pdf","x")</f>
        <v>x</v>
      </c>
      <c r="CV172" s="112"/>
      <c r="CW172" s="112"/>
      <c r="CX172" s="112"/>
      <c r="CY172" s="112"/>
      <c r="CZ172" s="112"/>
      <c r="DA172" s="112"/>
      <c r="DB172" s="112"/>
      <c r="DC172" s="115"/>
      <c r="DD172" s="112"/>
      <c r="DE172" s="112"/>
      <c r="DF172" s="112" t="str">
        <f t="shared" si="65"/>
        <v>x</v>
      </c>
      <c r="DG172" s="115" t="str">
        <f t="shared" si="66"/>
        <v>x</v>
      </c>
      <c r="DH172" s="112" t="str">
        <f t="shared" si="67"/>
        <v>x</v>
      </c>
      <c r="DI172" s="112" t="str">
        <f t="shared" si="68"/>
        <v>x</v>
      </c>
      <c r="DJ172" s="112"/>
      <c r="DK172" s="112"/>
      <c r="DL172" s="112"/>
      <c r="DM172" s="112"/>
      <c r="DN172" s="112"/>
      <c r="DO172" s="112"/>
      <c r="DP172" s="111"/>
      <c r="DQ172" s="112" t="str">
        <f>HYPERLINK("http://tipdoc.de/bus/grafik/kinder-tip/SCHULTIP_give_BulgRoSRB.pdf","x")</f>
        <v>x</v>
      </c>
      <c r="DR172" s="112" t="str">
        <f>HYPERLINK("https://broschueren.nordrheinwestfalendirekt.de/broschuerenservice/msw/ro-das-schulsystem-in-nordrhein-westfalen-einfach-und-schnell-erklaert/1904","x")</f>
        <v>x</v>
      </c>
      <c r="DS172" s="112" t="str">
        <f>HYPERLINK("http://bildung.koeln.de/materialbibliothek/download.php?idx=02e5214477df5fdc5798bedc8e8fd9ad","x")</f>
        <v>x</v>
      </c>
      <c r="DT172" s="112" t="str">
        <f>HYPERLINK("http://bildung.koeln.de/materialbibliothek/download.php?idx=640f7d9e84c1690234be794b70c7776c","x")</f>
        <v>x</v>
      </c>
      <c r="DU172" s="112"/>
      <c r="DV172" s="112" t="str">
        <f>HYPERLINK("https://www.bmbf.de/pub/Kausa_Elternratgeber_deutsch_rumaenisch.pdf","x")</f>
        <v>x</v>
      </c>
      <c r="DW172" s="111"/>
      <c r="DX172" s="111"/>
      <c r="DY172" s="111"/>
      <c r="DZ172" s="111"/>
      <c r="EA172" s="112" t="str">
        <f>HYPERLINK("http://www.bamf.de/SharedDocs/Anlagen/DE/Publikationen/Flyer/AnerkennungBerufsabschluss/anerkennung-berufsabschluss_ausland_ro.pdf?__blob=publicationFile","x")</f>
        <v>x</v>
      </c>
      <c r="EB172" s="112"/>
      <c r="EC172" s="112"/>
      <c r="ED172" s="111"/>
      <c r="EE172" s="111"/>
      <c r="EF172" s="111"/>
      <c r="EG172" s="111"/>
      <c r="EH172" s="111"/>
      <c r="EI172" s="111"/>
      <c r="EJ172" s="112"/>
      <c r="EK172" s="112"/>
      <c r="EL172" s="111"/>
      <c r="EM172" s="112" t="str">
        <f>HYPERLINK("http://www.kvs-sachsen.de/fileadmin/img/Mitglieder/Asylbewerber/Allg-Informationen/Anlage_1__Rumaenisch_LEK.pdf","x")</f>
        <v>x</v>
      </c>
      <c r="EN172" s="111"/>
      <c r="EO172" s="111"/>
      <c r="EP172" s="117" t="str">
        <f>HYPERLINK("http://www.medi-bild.de/pdf/anamnese/Welche_Sprache.pdf","x")</f>
        <v>x</v>
      </c>
      <c r="EQ172" s="117" t="str">
        <f>HYPERLINK("http://www.armut-gesundheit.de/fileadmin/redakteur/dokumente/Anamnesebogen%20-%20rum%C3%A4nischnew.pdf","x")</f>
        <v>x</v>
      </c>
      <c r="ER172" s="112" t="str">
        <f>HYPERLINK("http://www.kvs-sachsen.de/fileadmin/img/Mitglieder/Asylbewerber/Allg-Informationen/Anlagen_2-1_2-2_Rumaenisch_LEK.pdf","x")</f>
        <v>x</v>
      </c>
      <c r="ES172" s="111"/>
      <c r="ET172" s="111"/>
      <c r="EU172" s="111"/>
      <c r="EV172" s="111"/>
      <c r="EW172" s="112" t="str">
        <f t="shared" si="69"/>
        <v>x</v>
      </c>
      <c r="EX172" s="111"/>
      <c r="EY172" s="111"/>
      <c r="EZ172" s="111"/>
      <c r="FA172" s="111"/>
      <c r="FB172" s="111"/>
      <c r="FC172" s="111"/>
      <c r="FD172" s="112" t="str">
        <f t="shared" si="70"/>
        <v>x</v>
      </c>
      <c r="FE172" s="112" t="str">
        <f t="shared" ref="FE172:FE183" si="75">HYPERLINK("http://sghanstedt.elbnetz.com/ueber-uns/","x")</f>
        <v>x</v>
      </c>
      <c r="FF172" s="111"/>
      <c r="FG172" s="112" t="str">
        <f>HYPERLINK("http://www.tipdoc.de/grafik/asyl/Gesundheitsheft_Asyl.pdf","x")</f>
        <v>x</v>
      </c>
      <c r="FH172" s="111"/>
      <c r="FI172" s="111"/>
      <c r="FJ172" s="112"/>
      <c r="FK172" s="112" t="str">
        <f>HYPERLINK("http://www.rki.de/DE/Content/Infekt/Impfen/Materialien/Downloads-Impfkalender/Impfkalender_Rumaenisch.pdf?__blob=publicationFile","x")</f>
        <v>x</v>
      </c>
      <c r="FL172" s="112" t="str">
        <f>HYPERLINK("http://www.ethno-medizinisches-zentrum.de/images/PDF-Files/impfwegweiser_rumanisch_2013_online.pdf","x")</f>
        <v>x</v>
      </c>
      <c r="FM172" s="112"/>
      <c r="FN172" s="112" t="str">
        <f>HYPERLINK("http://www.rki.de/DE/Content/Infekt/Impfen/Materialien/Glossar-Downloads/glossar-de-rumaenisch.pdf?__blob=publicationFile","x")</f>
        <v>x</v>
      </c>
      <c r="FO172" s="112"/>
      <c r="FP172" s="112" t="str">
        <f>HYPERLINK("http://www.rki.de/DE/Content/Infekt/Impfen/Materialien/Downloads-MMR/MMR-Impfinfo-rumaenisch.pdf?__blob=publicationFile","x")</f>
        <v>x</v>
      </c>
      <c r="FQ172" s="111"/>
      <c r="FR172" s="112" t="str">
        <f>HYPERLINK("http://www.rki.de/DE/Content/Infekt/Impfen/Materialien/Downloads_HepA/Aufklaerung_HAV-Impfung_Rumaenisch.pdf?__blob=publicationFile","x")</f>
        <v>x</v>
      </c>
      <c r="FS172" s="112" t="str">
        <f>HYPERLINK("http://www.rki.de/DE/Content/Infekt/Impfen/Materialien/Downloads_Pneumokokken/Aufklaerung_Pneumo-Impfung_Rumaenisch.pdf?__blob=publicationFile","x")</f>
        <v>x</v>
      </c>
      <c r="FT172" s="112" t="str">
        <f>HYPERLINK("http://www.rki.de/DE/Content/Infekt/Impfen/Materialien/Downloads-DTaPIPVHibHepB/DTaPIPVHibHepB-rumaenisch.pdf?__blob=publicationFile","x")</f>
        <v>x</v>
      </c>
      <c r="FU172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72" s="112" t="str">
        <f>HYPERLINK("http://www.rki.de/DE/Content/Infekt/Impfen/Materialien/Downloads-Tdap-IPV/Tdap-IPV-rumaenisch.pdf?__blob=publicationFile","x")</f>
        <v>x</v>
      </c>
      <c r="FW172" s="112" t="str">
        <f>HYPERLINK("http://www.rki.de/DE/Content/Infekt/Impfen/Materialien/Downloads-Influenza_nasal/Influenza_nasal-rumaenisch.pdf?__blob=publicationFile","x")</f>
        <v>x</v>
      </c>
      <c r="FX172" s="111"/>
      <c r="FY172" s="111"/>
      <c r="FZ172" s="111"/>
      <c r="GA172" s="111"/>
      <c r="GB172" s="111"/>
      <c r="GC172" s="111"/>
      <c r="GD172" s="112" t="str">
        <f>HYPERLINK("http://www.ethno-medizinisches-zentrum.de/images/PDF-Files/lf_diabete_rumanish.pdf","x")</f>
        <v>x</v>
      </c>
      <c r="GE172" s="111"/>
      <c r="GF172" s="111"/>
      <c r="GG172" s="111"/>
      <c r="GH172" s="111"/>
      <c r="GI172" s="111"/>
      <c r="GJ172" s="111"/>
      <c r="GK172" s="111"/>
      <c r="GL172" s="111"/>
      <c r="GM172" s="112" t="str">
        <f>HYPERLINK("http://www.rki.de/DE/Content/Infekt/Impfen/Materialien/Downloads-Influenza/Influenza-rumaenisch.pdf?__blob=publicationFile","x")</f>
        <v>x</v>
      </c>
      <c r="GN172" s="111"/>
      <c r="GO172" s="111"/>
      <c r="GP172" s="112" t="str">
        <f>HYPERLINK("http://www.tipdoc.de/grafik/pdf/kopflaeuse/Kopflaeuse_RUMAEN.pdf","x")</f>
        <v>x</v>
      </c>
      <c r="GQ172" s="112"/>
      <c r="GR172" s="112" t="str">
        <f>HYPERLINK("http://www.tipdoc.com/bus/pdf/kraetze/tipdoc_Scabies_RUMAEN.pdf","x")</f>
        <v>x</v>
      </c>
      <c r="GS172" s="112" t="str">
        <f>HYPERLINK("http://www.tipdoc.com/bus/pdf/MagenDarmHaende/MagenDarmHaende_RUMAEN.pdf","x")</f>
        <v>x</v>
      </c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2" t="str">
        <f t="shared" si="71"/>
        <v>x</v>
      </c>
      <c r="HD172" s="111"/>
      <c r="HE172" s="111"/>
      <c r="HF172" s="111"/>
      <c r="HG172" s="111"/>
      <c r="HH172" s="111"/>
      <c r="HI172" s="111"/>
      <c r="HJ172" s="111"/>
      <c r="HK172" s="112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2" t="str">
        <f t="shared" si="72"/>
        <v>x</v>
      </c>
      <c r="HZ172" s="112" t="str">
        <f t="shared" si="73"/>
        <v>x</v>
      </c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2"/>
      <c r="IL172" s="111"/>
      <c r="IM172" s="111"/>
      <c r="IN172" s="112" t="str">
        <f>HYPERLINK("https://www.bamf.de/SharedDocs/Anlagen/DE/Publikationen/Broschueren/willkommen-in-deutschland_ro.pdf?__blob=publicationFile","x")</f>
        <v>x</v>
      </c>
      <c r="IO172" s="112"/>
      <c r="IP172" s="111"/>
      <c r="IQ172" s="112" t="str">
        <f>HYPERLINK("http://www.bamf.de/SharedDocs/Anlagen/DE/Publikationen/Flyer/Lernen-Sie-Deutsch/lernen-sie-deutsch_ro.pdf?__blob=publicationFile","x")</f>
        <v>x</v>
      </c>
      <c r="IR172" s="112"/>
      <c r="IS172" s="111"/>
      <c r="IT172" s="111"/>
      <c r="IU172" s="111"/>
      <c r="IV172" s="112"/>
      <c r="IW172" s="112"/>
      <c r="IX172" s="112"/>
      <c r="IY172" s="112"/>
      <c r="IZ172" s="111"/>
      <c r="JA172" s="111"/>
      <c r="JB172" s="111"/>
      <c r="JC172" s="112"/>
      <c r="JD172" s="111"/>
      <c r="JE172" s="112"/>
      <c r="JF172" s="112"/>
      <c r="JG172" s="112"/>
      <c r="JH172" s="112"/>
      <c r="JI172" s="111"/>
      <c r="JJ172" s="112"/>
      <c r="JK172" s="112"/>
      <c r="JL172" s="112"/>
      <c r="JM172" s="112" t="str">
        <f>HYPERLINK("https://www.arbeitsagentur.de/web/content/DE/Formulare/Detail/index.htm?dfContentId=L6019022DSTBAI485740","x")</f>
        <v>x</v>
      </c>
      <c r="JN172" s="112"/>
      <c r="JO172" s="112"/>
      <c r="JP172" s="112"/>
      <c r="JQ172" s="112"/>
      <c r="JR172" s="112" t="str">
        <f t="shared" ref="JR172:JR177" si="76">HYPERLINK("http://www.ibla-germany.de/merkblaetter.php","x")</f>
        <v>x</v>
      </c>
      <c r="JS172" s="112"/>
      <c r="JT172" s="111"/>
      <c r="JU172" s="111"/>
      <c r="JV172" s="111"/>
      <c r="JW172" s="112"/>
      <c r="JX172" s="112"/>
      <c r="JY172" s="111"/>
      <c r="JZ172" s="111"/>
      <c r="KA172" s="111"/>
      <c r="KB172" s="111"/>
      <c r="KC172" s="111"/>
      <c r="KD172" s="111"/>
      <c r="KE172" s="111"/>
      <c r="KF172" s="111"/>
      <c r="KG172" s="111"/>
      <c r="KH172" s="111"/>
      <c r="KI172" s="111"/>
      <c r="KJ172" s="111"/>
      <c r="KK172" s="111"/>
      <c r="KL172" s="111"/>
      <c r="KM172" s="111"/>
      <c r="KN172" s="111"/>
      <c r="KO172" s="111"/>
      <c r="KP172" s="111"/>
      <c r="KQ172" s="111"/>
      <c r="KR172" s="111"/>
      <c r="KS172" s="111"/>
      <c r="KT172" s="111"/>
      <c r="KU172" s="111"/>
      <c r="KV172" s="111"/>
      <c r="KW172" s="111"/>
      <c r="KX172" s="111"/>
      <c r="KY172" s="111"/>
      <c r="KZ172" s="111"/>
      <c r="LA172" s="111"/>
      <c r="LB172" s="111"/>
      <c r="LC172" s="111"/>
      <c r="LD172" s="111"/>
      <c r="LE172" s="111"/>
      <c r="LF172" s="111"/>
      <c r="LG172" s="111"/>
      <c r="LH172" s="111"/>
      <c r="LI172" s="111"/>
      <c r="LJ172" s="111"/>
      <c r="LK172" s="111"/>
      <c r="LL172" s="111"/>
      <c r="LM172" s="111"/>
      <c r="LN172" s="111"/>
      <c r="LO172" s="111"/>
      <c r="LP172" s="111"/>
      <c r="LQ172" s="111"/>
      <c r="LR172" s="111"/>
      <c r="LS172" s="111"/>
      <c r="LT172" s="111"/>
      <c r="LU172" s="111"/>
      <c r="LV172" s="111"/>
      <c r="LW172" s="111"/>
      <c r="LX172" s="111"/>
      <c r="LY172" s="111"/>
      <c r="LZ172" s="111"/>
      <c r="MA172" s="111"/>
      <c r="MB172" s="111"/>
      <c r="MC172" s="111"/>
      <c r="MD172" s="111"/>
      <c r="ME172" s="111"/>
      <c r="MF172" s="111"/>
      <c r="MG172" s="111"/>
      <c r="MH172" s="111"/>
      <c r="MI172" s="111"/>
    </row>
    <row r="173" spans="1:347" x14ac:dyDescent="0.25">
      <c r="A173" s="102" t="s">
        <v>58</v>
      </c>
      <c r="B173" s="127" t="s">
        <v>11</v>
      </c>
      <c r="C173" s="102"/>
      <c r="D173" s="102"/>
      <c r="E173" s="102"/>
      <c r="F173" s="102"/>
      <c r="G173" s="102"/>
      <c r="H173" s="102"/>
      <c r="I173" s="102"/>
      <c r="J173" s="102"/>
      <c r="K173" s="103"/>
      <c r="L173" s="111"/>
      <c r="M173" s="111"/>
      <c r="N173" s="112" t="str">
        <f>HYPERLINK("http://www.ag-fluechtlingshilfe-wetterau.de/uploads/infos/170.pdf","x")</f>
        <v>x</v>
      </c>
      <c r="O173" s="112"/>
      <c r="P173" s="112" t="str">
        <f>HYPERLINK("http://www.awb-ahrweiler.de/admin/data/ddownload/Abfall%20Sonderhinweise-tuerkisch%202014.pdf","x")</f>
        <v>x</v>
      </c>
      <c r="Q173" s="112"/>
      <c r="R173" s="112"/>
      <c r="S173" s="112"/>
      <c r="T173" s="112"/>
      <c r="U173" s="112"/>
      <c r="V173" s="112"/>
      <c r="W173" s="111"/>
      <c r="X173" s="112"/>
      <c r="Y173" s="111"/>
      <c r="Z173" s="111"/>
      <c r="AA173" s="111"/>
      <c r="AB173" s="111"/>
      <c r="AC173" s="111"/>
      <c r="AD173" s="112" t="str">
        <f>HYPERLINK("http://www.rundfunkbeitrag.de/e175/e199/Informationsflyer_Buergerinnen_und_Buerger_tuerkisch.pdf","x")</f>
        <v>x</v>
      </c>
      <c r="AE173" s="111"/>
      <c r="AF173" s="112" t="str">
        <f>HYPERLINK("http://www.kub-berlin.org/formularprojekt/de/tuerkisch-antraege-und-anlagen/","x")</f>
        <v>x</v>
      </c>
      <c r="AG173" s="111"/>
      <c r="AH173" s="111"/>
      <c r="AI173" s="111"/>
      <c r="AJ173" s="111"/>
      <c r="AK173" s="111"/>
      <c r="AL173" s="111"/>
      <c r="AM173" s="111"/>
      <c r="AN173" s="111"/>
      <c r="AO173" s="112"/>
      <c r="AP173" s="112"/>
      <c r="AQ173" s="112"/>
      <c r="AR173" s="112"/>
      <c r="AS173" s="112"/>
      <c r="AT173" s="112"/>
      <c r="AU173" s="112"/>
      <c r="AV173" s="113"/>
      <c r="AW173" s="114" t="str">
        <f t="shared" si="55"/>
        <v>x</v>
      </c>
      <c r="AX173" s="114" t="str">
        <f t="shared" si="56"/>
        <v>x</v>
      </c>
      <c r="AY173" s="111"/>
      <c r="AZ173" s="111"/>
      <c r="BA173" s="112" t="str">
        <f t="shared" si="57"/>
        <v>x</v>
      </c>
      <c r="BB173" s="112" t="str">
        <f t="shared" si="58"/>
        <v>x</v>
      </c>
      <c r="BC173" s="111"/>
      <c r="BD173" s="111"/>
      <c r="BE173" s="111"/>
      <c r="BF173" s="111"/>
      <c r="BG173" s="111"/>
      <c r="BH173" s="112" t="str">
        <f>HYPERLINK("http://www.refugeephrasebook.de/pdf/germany150920.pdf","x")</f>
        <v>x</v>
      </c>
      <c r="BI173" s="112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2" t="str">
        <f t="shared" si="59"/>
        <v>x</v>
      </c>
      <c r="BT173" s="112"/>
      <c r="BU173" s="111"/>
      <c r="BV173" s="112" t="str">
        <f t="shared" si="60"/>
        <v>x</v>
      </c>
      <c r="BW173" s="112" t="str">
        <f>HYPERLINK("http://www.welcomegrooves.de/wp-content/uploads/2015/10/welcomegrooves_DE-TUERKISCH1.pdf","x")</f>
        <v>x</v>
      </c>
      <c r="BX173" s="112"/>
      <c r="BY173" s="112"/>
      <c r="BZ173" s="112"/>
      <c r="CA173" s="112" t="str">
        <f t="shared" si="61"/>
        <v>x</v>
      </c>
      <c r="CB173" s="112" t="str">
        <f t="shared" si="62"/>
        <v>x</v>
      </c>
      <c r="CC173" s="112" t="str">
        <f t="shared" si="63"/>
        <v>x</v>
      </c>
      <c r="CD173" s="112"/>
      <c r="CE173" s="112"/>
      <c r="CF173" s="111"/>
      <c r="CG173" s="112" t="str">
        <f>HYPERLINK("http://www.braunschweig.de/leben/frauen/hilfe/Ohne-Gewalt-leben.pdf","x")</f>
        <v>x</v>
      </c>
      <c r="CH173" s="112" t="str">
        <f>HYPERLINK("http://mifkjf.rlp.de/fileadmin/mifkjf/Frauen/Gewalt_gegen_Frauen/Downloads/Broschueren_Flyer/Flyer_Gewalt_tuerkisch.pdf","x")</f>
        <v>x</v>
      </c>
      <c r="CI173" s="112" t="str">
        <f>HYPERLINK("https://www.hilfetelefon.de/fileadmin/hilfetelefon_de/Materialien/Flyer/Infoflyer_Hilfetelefon_Gewalt_gegen_Frauen141105_b2.pdf","x")</f>
        <v>x</v>
      </c>
      <c r="CJ173" s="112" t="str">
        <f>HYPERLINK("https://www.hilfetelefon.de/fileadmin/hilfetelefon_de/Materialien/weitere_werbemittel/Klappflyer_Vorder-_und_Rueckseite_opt2.pdf","x")</f>
        <v>x</v>
      </c>
      <c r="CK173" s="112" t="str">
        <f t="shared" si="64"/>
        <v>x</v>
      </c>
      <c r="CL173" s="112" t="str">
        <f>HYPERLINK("http://www.frauenberatungsstelle.de/pdf/Migrantinnen-beraten-Migrantinnen.pdf","x")</f>
        <v>x</v>
      </c>
      <c r="CM173" s="112"/>
      <c r="CN173" s="112"/>
      <c r="CO173" s="112"/>
      <c r="CP173" s="112" t="str">
        <f>HYPERLINK("http://www.schwanger-und-viele-fragen.de/tr/","x")</f>
        <v>x</v>
      </c>
      <c r="CQ173" s="112"/>
      <c r="CR173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73" s="112"/>
      <c r="CT173" s="112"/>
      <c r="CU173" s="112" t="str">
        <f>HYPERLINK("http://www.profamilia.de/fileadmin/publikationen/Erwachsene/mehrsprachig/verhuetung_tuerkisch.pdf","x")</f>
        <v>x</v>
      </c>
      <c r="CV173" s="112" t="str">
        <f>HYPERLINK("http://www.profamilia.de/fileadmin/publikationen/Reihe_Verhuetungsmethoden/Pille_Spirale_danach_tuerkisch_2011.pdf","x")</f>
        <v>x</v>
      </c>
      <c r="CW173" s="112" t="str">
        <f>HYPERLINK("http://www.profamilia.de/fileadmin/publikationen/Reihe_Verhuetungsmethoden/Einleger_tuerkisch.pdf","x")</f>
        <v>x</v>
      </c>
      <c r="CX173" s="112" t="str">
        <f>HYPERLINK("http://www.profamilia.de/fileadmin/publikationen/Reihe_Koerper_und_Sexualtitaet/Bro_Schwangerschaftsabbruch_TR_ANSICHT.pdf","x")</f>
        <v>x</v>
      </c>
      <c r="CY173" s="112" t="str">
        <f>HYPERLINK("http://www.caritas-schwarzwald-alb-donau.de/68854.html","x")</f>
        <v>x</v>
      </c>
      <c r="CZ173" s="112" t="str">
        <f>HYPERLINK("http://www.dgfpi.de/tl_files/download/medien/unwissen-macht-tk.pdf","x")</f>
        <v>x</v>
      </c>
      <c r="DA173" s="112"/>
      <c r="DB173" s="112"/>
      <c r="DC173" s="115" t="str">
        <f>HYPERLINK("http://www.kindersicherheit.de/pdf/2012_Bilderbuch-Gift-Tuerkisch.pdf","x")</f>
        <v>x</v>
      </c>
      <c r="DD173" s="112"/>
      <c r="DE173" s="112"/>
      <c r="DF173" s="112" t="str">
        <f t="shared" si="65"/>
        <v>x</v>
      </c>
      <c r="DG173" s="115" t="str">
        <f t="shared" si="66"/>
        <v>x</v>
      </c>
      <c r="DH173" s="112" t="str">
        <f t="shared" si="67"/>
        <v>x</v>
      </c>
      <c r="DI173" s="112" t="str">
        <f t="shared" si="68"/>
        <v>x</v>
      </c>
      <c r="DJ173" s="112" t="str">
        <f>HYPERLINK("http://www.bibliomedia.ch/de/angebote/dokumente/Glossar_tuerkisch.pdf","x")</f>
        <v>x</v>
      </c>
      <c r="DK173" s="112"/>
      <c r="DL173" s="112"/>
      <c r="DM173" s="112"/>
      <c r="DN173" s="112"/>
      <c r="DO173" s="112"/>
      <c r="DP173" s="111"/>
      <c r="DQ173" s="112" t="str">
        <f>HYPERLINK("http://tipdoc.de/bus/grafik/kinder-tip/SCHULTIP_give_didacta.pdf","x")</f>
        <v>x</v>
      </c>
      <c r="DR173" s="112" t="str">
        <f>HYPERLINK("https://broschueren.nordrheinwestfalendirekt.de/broschuerenservice/msw/tue-das-schulsystem-in-nordrhein-westfalen-einfach-und-schnell-erklaert/1906","x")</f>
        <v>x</v>
      </c>
      <c r="DS173" s="112" t="str">
        <f>HYPERLINK("http://bildung.koeln.de/materialbibliothek/download.php?idx=46d99ecd1cd085058204a036d1394fed","x")</f>
        <v>x</v>
      </c>
      <c r="DT173" s="112" t="str">
        <f>HYPERLINK("http://bildung.koeln.de/materialbibliothek/download.php?idx=5fa16c0085d80ec9f9262f25c773ed7f","x")</f>
        <v>x</v>
      </c>
      <c r="DU173" s="112"/>
      <c r="DV173" s="112" t="str">
        <f>HYPERLINK("https://www.bmbf.de/pub/Kausa_Elternbroschuere_tuerkisch.pdf","x")</f>
        <v>x</v>
      </c>
      <c r="DW173" s="111"/>
      <c r="DX173" s="111"/>
      <c r="DY173" s="111"/>
      <c r="DZ173" s="112" t="str">
        <f>HYPERLINK("http://www.bamf.de/SharedDocs/Anlagen/TR/Publikationen/Flyer/AnerkennungBerufsabschluss/anerkennung-berufsabschluss.pdf?__blob=publicationFile","x")</f>
        <v>x</v>
      </c>
      <c r="EA173" s="112" t="str">
        <f>HYPERLINK("http://www.bamf.de/SharedDocs/Anlagen/TR/Publikationen/Flyer/AnerkennungBerufsabschluss/anerkennung-berufsabschluss_ausland.pdf?__blob=publicationFile","x")</f>
        <v>x</v>
      </c>
      <c r="EB173" s="112" t="str">
        <f>HYPERLINK("http://www.bamf.de/SharedDocs/Anlagen/DE/Publikationen/Broschueren/willkommen-in-deutschland-info-blaue-karte-eu_tr.pdf?__blob=publicationFile","x")</f>
        <v>x</v>
      </c>
      <c r="EC173" s="112" t="str">
        <f>HYPERLINK("http://www.bamf.de/SharedDocs/Anlagen/TR/Publikationen/Flyer/Berufsbezsprachf-ESF-BAMF/berufsbezsprachf-esf-bamf.pdf?__blob=publicationFile","x")</f>
        <v>x</v>
      </c>
      <c r="ED173" s="111"/>
      <c r="EE173" s="111"/>
      <c r="EF173" s="111"/>
      <c r="EG173" s="111"/>
      <c r="EH173" s="111"/>
      <c r="EI173" s="111"/>
      <c r="EJ173" s="112"/>
      <c r="EK173" s="112"/>
      <c r="EL173" s="115"/>
      <c r="EM173" s="112" t="str">
        <f>HYPERLINK("http://www.kvs-sachsen.de/fileadmin/img/Mitglieder/Asylbewerber/Allg-Informationen/Anlage_1_Tuerkisch_LEK.pdf","x")</f>
        <v>x</v>
      </c>
      <c r="EN173" s="112" t="str">
        <f>HYPERLINK("http://www.medizin-hilft-fluechtlingen.de/images/Dokumente/gSch/gSch_tur.pdf","x")</f>
        <v>x</v>
      </c>
      <c r="EO173" s="111"/>
      <c r="EP173" s="117" t="str">
        <f>HYPERLINK("http://www.medi-bild.de/pdf/anamnese/Welche_Sprache.pdf","x")</f>
        <v>x</v>
      </c>
      <c r="EQ173" s="117" t="str">
        <f>HYPERLINK("http://www.armut-gesundheit.de/fileadmin/redakteur/dokumente/Anamnesebogen%20-%20t%C3%BCrkischnew.pdf","x")</f>
        <v>x</v>
      </c>
      <c r="ER173" s="112" t="str">
        <f>HYPERLINK("http://www.kvs-sachsen.de/fileadmin/img/Mitglieder/Asylbewerber/Allg-Informationen/Anlagen_2-1_2-2_Tuerkisch_LEK.pdf","x")</f>
        <v>x</v>
      </c>
      <c r="ES173" s="111"/>
      <c r="ET173" s="111"/>
      <c r="EU173" s="111"/>
      <c r="EV173" s="112" t="str">
        <f>HYPERLINK("http://www.adler-apotheke-hh.de/fileadmin/user_upload/PDF-Dateien/Dosierzettel_mehrsprachig_AUF_0_.pdf","x")</f>
        <v>x</v>
      </c>
      <c r="EW173" s="112" t="str">
        <f t="shared" si="69"/>
        <v>x</v>
      </c>
      <c r="EX173" s="112" t="str">
        <f>HYPERLINK("http://www.rki.de/DE/Content/Infekt/IfSG/Belehrungsbogen/belehrungsbogen_eltern_tuerkisch.pdf?__blob=publicationFile","x")</f>
        <v>x</v>
      </c>
      <c r="EY173" s="112" t="str">
        <f>HYPERLINK("http://www.bzga.de/infomaterialien/?sid=236","x")</f>
        <v>x</v>
      </c>
      <c r="EZ173" s="112" t="str">
        <f>HYPERLINK("https://www.mh-hannover.de/fileadmin/mhh/bilder/aktuelles_presse/pressestelle/bilder/Pilzverg_tuerkisch.pdf","x")</f>
        <v>x</v>
      </c>
      <c r="FA173" s="112"/>
      <c r="FB173" s="116"/>
      <c r="FC173" s="111"/>
      <c r="FD173" s="112" t="str">
        <f t="shared" si="70"/>
        <v>x</v>
      </c>
      <c r="FE173" s="112" t="str">
        <f t="shared" si="75"/>
        <v>x</v>
      </c>
      <c r="FF173" s="112" t="str">
        <f>HYPERLINK("http://www.fuhlenhagen.com/pdf_dateien/uebertzungshilfe_aerzte_mehrsprachig.pdf","x")</f>
        <v>x</v>
      </c>
      <c r="FG173" s="111"/>
      <c r="FH173" s="111"/>
      <c r="FI173" s="111"/>
      <c r="FJ173" s="112"/>
      <c r="FK173" s="112" t="str">
        <f>HYPERLINK("http://www.rki.de/DE/Content/Infekt/Impfen/Materialien/Downloads-Impfkalender/Impfkalender_Tuerkisch.pdf?__blob=publicationFile","x")</f>
        <v>x</v>
      </c>
      <c r="FL173" s="112" t="str">
        <f>HYPERLINK("http://www.ethno-medizinisches-zentrum.de/images/PDF-Files/impfwegweiser_turkisch_2013_online.pdf","x")</f>
        <v>x</v>
      </c>
      <c r="FM173" s="112"/>
      <c r="FN173" s="112" t="str">
        <f>HYPERLINK("http://www.rki.de/DE/Content/Infekt/Impfen/Materialien/Glossar-Downloads/glossar-de-tuerkisch.pdf?__blob=publicationFile","x")</f>
        <v>x</v>
      </c>
      <c r="FO173" s="112"/>
      <c r="FP173" s="112" t="str">
        <f>HYPERLINK("http://www.rki.de/DE/Content/Infekt/Impfen/Materialien/Downloads-MMR/MMR-Impfinfo-tuerkisch.pdf?__blob=publicationFile","x")</f>
        <v>x</v>
      </c>
      <c r="FQ173" s="112"/>
      <c r="FR173" s="112" t="str">
        <f>HYPERLINK("http://www.rki.de/DE/Content/Infekt/Impfen/Materialien/Downloads_HepA/Aufklaerung_HAV-Impfung_Tuerkisch.pdf?__blob=publicationFile","x")</f>
        <v>x</v>
      </c>
      <c r="FS173" s="112" t="str">
        <f>HYPERLINK("http://www.rki.de/DE/Content/Infekt/Impfen/Materialien/Downloads_Pneumokokken/Aufklaerung_Pneumo-Impfung_Tuerkisch.pdf?__blob=publicationFile","x")</f>
        <v>x</v>
      </c>
      <c r="FT173" s="112" t="str">
        <f>HYPERLINK("http://www.rki.de/DE/Content/Infekt/Impfen/Materialien/Downloads-DTaPIPVHibHepB/DTaPIPVHibHepB-tuerkisch.pdf?__blob=publicationFile","x")</f>
        <v>x</v>
      </c>
      <c r="FU173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73" s="112" t="str">
        <f>HYPERLINK("http://www.rki.de/DE/Content/Infekt/Impfen/Materialien/Downloads-Tdap-IPV/Tdap-IPV-tuerkisch.pdf?__blob=publicationFile","x")</f>
        <v>x</v>
      </c>
      <c r="FW173" s="112" t="str">
        <f>HYPERLINK("http://www.rki.de/DE/Content/Infekt/Impfen/Materialien/Downloads-Influenza_nasal/Influenza_nasal-tuerkisch.pdf?__blob=publicationFile","x")</f>
        <v>x</v>
      </c>
      <c r="FX173" s="112" t="str">
        <f>HYPERLINK("http://www.medical-tribune.de/fileadmin/PDF/Arthrose_tuerkisch.pdf","x")</f>
        <v>x</v>
      </c>
      <c r="FY173" s="112"/>
      <c r="FZ173" s="112" t="str">
        <f>HYPERLINK("http://www.medical-tribune.de/fileadmin/PDF/Bluthochdruck_tuerkisch.pdf","x")</f>
        <v>x</v>
      </c>
      <c r="GA173" s="112"/>
      <c r="GB173" s="112"/>
      <c r="GC173" s="112" t="str">
        <f>HYPERLINK("http://www.medical-tribune.de/fileadmin/PDF/Demenz_tuerkisch.pdf","x")</f>
        <v>x</v>
      </c>
      <c r="GD173" s="115" t="str">
        <f>HYPERLINK("http://www.ethno-medizinisches-zentrum.de/images/PDF-Files/lf_diabetes_turkisch.pdf","x")</f>
        <v>x</v>
      </c>
      <c r="GE173" s="112" t="str">
        <f>HYPERLINK("http://www.medical-tribune.de/fileadmin/PDF/Divertikel_tuerkisch.pdf","x")</f>
        <v>x</v>
      </c>
      <c r="GF173" s="112"/>
      <c r="GG173" s="112" t="str">
        <f>HYPERLINK("http://www.medical-tribune.de/fileadmin/PDF/Gallenstein_tuerkisch.pdf","x")</f>
        <v>x</v>
      </c>
      <c r="GH173" s="112"/>
      <c r="GI173" s="112" t="str">
        <f>HYPERLINK("http://www.tipdoc.de/bus/pdf/hepatitis/Hep_B_Webseite.pdf","x")</f>
        <v>x</v>
      </c>
      <c r="GJ173" s="112" t="str">
        <f>HYPERLINK("http://www.tipdoc.de/bus/pdf/hepatitis/Hep_C_Webseite.pdf","x")</f>
        <v>x</v>
      </c>
      <c r="GK173" s="111"/>
      <c r="GL173" s="111"/>
      <c r="GM173" s="112" t="str">
        <f>HYPERLINK("http://www.rki.de/DE/Content/Infekt/Impfen/Materialien/Downloads-Influenza/Influenza-tuerkisch.pdf?__blob=publicationFile","x")</f>
        <v>x</v>
      </c>
      <c r="GN173" s="112" t="str">
        <f>HYPERLINK("http://www.medical-tribune.de/fileadmin/PDF/Erkaeltung_tuerkisch.pdf","x")</f>
        <v>x</v>
      </c>
      <c r="GO173" s="112"/>
      <c r="GP173" s="112" t="str">
        <f>HYPERLINK("http://www.medi-bild.de/pdf/kopflaeuse2/Kopflaeuse_TURK.pdf","x")</f>
        <v>x</v>
      </c>
      <c r="GQ173" s="112"/>
      <c r="GR173" s="111"/>
      <c r="GS173" s="111"/>
      <c r="GT173" s="115" t="str">
        <f>HYPERLINK("http://www.medical-tribune.de/fileadmin/PDF/Migraene_tuerkisch.pdf","x")</f>
        <v>x</v>
      </c>
      <c r="GU173" s="112" t="str">
        <f>HYPERLINK("http://www.medical-tribune.de/fileadmin/PDF/Rueckenschmerzen_tuerkisch.pdf","x")</f>
        <v>x</v>
      </c>
      <c r="GV173" s="112"/>
      <c r="GW173" s="112" t="str">
        <f>HYPERLINK("http://www.medical-tribune.de/fileadmin/PDF/Schlafstoerungen_tuerkisch.pdf","x")</f>
        <v>x</v>
      </c>
      <c r="GX173" s="112" t="str">
        <f>HYPERLINK("http://www.medical-tribune.de/fileadmin/PDF/Schwindel_tuerkisch.pdf","x")</f>
        <v>x</v>
      </c>
      <c r="GY173" s="112" t="str">
        <f>HYPERLINK("http://www.medical-tribune.de/fileadmin/PDF/Sodbrennen_tuerkisch.pdf","x")</f>
        <v>x</v>
      </c>
      <c r="GZ173" s="112" t="str">
        <f>HYPERLINK("http://www.medical-tribune.de/fileadmin/PDF/Sportverletzungen_tuerkisch.pdf","x")</f>
        <v>x</v>
      </c>
      <c r="HA173" s="112" t="str">
        <f>HYPERLINK("http://www.medical-tribune.de/fileadmin/PDF/Thrombose_tuerkisch.pdf","x")</f>
        <v>x</v>
      </c>
      <c r="HB173" s="112"/>
      <c r="HC173" s="112" t="str">
        <f t="shared" si="71"/>
        <v>x</v>
      </c>
      <c r="HD173" s="112" t="str">
        <f>HYPERLINK("https://www.zahnaerzte-wl.de/images/_PDF-suche/KZV_ZÄK/ENDSTAND_Ankreuzbogen_Ich_verstehe.pdf","x")</f>
        <v>x</v>
      </c>
      <c r="HE173" s="112" t="str">
        <f>HYPERLINK("https://www.zahnaerzte-wl.de/images/_PDF-suche/KZV_ZÄK/Anschreiben_Patienten_tuerkisch.pdf","x")</f>
        <v>x</v>
      </c>
      <c r="HF173" s="112" t="str">
        <f>HYPERLINK("https://www.zahnaerzte-wl.de/images/_PDF-suche/KZV_ZÄK/Fragebogen_tuerkisch.pdf","x")</f>
        <v>x</v>
      </c>
      <c r="HG173" s="112" t="str">
        <f>HYPERLINK("https://www.zahnaerzte-wl.de/images/_PDF-suche/KZV_ZÄK/Patientenerhebungsbogen_tuerkisch.pdf","x")</f>
        <v>x</v>
      </c>
      <c r="HH173" s="112"/>
      <c r="HI173" s="112" t="str">
        <f>HYPERLINK("http://www.bvkm.de/fileadmin/web_data/Behinderung_und_Migration_tuerkisch_2014.pdf","x")</f>
        <v>x</v>
      </c>
      <c r="HJ173" s="112" t="str">
        <f>HYPERLINK("http://www.ibbc-berlin.de/media/bvkm_Bro_de-tuerk_Berlin_web%20Endversion.pdf","x")</f>
        <v>x</v>
      </c>
      <c r="HK173" s="112" t="str">
        <f>HYPERLINK("http://www.psychenet.de/tr/ruhsal-saglik/bilgiler/depresyon.html","x")</f>
        <v>x</v>
      </c>
      <c r="HL173" s="115" t="str">
        <f>HYPERLINK("http://www.ethno-medizinisches-zentrum.de/images/PDF-Files/lf_depression_tr.pdf","x")</f>
        <v>x</v>
      </c>
      <c r="HM173" s="115" t="str">
        <f>HYPERLINK("http://www.psychenet.de/tr/ruhsal-saglik/bilgiler/psikoz.html","x")</f>
        <v>x</v>
      </c>
      <c r="HN173" s="115" t="str">
        <f>HYPERLINK("http://www.psychenet.de/tr/ruhsal-saglik/bilgiler/somatoform-bozukluklar.html","x")</f>
        <v>x</v>
      </c>
      <c r="HO173" s="115" t="str">
        <f>HYPERLINK("http://www.psychenet.de/tr/ruhsal-saglik/bilgiler/asiri-zayiflik.html","x")</f>
        <v>x</v>
      </c>
      <c r="HP173" s="115" t="str">
        <f>HYPERLINK("http://www.psychenet.de/tr/ruhsal-saglik/bilgiler/bulimia.html","x")</f>
        <v>x</v>
      </c>
      <c r="HQ173" s="115" t="str">
        <f>HYPERLINK("http://www.psychenet.de/tr/ruhsal-saglik/bilgiler/bipolar-bozukluk.html","x")</f>
        <v>x</v>
      </c>
      <c r="HR173" s="115" t="str">
        <f>HYPERLINK("http://www.psychenet.de/tr/ruhsal-saglik/bilgiler/agorafobili-panik-bozukluk.html","x")</f>
        <v>x</v>
      </c>
      <c r="HS173" s="115" t="str">
        <f>HYPERLINK("http://www.psychenet.de/tr/ruhsal-saglik/bilgiler/sosyal-fobi.html","x")</f>
        <v>x</v>
      </c>
      <c r="HT173" s="115"/>
      <c r="HU173" s="115" t="str">
        <f>HYPERLINK("http://www.psychenet.de/tr/ruhsal-saglik/bilgiler/burnout.html","x")</f>
        <v>x</v>
      </c>
      <c r="HV173" s="115" t="str">
        <f>HYPERLINK("http://www.psychenet.de/tr/ruhsal-saglik/bilgiler/bilgiler-ve-destek.html","x")</f>
        <v>x</v>
      </c>
      <c r="HW173" s="115" t="str">
        <f>HYPERLINK("http://www.medical-tribune.de/fileadmin/PDF/Restless_Legs_tuerkisch.pdf","x")</f>
        <v>x</v>
      </c>
      <c r="HX173" s="115" t="str">
        <f>HYPERLINK("http://www.bkk-psychisch-gesund.de/fileadmin/user_upload/Dokumente/Versicherte/Broschueren/Wegweiser_Psychotherapie_tuerkisch.pdf","x")</f>
        <v>x</v>
      </c>
      <c r="HY173" s="112" t="str">
        <f t="shared" si="72"/>
        <v>x</v>
      </c>
      <c r="HZ173" s="112" t="str">
        <f t="shared" si="73"/>
        <v>x</v>
      </c>
      <c r="IA173" s="115"/>
      <c r="IB173" s="115"/>
      <c r="IC173" s="115"/>
      <c r="ID173" s="115"/>
      <c r="IE173" s="115" t="str">
        <f>HYPERLINK("http://www.psychenet.de/tr/ruhsal-saglik/bilgiler/genclerde-alkol-tueketimi.html","x")</f>
        <v>x</v>
      </c>
      <c r="IF173" s="115"/>
      <c r="IG173" s="115"/>
      <c r="IH173" s="112" t="str">
        <f>HYPERLINK("http://www.ethno-medizinisches-zentrum.de/images/PDF-Files/lf_mediensucht_tr_geschutzt.pdf","x")</f>
        <v>x</v>
      </c>
      <c r="II173" s="115" t="str">
        <f>HYPERLINK("http://www.caritas.de/hilfeundberatung/onlineberatung/suchtberatung/haeufiggestelltefragensucht/haeufiggestelltefragen-sucht","x")</f>
        <v>x</v>
      </c>
      <c r="IJ173" s="115" t="str">
        <f>HYPERLINK("http://www.bzga.de/infomaterialien/suchtvorbeugung/","x")</f>
        <v>x</v>
      </c>
      <c r="IK173" s="112" t="str">
        <f>HYPERLINK("http://www.bamf.de/SharedDocs/Anlagen/TR/Publikationen/Flyer/Lassen-Sie-Sich-Beraten/lassen-sie-sich-beraten.pdf?__blob=publicationFile","x")</f>
        <v>x</v>
      </c>
      <c r="IL173" s="111"/>
      <c r="IM173" s="111"/>
      <c r="IN173" s="112" t="str">
        <f>HYPERLINK("https://www.bamf.de/SharedDocs/Anlagen/TR/Publikationen/Broschueren/willkommen-in-deutschland-tr.pdf?__blob=publicationFile","x")</f>
        <v>x</v>
      </c>
      <c r="IO173" s="112"/>
      <c r="IP173" s="111"/>
      <c r="IQ173" s="112" t="str">
        <f>HYPERLINK("http://www.bamf.de/SharedDocs/Anlagen/TR/Publikationen/Flyer/Lernen-Sie-Deutsch/lernen-sie-deutsch.pdf?__blob=publicationFile","x")</f>
        <v>x</v>
      </c>
      <c r="IR173" s="112"/>
      <c r="IS173" s="111"/>
      <c r="IT173" s="111"/>
      <c r="IU173" s="111"/>
      <c r="IV173" s="112" t="str">
        <f>HYPERLINK("http://www.asyl.net/fileadmin/user_upload/infoblatt_anhoerung/Tuerk_final.pdf","x")</f>
        <v>x</v>
      </c>
      <c r="IW173" s="112"/>
      <c r="IX173" s="112" t="str">
        <f>HYPERLINK("http://www.berlin.de/labo/willkommen-in-berlin/service/downloads/artikel.273193.php","x")</f>
        <v>x</v>
      </c>
      <c r="IY173" s="112" t="str">
        <f>HYPERLINK("http://www.bamf.de/SharedDocs/Anlagen/TR/Publikationen/Broschueren/broschuere-eat-a4-tr.pdf?__blob=publicationFile","x")</f>
        <v>x</v>
      </c>
      <c r="IZ173" s="111"/>
      <c r="JA173" s="111"/>
      <c r="JB173" s="111"/>
      <c r="JC173" s="112"/>
      <c r="JD173" s="111"/>
      <c r="JE173" s="112"/>
      <c r="JF173" s="112"/>
      <c r="JG173" s="112" t="str">
        <f>HYPERLINK("http://www.bamf.de/SharedDocs/Anlagen/TR/Publikationen/Flyer/Ehegattennachzug/ehegattennachzug.pdf?__blob=publicationFile","x")</f>
        <v>x</v>
      </c>
      <c r="JH173" s="112"/>
      <c r="JI173" s="111"/>
      <c r="JJ173" s="112"/>
      <c r="JK173" s="112"/>
      <c r="JL173" s="112"/>
      <c r="JM173" s="112" t="str">
        <f>HYPERLINK("https://www.arbeitsagentur.de/web/content/DE/Formulare/Detail/index.htm?dfContentId=L6019022DSTBAI485740","x")</f>
        <v>x</v>
      </c>
      <c r="JN173" s="112"/>
      <c r="JO173" s="112"/>
      <c r="JP173" s="112"/>
      <c r="JQ173" s="112"/>
      <c r="JR173" s="112" t="str">
        <f t="shared" si="76"/>
        <v>x</v>
      </c>
      <c r="JS173" s="112"/>
      <c r="JT173" s="111"/>
      <c r="JU173" s="111"/>
      <c r="JV173" s="111"/>
      <c r="JW173" s="112"/>
      <c r="JX173" s="112"/>
      <c r="JY173" s="112"/>
      <c r="JZ173" s="112"/>
      <c r="KA173" s="112"/>
      <c r="KB173" s="112" t="str">
        <f>HYPERLINK("http://www.refugeeguide.de/dl/RefugeeGuide_tu_1208.pdf","x")</f>
        <v>x</v>
      </c>
      <c r="KC173" s="112" t="str">
        <f>HYPERLINK("http://www.bpb.de/shop/buecher/grundgesetz/34367/grundgesetz-fuer-die-bundesrepublik-deutschland","x")</f>
        <v>x</v>
      </c>
      <c r="KD173" s="112" t="str">
        <f>HYPERLINK("http://www.wedel.de/fileadmin/user_upload/media/pdf/Rathaus_und_Politik/20160118_PM_Broschuere.pdf","x")</f>
        <v>x</v>
      </c>
      <c r="KE173" s="112"/>
      <c r="KF173" s="111"/>
      <c r="KG173" s="112"/>
      <c r="KH173" s="112"/>
      <c r="KI173" s="112"/>
      <c r="KJ173" s="112"/>
      <c r="KK173" s="112"/>
      <c r="KL173" s="112"/>
      <c r="KM173" s="112"/>
      <c r="KN173" s="112"/>
      <c r="KO173" s="112"/>
      <c r="KP173" s="112"/>
      <c r="KQ173" s="112"/>
      <c r="KR173" s="112"/>
      <c r="KS173" s="112"/>
      <c r="KT173" s="112"/>
      <c r="KU173" s="112"/>
      <c r="KV173" s="112"/>
      <c r="KW173" s="112"/>
      <c r="KX173" s="112"/>
      <c r="KY173" s="112"/>
      <c r="KZ173" s="112"/>
      <c r="LA173" s="112"/>
      <c r="LB173" s="112"/>
      <c r="LC173" s="111"/>
      <c r="LD173" s="111"/>
      <c r="LE173" s="111"/>
      <c r="LF173" s="111"/>
      <c r="LG173" s="111"/>
      <c r="LH173" s="111"/>
      <c r="LI173" s="111"/>
      <c r="LJ173" s="111"/>
      <c r="LK173" s="111"/>
      <c r="LL173" s="111"/>
      <c r="LM173" s="111"/>
      <c r="LN173" s="111"/>
      <c r="LO173" s="111"/>
      <c r="LP173" s="111"/>
      <c r="LQ173" s="111"/>
      <c r="LR173" s="111"/>
      <c r="LS173" s="111"/>
      <c r="LT173" s="111"/>
      <c r="LU173" s="111"/>
      <c r="LV173" s="111"/>
      <c r="LW173" s="111"/>
      <c r="LX173" s="111"/>
      <c r="LY173" s="111"/>
      <c r="LZ173" s="111"/>
      <c r="MA173" s="111"/>
      <c r="MB173" s="111"/>
      <c r="MC173" s="111"/>
      <c r="MD173" s="112" t="str">
        <f>HYPERLINK("http://www.rki.de/DE/Content/Infekt/IfSG/Belehrungsbogen/belehrungsbogen_lebensmittel_tuerkisch.pdf?__blob=publicationFile","x")</f>
        <v>x</v>
      </c>
      <c r="ME173" s="111"/>
      <c r="MF173" s="111"/>
      <c r="MG173" s="111"/>
      <c r="MH173" s="111"/>
      <c r="MI173" s="112" t="str">
        <f>HYPERLINK("http://www.kindersicherheit.de/pdf/2012_poster_achtunggiftig_8sprachig.pdf","x")</f>
        <v>x</v>
      </c>
    </row>
    <row r="174" spans="1:347" x14ac:dyDescent="0.25">
      <c r="A174" s="102" t="s">
        <v>58</v>
      </c>
      <c r="B174" s="127" t="s">
        <v>130</v>
      </c>
      <c r="C174" s="102"/>
      <c r="D174" s="102"/>
      <c r="E174" s="102"/>
      <c r="F174" s="102"/>
      <c r="G174" s="102"/>
      <c r="H174" s="102"/>
      <c r="I174" s="102"/>
      <c r="J174" s="102"/>
      <c r="K174" s="103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3"/>
      <c r="AW174" s="114" t="str">
        <f t="shared" si="55"/>
        <v>x</v>
      </c>
      <c r="AX174" s="114" t="str">
        <f t="shared" si="56"/>
        <v>x</v>
      </c>
      <c r="AY174" s="111"/>
      <c r="AZ174" s="111"/>
      <c r="BA174" s="112" t="str">
        <f t="shared" si="57"/>
        <v>x</v>
      </c>
      <c r="BB174" s="112" t="str">
        <f t="shared" si="58"/>
        <v>x</v>
      </c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2" t="str">
        <f t="shared" si="59"/>
        <v>x</v>
      </c>
      <c r="BT174" s="112"/>
      <c r="BU174" s="111"/>
      <c r="BV174" s="112" t="str">
        <f t="shared" si="60"/>
        <v>x</v>
      </c>
      <c r="BW174" s="112"/>
      <c r="BX174" s="112"/>
      <c r="BY174" s="112"/>
      <c r="BZ174" s="112"/>
      <c r="CA174" s="112" t="str">
        <f t="shared" si="61"/>
        <v>x</v>
      </c>
      <c r="CB174" s="112" t="str">
        <f t="shared" si="62"/>
        <v>x</v>
      </c>
      <c r="CC174" s="112" t="str">
        <f t="shared" si="63"/>
        <v>x</v>
      </c>
      <c r="CD174" s="112"/>
      <c r="CE174" s="112"/>
      <c r="CF174" s="111"/>
      <c r="CG174" s="111"/>
      <c r="CH174" s="111"/>
      <c r="CI174" s="111"/>
      <c r="CJ174" s="111"/>
      <c r="CK174" s="112" t="str">
        <f t="shared" si="64"/>
        <v>x</v>
      </c>
      <c r="CL174" s="112"/>
      <c r="CM174" s="112"/>
      <c r="CN174" s="112"/>
      <c r="CO174" s="112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2"/>
      <c r="DA174" s="112"/>
      <c r="DB174" s="112"/>
      <c r="DC174" s="115"/>
      <c r="DD174" s="112"/>
      <c r="DE174" s="112"/>
      <c r="DF174" s="112" t="str">
        <f t="shared" si="65"/>
        <v>x</v>
      </c>
      <c r="DG174" s="115" t="str">
        <f t="shared" si="66"/>
        <v>x</v>
      </c>
      <c r="DH174" s="112" t="str">
        <f t="shared" si="67"/>
        <v>x</v>
      </c>
      <c r="DI174" s="112" t="str">
        <f t="shared" si="68"/>
        <v>x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7"/>
      <c r="EQ174" s="117" t="str">
        <f>HYPERLINK("http://www.armut-gesundheit.de/fileadmin/redakteur/dokumente/Anamnesebogen%20-%20ungarischnew.pdf","x")</f>
        <v>x</v>
      </c>
      <c r="ER174" s="111"/>
      <c r="ES174" s="111"/>
      <c r="ET174" s="111"/>
      <c r="EU174" s="111"/>
      <c r="EV174" s="111"/>
      <c r="EW174" s="112" t="str">
        <f t="shared" si="69"/>
        <v>x</v>
      </c>
      <c r="EX174" s="111"/>
      <c r="EY174" s="111"/>
      <c r="EZ174" s="111"/>
      <c r="FA174" s="111"/>
      <c r="FB174" s="111"/>
      <c r="FC174" s="111"/>
      <c r="FD174" s="112" t="str">
        <f t="shared" si="70"/>
        <v>x</v>
      </c>
      <c r="FE174" s="112" t="str">
        <f t="shared" si="75"/>
        <v>x</v>
      </c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2" t="str">
        <f t="shared" si="71"/>
        <v>x</v>
      </c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2" t="str">
        <f t="shared" si="72"/>
        <v>x</v>
      </c>
      <c r="HZ174" s="112" t="str">
        <f t="shared" si="73"/>
        <v>x</v>
      </c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2" t="str">
        <f t="shared" si="76"/>
        <v>x</v>
      </c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  <c r="MI174" s="111"/>
    </row>
    <row r="175" spans="1:347" x14ac:dyDescent="0.25">
      <c r="A175" s="102" t="s">
        <v>86</v>
      </c>
      <c r="B175" s="127" t="s">
        <v>7</v>
      </c>
      <c r="C175" s="102"/>
      <c r="D175" s="102"/>
      <c r="E175" s="102"/>
      <c r="F175" s="102"/>
      <c r="G175" s="102"/>
      <c r="H175" s="102"/>
      <c r="I175" s="102"/>
      <c r="J175" s="102"/>
      <c r="K175" s="103"/>
      <c r="L175" s="111"/>
      <c r="M175" s="111"/>
      <c r="N175" s="112" t="str">
        <f>HYPERLINK("http://www.ag-fluechtlingshilfe-wetterau.de/uploads/infos/170.pdf","x")</f>
        <v>x</v>
      </c>
      <c r="O175" s="112"/>
      <c r="P175" s="112" t="str">
        <f>HYPERLINK("https://willkommensteamelmshorn.files.wordpress.com/2015/11/sortieranleitung_pinneberg_2015_russisch.pdf","x")</f>
        <v>x</v>
      </c>
      <c r="Q175" s="112"/>
      <c r="R175" s="112"/>
      <c r="S175" s="112"/>
      <c r="T175" s="112"/>
      <c r="U175" s="112"/>
      <c r="V175" s="112"/>
      <c r="W175" s="111"/>
      <c r="X175" s="112"/>
      <c r="Y175" s="111"/>
      <c r="Z175" s="111"/>
      <c r="AA175" s="111"/>
      <c r="AB175" s="111"/>
      <c r="AC175" s="111"/>
      <c r="AD175" s="112" t="str">
        <f>HYPERLINK("http://www.rundfunkbeitrag.de/e175/e1634/Informationsflyer_Buerginnen_und_Buerger_russisch.pdf","x")</f>
        <v>x</v>
      </c>
      <c r="AE175" s="111"/>
      <c r="AF175" s="112" t="str">
        <f>HYPERLINK("http://www.kub-berlin.org/formularprojekt/de/russisch-antraege-und-anlagen/","x")</f>
        <v>x</v>
      </c>
      <c r="AG175" s="111"/>
      <c r="AH175" s="112" t="str">
        <f>HYPERLINK("http://sghanstedt.elbnetz.com/ueber-uns/","x")</f>
        <v>x</v>
      </c>
      <c r="AI175" s="111"/>
      <c r="AJ175" s="111"/>
      <c r="AK175" s="111"/>
      <c r="AL175" s="111"/>
      <c r="AM175" s="111"/>
      <c r="AN175" s="111"/>
      <c r="AO175" s="112"/>
      <c r="AP175" s="112"/>
      <c r="AQ175" s="112"/>
      <c r="AR175" s="112"/>
      <c r="AS175" s="112"/>
      <c r="AT175" s="112"/>
      <c r="AU175" s="112"/>
      <c r="AV175" s="113"/>
      <c r="AW175" s="114" t="str">
        <f t="shared" si="55"/>
        <v>x</v>
      </c>
      <c r="AX175" s="114" t="str">
        <f t="shared" si="56"/>
        <v>x</v>
      </c>
      <c r="AY175" s="111"/>
      <c r="AZ175" s="111"/>
      <c r="BA175" s="112" t="str">
        <f t="shared" si="57"/>
        <v>x</v>
      </c>
      <c r="BB175" s="112" t="str">
        <f t="shared" si="58"/>
        <v>x</v>
      </c>
      <c r="BC175" s="111"/>
      <c r="BD175" s="111"/>
      <c r="BE175" s="111"/>
      <c r="BF175" s="111"/>
      <c r="BG175" s="111"/>
      <c r="BH175" s="111"/>
      <c r="BI175" s="111"/>
      <c r="BJ175" s="111"/>
      <c r="BK175" s="112" t="str">
        <f>HYPERLINK("http://www.agf-trier.de/sites/default/files/bersetzungshilfe%20russisch%20allgemein.pdf","x")</f>
        <v>x</v>
      </c>
      <c r="BL175" s="111"/>
      <c r="BM175" s="112" t="str">
        <f>HYPERLINK("http://www.frnrw.de/images/Aus_den_Initiativen/Ehrenamtler/2015/Dictionary_x10_print-2.pdf","x")</f>
        <v>x</v>
      </c>
      <c r="BN175" s="111"/>
      <c r="BO175" s="111"/>
      <c r="BP175" s="111"/>
      <c r="BQ175" s="111"/>
      <c r="BR175" s="111"/>
      <c r="BS175" s="112" t="str">
        <f t="shared" si="59"/>
        <v>x</v>
      </c>
      <c r="BT175" s="112"/>
      <c r="BU175" s="111"/>
      <c r="BV175" s="112" t="str">
        <f t="shared" si="60"/>
        <v>x</v>
      </c>
      <c r="BW175" s="112" t="str">
        <f>HYPERLINK("http://www.welcomegrooves.de/wp-content/uploads/2015/10/welcomegrooves_DE-RUSSISCH.pdf","x")</f>
        <v>x</v>
      </c>
      <c r="BX175" s="112"/>
      <c r="BY175" s="112"/>
      <c r="BZ175" s="112"/>
      <c r="CA175" s="112" t="str">
        <f t="shared" si="61"/>
        <v>x</v>
      </c>
      <c r="CB175" s="112" t="str">
        <f t="shared" si="62"/>
        <v>x</v>
      </c>
      <c r="CC175" s="112" t="str">
        <f t="shared" si="63"/>
        <v>x</v>
      </c>
      <c r="CD175" s="112"/>
      <c r="CE175" s="112"/>
      <c r="CF175" s="112" t="str">
        <f>HYPERLINK("http://www.agf-trier.de/sites/default/files/bersetzungshilfe%20russisch%20f%C3%BCr%20Frauen.pdf","x")</f>
        <v>x</v>
      </c>
      <c r="CG175" s="112" t="str">
        <f>HYPERLINK("http://www.braunschweig.de/leben/frauen/hilfe/Ohne-Gewalt-leben.pdf","x")</f>
        <v>x</v>
      </c>
      <c r="CH175" s="112" t="str">
        <f>HYPERLINK("http://mifkjf.rlp.de/fileadmin/mifkjf/Frauen/Gewalt_gegen_Frauen/Downloads/Broschueren_Flyer/Flyer_Gewalt_russisch.pdf","x")</f>
        <v>x</v>
      </c>
      <c r="CI175" s="112" t="str">
        <f>HYPERLINK("https://www.hilfetelefon.de/fileadmin/hilfetelefon_de/Materialien/Flyer/Infoflyer_Hilfetelefon_Gewalt_gegen_Frauen141105_b2.pdf","x")</f>
        <v>x</v>
      </c>
      <c r="CJ175" s="112" t="str">
        <f>HYPERLINK("https://www.hilfetelefon.de/fileadmin/hilfetelefon_de/Materialien/weitere_werbemittel/Klappflyer_Vorder-_und_Rueckseite_opt2.pdf","x")</f>
        <v>x</v>
      </c>
      <c r="CK175" s="112" t="str">
        <f t="shared" si="64"/>
        <v>x</v>
      </c>
      <c r="CL175" s="112" t="str">
        <f>HYPERLINK("http://www.frauenberatungsstelle.de/pdf/Migrantinnen-beraten-Migrantinnen.pdf","x")</f>
        <v>x</v>
      </c>
      <c r="CM175" s="112"/>
      <c r="CN175" s="112"/>
      <c r="CO175" s="112"/>
      <c r="CP175" s="112" t="str">
        <f>HYPERLINK("http://www.schwanger-und-viele-fragen.de/ru/","x")</f>
        <v>x</v>
      </c>
      <c r="CQ175" s="112"/>
      <c r="CR175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75" s="112"/>
      <c r="CT175" s="112"/>
      <c r="CU175" s="112" t="str">
        <f>HYPERLINK("http://www.profamilia.de/fileadmin/publikationen/Erwachsene/mehrsprachig/verhuetung_russisch_2011.pdf","x")</f>
        <v>x</v>
      </c>
      <c r="CV175" s="112" t="str">
        <f>HYPERLINK("http://www.profamilia.de/fileadmin/publikationen/Erwachsene/mehrsprachig/Pille_danach_russisch_2012.pdf","x")</f>
        <v>x</v>
      </c>
      <c r="CW175" s="112" t="str">
        <f>HYPERLINK("http://www.profamilia.de/fileadmin/publikationen/Reihe_Verhuetungsmethoden/Einleger_Russisch.pdf","x")</f>
        <v>x</v>
      </c>
      <c r="CX175" s="112" t="str">
        <f>HYPERLINK("http://www.profamilia.de/fileadmin/publikationen/Erwachsene/mehrsprachig/schwangerschaftsabbruch_russisch.pdf","x")</f>
        <v>x</v>
      </c>
      <c r="CY175" s="112" t="str">
        <f>HYPERLINK("http://www.caritas-schwarzwald-alb-donau.de/68854.html","x")</f>
        <v>x</v>
      </c>
      <c r="CZ175" s="112" t="str">
        <f>HYPERLINK("http://www.dgfpi.de/tl_files/download/medien/unwissen-macht-ru.pdf","x")</f>
        <v>x</v>
      </c>
      <c r="DA175" s="112"/>
      <c r="DB175" s="112"/>
      <c r="DC175" s="115" t="str">
        <f>HYPERLINK("http://www.kindersicherheit.de/pdf/2012_Bilderbuch-Gift-Russisch.pdf","x")</f>
        <v>x</v>
      </c>
      <c r="DD175" s="112"/>
      <c r="DE175" s="112"/>
      <c r="DF175" s="112" t="str">
        <f t="shared" si="65"/>
        <v>x</v>
      </c>
      <c r="DG175" s="115" t="str">
        <f t="shared" si="66"/>
        <v>x</v>
      </c>
      <c r="DH175" s="112" t="str">
        <f t="shared" si="67"/>
        <v>x</v>
      </c>
      <c r="DI175" s="112" t="str">
        <f t="shared" si="68"/>
        <v>x</v>
      </c>
      <c r="DJ175" s="112" t="str">
        <f>HYPERLINK("http://www.bibliomedia.ch/de/angebote/dokumente/Glossar_russisch.pdf","x")</f>
        <v>x</v>
      </c>
      <c r="DK175" s="112"/>
      <c r="DL175" s="112"/>
      <c r="DM175" s="112"/>
      <c r="DN175" s="112"/>
      <c r="DO175" s="112"/>
      <c r="DP175" s="111"/>
      <c r="DQ175" s="112" t="str">
        <f>HYPERLINK("http://tipdoc.de/bus/grafik/kinder-tip/SCHULTIP_give_didacta.pdf","x")</f>
        <v>x</v>
      </c>
      <c r="DR175" s="112" t="str">
        <f>HYPERLINK("https://broschueren.nordrheinwestfalendirekt.de/broschuerenservice/msw/rus-das-schulsystem-in-nordrhein-westfalen-einfach-und-schnell-erklaert/1905","x")</f>
        <v>x</v>
      </c>
      <c r="DS175" s="112" t="str">
        <f>HYPERLINK("http://bildung.koeln.de/materialbibliothek/download.php?idx=89409237e8c48c84d1f410e2c231c942","x")</f>
        <v>x</v>
      </c>
      <c r="DT175" s="112" t="str">
        <f>HYPERLINK("http://bildung.koeln.de/materialbibliothek/download.php?idx=3e35937e1b8f8986880efaf07701a323","x")</f>
        <v>x</v>
      </c>
      <c r="DU175" s="112"/>
      <c r="DV175" s="112" t="str">
        <f>HYPERLINK("https://www.bmbf.de/pub/Kausa_Elternbroschuere_russisch.pdf","x")</f>
        <v>x</v>
      </c>
      <c r="DW175" s="112"/>
      <c r="DX175" s="112"/>
      <c r="DY175" s="112" t="str">
        <f>HYPERLINK("http://www.bamf.de/SharedDocs/Anlagen/DE/Publikationen/Flyer/AnerkennungBerufsabschluss/berufliche_anerkennung_akademische-heilberufe_ru.pdf?__blob=publicationFile","x")</f>
        <v>x</v>
      </c>
      <c r="DZ175" s="112" t="str">
        <f>HYPERLINK("http://www.bamf.de/SharedDocs/Anlagen/RU/Publikationen/Flyer/AnerkennungBerufsabschluss/anerkennung-berufsabschluss.pdf?__blob=publicationFile","x")</f>
        <v>x</v>
      </c>
      <c r="EA175" s="112" t="str">
        <f>HYPERLINK("http://www.bamf.de/SharedDocs/Anlagen/RU/Publikationen/Flyer/AnerkennungBerufsabschluss/anerkennung-berufsabschluss_ausland.pdf?__blob=publicationFile","x")</f>
        <v>x</v>
      </c>
      <c r="EB175" s="112" t="str">
        <f>HYPERLINK("http://www.bamf.de/SharedDocs/Anlagen/DE/Publikationen/Broschueren/willkommen-in-deutschland-info-blaue-karte-eu_ru.pdf?__blob=publicationFile","x")</f>
        <v>x</v>
      </c>
      <c r="EC175" s="112" t="str">
        <f>HYPERLINK("http://www.bamf.de/SharedDocs/Anlagen/RU/Publikationen/Flyer/Berufsbezsprachf-ESF-BAMF/berufsbezsprachf-esf-bamf.pdf?__blob=publicationFile","x")</f>
        <v>x</v>
      </c>
      <c r="ED175" s="111"/>
      <c r="EE175" s="111"/>
      <c r="EF175" s="111"/>
      <c r="EG175" s="111"/>
      <c r="EH175" s="111"/>
      <c r="EI175" s="111"/>
      <c r="EJ175" s="112"/>
      <c r="EK175" s="112"/>
      <c r="EL175" s="112"/>
      <c r="EM175" s="112" t="str">
        <f>HYPERLINK("http://www.kvs-sachsen.de/fileadmin/img/Mitglieder/Asylbewerber/Allg-Informationen/Anlage_1_Russisch_LEK.pdf","x")</f>
        <v>x</v>
      </c>
      <c r="EN175" s="112" t="str">
        <f>HYPERLINK("http://www.medizin-hilft-fluechtlingen.de/images/Dokumente/gSch/gSch_ru.pdf","x")</f>
        <v>x</v>
      </c>
      <c r="EO175" s="111"/>
      <c r="EP175" s="117" t="str">
        <f>HYPERLINK("http://www.medi-bild.de/pdf/anamnese/Welche_Sprache.pdf","x")</f>
        <v>x</v>
      </c>
      <c r="EQ175" s="117" t="str">
        <f>HYPERLINK("http://www.armut-gesundheit.de/fileadmin/redakteur/dokumente/Anamnesebogen%20-%20russischnew.pdf","x")</f>
        <v>x</v>
      </c>
      <c r="ER175" s="112" t="str">
        <f>HYPERLINK("http://www.kvs-sachsen.de/fileadmin/img/Mitglieder/Asylbewerber/Allg-Informationen/Anlagen_2-1_2-2_Russisch_LEK.pdf","x")</f>
        <v>x</v>
      </c>
      <c r="ES175" s="111"/>
      <c r="ET175" s="111"/>
      <c r="EU175" s="111"/>
      <c r="EV175" s="111"/>
      <c r="EW175" s="112" t="str">
        <f t="shared" si="69"/>
        <v>x</v>
      </c>
      <c r="EX175" s="112" t="str">
        <f>HYPERLINK("http://www.rki.de/DE/Content/Infekt/IfSG/Belehrungsbogen/belehrungsbogen_eltern_russisch.pdf?__blob=publicationFile","x")</f>
        <v>x</v>
      </c>
      <c r="EY175" s="112" t="str">
        <f>HYPERLINK("http://www.bzga.de/infomaterialien/?sid=236","x")</f>
        <v>x</v>
      </c>
      <c r="EZ175" s="112" t="str">
        <f>HYPERLINK("https://www.mh-hannover.de/fileadmin/mhh/bilder/aktuelles_presse/presseinformationen_news/-Pilzvergif_RUSSISCH_2.pdf","x")</f>
        <v>x</v>
      </c>
      <c r="FA175" s="112"/>
      <c r="FB175" s="111"/>
      <c r="FC175" s="111"/>
      <c r="FD175" s="112" t="str">
        <f t="shared" si="70"/>
        <v>x</v>
      </c>
      <c r="FE175" s="112" t="str">
        <f t="shared" si="75"/>
        <v>x</v>
      </c>
      <c r="FF175" s="111"/>
      <c r="FG175" s="112" t="str">
        <f>HYPERLINK("http://www.tipdoc.de/grafik/asyl/Gesundheitsheft_Asyl.pdf","x")</f>
        <v>x</v>
      </c>
      <c r="FH175" s="111"/>
      <c r="FI175" s="111"/>
      <c r="FJ175" s="112"/>
      <c r="FK175" s="112" t="str">
        <f>HYPERLINK("http://www.rki.de/DE/Content/Infekt/Impfen/Materialien/Downloads-Impfkalender/Impfkalender_Russisch.pdf?__blob=publicationFile","x")</f>
        <v>x</v>
      </c>
      <c r="FL175" s="112" t="str">
        <f>HYPERLINK("http://www.ethno-medizinisches-zentrum.de/images/PDF-Files/impfwegweiser_russisch_2013_online.pdf","x")</f>
        <v>x</v>
      </c>
      <c r="FM175" s="112"/>
      <c r="FN175" s="112" t="str">
        <f>HYPERLINK("http://www.rki.de/DE/Content/Infekt/Impfen/Materialien/Glossar-Downloads/glossar-de-russisch.pdf?__blob=publicationFile","x")</f>
        <v>x</v>
      </c>
      <c r="FO175" s="112" t="str">
        <f>HYPERLINK("http://tvoyashkola10.ru/img/VPD-Signs,-symptoms-and-complications-RUS.pdf","x")</f>
        <v>x</v>
      </c>
      <c r="FP175" s="112" t="str">
        <f>HYPERLINK("http://www.rki.de/DE/Content/Infekt/Impfen/Materialien/Downloads-MMR/MMR-Impfinfo-russisch.pdf?__blob=publicationFile","x")</f>
        <v>x</v>
      </c>
      <c r="FQ175" s="112"/>
      <c r="FR175" s="112" t="str">
        <f>HYPERLINK("http://www.rki.de/DE/Content/Infekt/Impfen/Materialien/Downloads_HepA/Aufklaerung_HAV-Impfung_Russisch.pdf?__blob=publicationFile","x")</f>
        <v>x</v>
      </c>
      <c r="FS175" s="112" t="str">
        <f>HYPERLINK("http://www.rki.de/DE/Content/Infekt/Impfen/Materialien/Downloads_Pneumokokken/Aufklaerung_Pneumo-Impfung_Russisch.pdf?__blob=publicationFile","x")</f>
        <v>x</v>
      </c>
      <c r="FT175" s="112" t="str">
        <f>HYPERLINK("http://www.rki.de/DE/Content/Infekt/Impfen/Materialien/Downloads-DTaPIPVHibHepB/DTaPIPVHibHepB-russisch.pdf?__blob=publicationFile","x")</f>
        <v>x</v>
      </c>
      <c r="FU175" s="112" t="str">
        <f>HYPERLINK("http://www.rki.de/DE/Content/Infekt/Impfen/Materialien/Downloads-Varizellen/Varizellen-Impfinfo-russisch.pdf;jsessionid=65B697F4EE7EDA8A1ED9E2C4CD6C74EC.2_cid363?__blob=publicationFile","x")</f>
        <v>x</v>
      </c>
      <c r="FV175" s="112" t="str">
        <f>HYPERLINK("http://www.rki.de/DE/Content/Infekt/Impfen/Materialien/Downloads-Tdap-IPV/Tdap-IPV-russisch.pdf?__blob=publicationFile","x")</f>
        <v>x</v>
      </c>
      <c r="FW175" s="112" t="str">
        <f>HYPERLINK("http://www.rki.de/DE/Content/Infekt/Impfen/Materialien/Downloads-Influenza_nasal/Influenza_nasal-russisch.pdf?__blob=publicationFile","x")</f>
        <v>x</v>
      </c>
      <c r="FX175" s="112" t="str">
        <f>HYPERLINK("http://www.medical-tribune.de/fileadmin/PDF/PI_Arthrose_russ.pdf","x")</f>
        <v>x</v>
      </c>
      <c r="FY175" s="112" t="str">
        <f>HYPERLINK("http://www.medical-tribune.de/fileadmin/PDF/Astma_russisch.pdf","x")</f>
        <v>x</v>
      </c>
      <c r="FZ175" s="112" t="str">
        <f>HYPERLINK("http://www.medical-tribune.de/fileadmin/PDF/Bluthochdruck_russisch.pdf","x")</f>
        <v>x</v>
      </c>
      <c r="GA175" s="112" t="str">
        <f>HYPERLINK("http://www.medical-tribune.de/fileadmin/PDF/Cholesterin_russisch.pdf","x")</f>
        <v>x</v>
      </c>
      <c r="GB175" s="112" t="str">
        <f>HYPERLINK("http://www.medical-tribune.de/fileadmin/PDF/COPD-Bronchitis-russ.pdf","x")</f>
        <v>x</v>
      </c>
      <c r="GC175" s="112" t="str">
        <f>HYPERLINK("http://www.medical-tribune.de/fileadmin/PDF/PI_Demenz_russ.pdf","x")</f>
        <v>x</v>
      </c>
      <c r="GD175" s="112" t="str">
        <f>HYPERLINK("http://www.ethno-medizinisches-zentrum.de/images/PDF-Files/lf_diabete_russisch.pdf","x")</f>
        <v>x</v>
      </c>
      <c r="GE175" s="112" t="str">
        <f>HYPERLINK("http://www.medical-tribune.de/fileadmin/PDF/PI_Divertikel_russ.pdf","x")</f>
        <v>x</v>
      </c>
      <c r="GF175" s="112" t="str">
        <f>HYPERLINK("http://www.medical-tribune.de/fileadmin/PDF/PAVK_russ.pdf","x")</f>
        <v>x</v>
      </c>
      <c r="GG175" s="112" t="str">
        <f>HYPERLINK("http://www.medical-tribune.de/fileadmin/PDF/PI_Gallensteine_russ.pdf","x")</f>
        <v>x</v>
      </c>
      <c r="GH175" s="112" t="str">
        <f>HYPERLINK("http://www.medical-tribune.de/fileadmin/PDF/Gicht_russisch.pdf","x")</f>
        <v>x</v>
      </c>
      <c r="GI175" s="112" t="str">
        <f>HYPERLINK("http://www.tipdoc.de/bus/pdf/hepatitis/Hep_B_Webseite.pdf","x")</f>
        <v>x</v>
      </c>
      <c r="GJ175" s="112" t="str">
        <f>HYPERLINK("http://www.tipdoc.de/bus/pdf/hepatitis/Hep_C_Webseite.pdf","x")</f>
        <v>x</v>
      </c>
      <c r="GK175" s="112" t="str">
        <f>HYPERLINK("http://www.tipdoc.de/bus/pdf/hiv/HIV%20SRF_Webseite.pdf","x")</f>
        <v>x</v>
      </c>
      <c r="GL175" s="111"/>
      <c r="GM175" s="112" t="str">
        <f>HYPERLINK("http://www.rki.de/DE/Content/Infekt/Impfen/Materialien/Downloads-Influenza/Influenza-russisch.pdf?__blob=publicationFile","x")</f>
        <v>x</v>
      </c>
      <c r="GN175" s="112" t="str">
        <f>HYPERLINK("http://www.medical-tribune.de/fileadmin/PDF/PI_Erkaeltung_russ.pdf","x")</f>
        <v>x</v>
      </c>
      <c r="GO175" s="112"/>
      <c r="GP175" s="112" t="str">
        <f>HYPERLINK("http://www.tipdoc.de/grafik/pdf/kopflaeuse/Kopflaeuse_RUSS.pdf","x")</f>
        <v>x</v>
      </c>
      <c r="GQ175" s="112" t="str">
        <f>HYPERLINK("http://www.bing.com/search?q=Medical+tribune+KHK+russ&amp;qs=n&amp;form=QBRE&amp;pq=medical+tribune+khk+russ&amp;sc=0-16&amp;sp=-1&amp;sk=&amp;cvid=9C7440E0A0144B029D31F2004BF1F219","x")</f>
        <v>x</v>
      </c>
      <c r="GR175" s="112" t="str">
        <f>HYPERLINK("http://www.tipdoc.com/bus/pdf/kraetze/tipdoc_Scabies_RUSS.pdf","x")</f>
        <v>x</v>
      </c>
      <c r="GS175" s="112" t="str">
        <f>HYPERLINK("http://www.tipdoc.com/bus/pdf/MagenDarmHaende/MagenDarmHaende_RUSS.pdf","x")</f>
        <v>x</v>
      </c>
      <c r="GT175" s="112" t="str">
        <f>HYPERLINK("http://www.medical-tribune.de/fileadmin/PDF/Migraene_russ.pdf","x")</f>
        <v>x</v>
      </c>
      <c r="GU175" s="112" t="str">
        <f>HYPERLINK("http://www.medical-tribune.de/fileadmin/PDF/Rueckenschmerzen_russisch.pdf","x")</f>
        <v>x</v>
      </c>
      <c r="GV175" s="112" t="str">
        <f>HYPERLINK("http://www.medical-tribune.de/fileadmin/PDF/Schlafapnoe_russisch.pdf","x")</f>
        <v>x</v>
      </c>
      <c r="GW175" s="112" t="str">
        <f>HYPERLINK("http://www.medical-tribune.de/fileadmin/PDF/Schlafstoerungen_russisch.pdf","x")</f>
        <v>x</v>
      </c>
      <c r="GX175" s="112" t="str">
        <f>HYPERLINK("http://www.medical-tribune.de/fileadmin/PDF/Schwindel_russisch.pdf","x")</f>
        <v>x</v>
      </c>
      <c r="GY175" s="112" t="str">
        <f>HYPERLINK("http://www.medical-tribune.de/fileadmin/PDF/Sodbrennen_russisch.pdf","x")</f>
        <v>x</v>
      </c>
      <c r="GZ175" s="112" t="str">
        <f>HYPERLINK("http://www.medical-tribune.de/fileadmin/PDF/Sportverletzungen_russisch.pdf","x")</f>
        <v>x</v>
      </c>
      <c r="HA175" s="112" t="str">
        <f>HYPERLINK("http://www.medical-tribune.de/fileadmin/PDF/Thrombose_russisch.pdf","x")</f>
        <v>x</v>
      </c>
      <c r="HB175" s="112" t="str">
        <f>HYPERLINK("http://www.medical-tribune.de/fileadmin/PDF/Verstopfung_russisch.pdf","x")</f>
        <v>x</v>
      </c>
      <c r="HC175" s="112" t="str">
        <f t="shared" si="71"/>
        <v>x</v>
      </c>
      <c r="HD175" s="111"/>
      <c r="HE175" s="111"/>
      <c r="HF175" s="111"/>
      <c r="HG175" s="111"/>
      <c r="HH175" s="111"/>
      <c r="HI175" s="112" t="str">
        <f>HYPERLINK("http://www.bvkm.de/fileadmin/web_data/Behinderung_und_Migation_russisch_2014.pdf","x")</f>
        <v>x</v>
      </c>
      <c r="HJ175" s="111"/>
      <c r="HK175" s="112"/>
      <c r="HL175" s="112" t="str">
        <f>HYPERLINK("http://www.ethno-medizinisches-zentrum.de/images/PDF-Files/lf_depression_rus.pdf","x")</f>
        <v>x</v>
      </c>
      <c r="HM175" s="112"/>
      <c r="HN175" s="112"/>
      <c r="HO175" s="112"/>
      <c r="HP175" s="112"/>
      <c r="HQ175" s="112"/>
      <c r="HR175" s="112"/>
      <c r="HS175" s="112"/>
      <c r="HT175" s="112"/>
      <c r="HU175" s="112"/>
      <c r="HV175" s="112"/>
      <c r="HW175" s="112" t="str">
        <f>HYPERLINK("http://www.medical-tribune.de/fileadmin/PDF/RestlessLegs_russ.pdf","x")</f>
        <v>x</v>
      </c>
      <c r="HX175" s="112" t="str">
        <f>HYPERLINK("http://www.bkk-psychisch-gesund.de/fileadmin/user_upload/bkk-psychisch-gesund.de/PDFs/Migrantenwegweiser_Psychotherpie_russisch.pdf","x")</f>
        <v>x</v>
      </c>
      <c r="HY175" s="112" t="str">
        <f t="shared" si="72"/>
        <v>x</v>
      </c>
      <c r="HZ175" s="112" t="str">
        <f t="shared" si="73"/>
        <v>x</v>
      </c>
      <c r="IA175" s="112"/>
      <c r="IB175" s="112"/>
      <c r="IC175" s="112"/>
      <c r="ID175" s="112"/>
      <c r="IE175" s="112"/>
      <c r="IF175" s="112"/>
      <c r="IG175" s="112"/>
      <c r="IH175" s="112" t="str">
        <f>HYPERLINK("http://www.ethno-medizinisches-zentrum.de/images/PDF-Files/lf_mediensucht_ru_geschutzt.pdf","x")</f>
        <v>x</v>
      </c>
      <c r="II175" s="112" t="str">
        <f>HYPERLINK("http://www.caritas.de/hilfeundberatung/onlineberatung/suchtberatung/haeufiggestelltefragensucht/haeufiggestelltefragen-sucht","x")</f>
        <v>x</v>
      </c>
      <c r="IJ175" s="112" t="str">
        <f>HYPERLINK("http://www.bzga.de/infomaterialien/suchtvorbeugung/","x")</f>
        <v>x</v>
      </c>
      <c r="IK175" s="112" t="str">
        <f>HYPERLINK("http://www.bamf.de/SharedDocs/Anlagen/RU/Publikationen/Flyer/Lassen-Sie-Sich-Beraten/lassen-sie-sich-beraten.pdf?__blob=publicationFile","x")</f>
        <v>x</v>
      </c>
      <c r="IL175" s="112" t="str">
        <f>HYPERLINK("http://www.bamf.de/SharedDocs/Anlagen/DE/Publikationen/Flyer/flyer-erstorientierung-asylsuchende_russisch.pdf?__blob=publicationFile","x")</f>
        <v>x</v>
      </c>
      <c r="IM175" s="111"/>
      <c r="IN175" s="112" t="str">
        <f>HYPERLINK("https://www.bamf.de/SharedDocs/Anlagen/RU/Publikationen/Broschueren/willkommen-in-deutschland-ru.pdf?__blob=publicationFile","x")</f>
        <v>x</v>
      </c>
      <c r="IO175" s="112"/>
      <c r="IP175" s="111"/>
      <c r="IQ175" s="112" t="str">
        <f>HYPERLINK("http://www.bamf.de/SharedDocs/Anlagen/RU/Publikationen/Flyer/Lernen-Sie-Deutsch/lernen-sie-deutsch.pdf?__blob=publicationFile","x")</f>
        <v>x</v>
      </c>
      <c r="IR175" s="112"/>
      <c r="IS175" s="111"/>
      <c r="IT175" s="111"/>
      <c r="IU175" s="111"/>
      <c r="IV175" s="112" t="str">
        <f>HYPERLINK("http://www.asyl.net/fileadmin/user_upload/infoblatt_anhoerung/Infoblatt_2015_russ_fin.pdf","x")</f>
        <v>x</v>
      </c>
      <c r="IW175" s="112"/>
      <c r="IX175" s="112" t="str">
        <f>HYPERLINK("http://www.berlin.de/labo/willkommen-in-berlin/service/downloads/artikel.273193.php","x")</f>
        <v>x</v>
      </c>
      <c r="IY175" s="112" t="str">
        <f>HYPERLINK("http://www.bamf.de/SharedDocs/Anlagen/RU/Publikationen/Broschueren/broschuere-eat-a4.pdf?__blob=publicationFile","x")</f>
        <v>x</v>
      </c>
      <c r="IZ175" s="111"/>
      <c r="JA175" s="112" t="str">
        <f>HYPERLINK("http://fluechtlingsrat-bw.de/informationen-fuer-fluechtlinge.html","x")</f>
        <v>x</v>
      </c>
      <c r="JB175" s="111"/>
      <c r="JC175" s="112"/>
      <c r="JD175" s="111"/>
      <c r="JE175" s="112"/>
      <c r="JF175" s="112"/>
      <c r="JG175" s="112" t="str">
        <f>HYPERLINK("http://www.bamf.de/SharedDocs/Anlagen/RU/Publikationen/Flyer/Ehegattennachzug/ehegattennachzug.pdf?__blob=publicationFile","x")</f>
        <v>x</v>
      </c>
      <c r="JH175" s="112"/>
      <c r="JI175" s="111"/>
      <c r="JJ175" s="112"/>
      <c r="JK175" s="112"/>
      <c r="JL175" s="112" t="str">
        <f>HYPERLINK("http://www.kub-berlin.org/formularprojekt/de/russisch-antraege-und-anlagen/","x")</f>
        <v>x</v>
      </c>
      <c r="JM175" s="112" t="str">
        <f>HYPERLINK("https://www.arbeitsagentur.de/web/content/DE/Formulare/Detail/index.htm?dfContentId=L6019022DSTBAI485740","x")</f>
        <v>x</v>
      </c>
      <c r="JN175" s="112"/>
      <c r="JO175" s="112"/>
      <c r="JP175" s="112"/>
      <c r="JQ175" s="112"/>
      <c r="JR175" s="112" t="str">
        <f t="shared" si="76"/>
        <v>x</v>
      </c>
      <c r="JS175" s="112"/>
      <c r="JT175" s="112" t="str">
        <f>HYPERLINK("http://www.b-umf.de/images/willkommensbroschurerussisch-web.pdf","x")</f>
        <v>x</v>
      </c>
      <c r="JU175" s="111"/>
      <c r="JV175" s="111"/>
      <c r="JW175" s="112"/>
      <c r="JX175" s="112"/>
      <c r="JY175" s="112"/>
      <c r="JZ175" s="112"/>
      <c r="KA175" s="112"/>
      <c r="KB175" s="112" t="str">
        <f>HYPERLINK("http://www.refugeeguide.de/dl/RefugeeGuide_ru_1207.pdf","x")</f>
        <v>x</v>
      </c>
      <c r="KC175" s="111"/>
      <c r="KD175" s="112" t="str">
        <f>HYPERLINK("http://www.wedel.de/fileadmin/user_upload/media/pdf/Rathaus_und_Politik/20160118_PM_Broschuere.pdf","x")</f>
        <v>x</v>
      </c>
      <c r="KE175" s="112"/>
      <c r="KF175" s="112" t="str">
        <f>HYPERLINK("http://sab.landtag.sachsen.de/dokumente/landtagskurier/Grundwerte-A5-international_web_08012016.pdf","x")</f>
        <v>x</v>
      </c>
      <c r="KG175" s="112"/>
      <c r="KH175" s="112"/>
      <c r="KI175" s="112"/>
      <c r="KJ175" s="112"/>
      <c r="KK175" s="112"/>
      <c r="KL175" s="112"/>
      <c r="KM175" s="112"/>
      <c r="KN175" s="112"/>
      <c r="KO175" s="112"/>
      <c r="KP175" s="112"/>
      <c r="KQ175" s="112"/>
      <c r="KR175" s="112"/>
      <c r="KS175" s="112"/>
      <c r="KT175" s="112"/>
      <c r="KU175" s="112"/>
      <c r="KV175" s="112"/>
      <c r="KW175" s="112"/>
      <c r="KX175" s="112"/>
      <c r="KY175" s="112"/>
      <c r="KZ175" s="112"/>
      <c r="LA175" s="112"/>
      <c r="LB175" s="112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2" t="str">
        <f>HYPERLINK("http://www.rki.de/DE/Content/Infekt/IfSG/Belehrungsbogen/belehrungsbogen_lebensmittel_russisch.pdf?__blob=publicationFile","x")</f>
        <v>x</v>
      </c>
      <c r="ME175" s="111"/>
      <c r="MF175" s="111"/>
      <c r="MG175" s="111"/>
      <c r="MH175" s="111"/>
      <c r="MI175" s="112" t="str">
        <f>HYPERLINK("http://www.kindersicherheit.de/pdf/2012_poster_achtunggiftig_8sprachig.pdf","x")</f>
        <v>x</v>
      </c>
    </row>
    <row r="176" spans="1:347" x14ac:dyDescent="0.25">
      <c r="A176" s="102" t="s">
        <v>392</v>
      </c>
      <c r="B176" s="127" t="s">
        <v>4</v>
      </c>
      <c r="C176" s="102"/>
      <c r="D176" s="102"/>
      <c r="E176" s="102"/>
      <c r="F176" s="102"/>
      <c r="G176" s="102"/>
      <c r="H176" s="102"/>
      <c r="I176" s="102"/>
      <c r="J176" s="102"/>
      <c r="K176" s="103"/>
      <c r="L176" s="111"/>
      <c r="M176" s="111"/>
      <c r="N176" s="112" t="str">
        <f>HYPERLINK("http://www.ag-fluechtlingshilfe-wetterau.de/uploads/infos/170.pdf","x")</f>
        <v>x</v>
      </c>
      <c r="O176" s="112" t="str">
        <f>HYPERLINK("http://www.ag-fluechtlingshilfe-wetterau.de/uploads/infos/220.pdf","x")</f>
        <v>x</v>
      </c>
      <c r="P176" s="112" t="str">
        <f>HYPERLINK("http://www.awb-ahrweiler.de/admin/data/ddownload/Abfall%20Sonderhinweise-englisch_2014.pdf","x")</f>
        <v>x</v>
      </c>
      <c r="Q176" s="112" t="str">
        <f>HYPERLINK("http://www.ag-fluechtlingshilfe-wetterau.de/uploads/infos/221.pdf","x")</f>
        <v>x</v>
      </c>
      <c r="R176" s="112" t="str">
        <f>HYPERLINK("http://www.konto.org/download/merkblatt-basiskonto-asylbewerber-english.pdf","x")</f>
        <v>x</v>
      </c>
      <c r="S176" s="112"/>
      <c r="T176" s="112" t="str">
        <f>HYPERLINK("https://antworten.sparkasse.de/wp-content/uploads/2015/10/English.pdf","x")</f>
        <v>x</v>
      </c>
      <c r="U176" s="112" t="str">
        <f>HYPERLINK("http://www.ag-fluechtlingshilfe-wetterau.de/uploads/infos/191.pdf","x")</f>
        <v>x</v>
      </c>
      <c r="V176" s="112"/>
      <c r="W176" s="112"/>
      <c r="X176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76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76" s="112"/>
      <c r="AA176" s="112"/>
      <c r="AB176" s="112"/>
      <c r="AC176" s="112" t="str">
        <f>HYPERLINK("http://www.vzhh.de/vzhh/409638/vzhh_refugees_telephone_internet.pdf","x")</f>
        <v>x</v>
      </c>
      <c r="AD176" s="112" t="str">
        <f>HYPERLINK("http://www.vzhh.de/vzhh/410647/vzhh_refugees_rundfunk.pdf","x")</f>
        <v>x</v>
      </c>
      <c r="AE176" s="112" t="str">
        <f>HYPERLINK("http://www.vzhh.de/vzhh/411476/vzhh_refugees_rundfunk_befreiung.pdf","x")</f>
        <v>x</v>
      </c>
      <c r="AF176" s="112" t="str">
        <f>HYPERLINK("http://www.kub-berlin.org/formularprojekt/de/englisch-antraege-und-anlagen-uebersetzungshilfen/","x")</f>
        <v>x</v>
      </c>
      <c r="AG176" s="112" t="str">
        <f>HYPERLINK("http://asyl-in-moenchengladbach.de/wp-content/uploads/2015/11/100711-Flyer_GB.pdf","x")</f>
        <v>x</v>
      </c>
      <c r="AH176" s="112" t="str">
        <f>HYPERLINK("http://sghanstedt.elbnetz.com/ueber-uns/","x")</f>
        <v>x</v>
      </c>
      <c r="AI176" s="112" t="str">
        <f>HYPERLINK("https://www.adac.de/sp/stiftung/_mmm/pdf/SGE_FOL_Verkehrssicherheit_Fl%C3%BCchtlinge_A3_01_16_Internet_250277.pdf","x")</f>
        <v>x</v>
      </c>
      <c r="AJ176" s="112" t="str">
        <f>HYPERLINK("http://www.stadt-koeln.de/mediaasset/content/kvb_kinderleicht_und_spielend_einfach__englisch_.pdf","x")</f>
        <v>x</v>
      </c>
      <c r="AK176" s="112" t="str">
        <f>HYPERLINK("https://www.vrsinfo.de/fileadmin/Dateien/downloadcenter/Folder_MobilPassTicket_Refugees01012016.pdf","x")</f>
        <v>x</v>
      </c>
      <c r="AL176" s="112" t="str">
        <f>HYPERLINK("https://www.vrsinfo.de/fileadmin/Dateien/downloadcenter/Willkommen_im_VRS2016_Druck.pdf","x")</f>
        <v>x</v>
      </c>
      <c r="AM176" s="112"/>
      <c r="AN176" s="112" t="str">
        <f>HYPERLINK("https://www.deutschebahn.com/file/de/2191748/eYdgZpqGpp5sMJ2KMKtg2r8aE4Q/10123812/data/infos_fuer_fluechtlinge.pdf","x")</f>
        <v>x</v>
      </c>
      <c r="AO176" s="112"/>
      <c r="AP176" s="112"/>
      <c r="AQ176" s="112"/>
      <c r="AR176" s="112"/>
      <c r="AS176" s="112"/>
      <c r="AT176" s="112"/>
      <c r="AU176" s="112" t="str">
        <f>HYPERLINK("http://www.stadt-koeln.de/mediaasset/content/festkomitee_flyer_2016_d_gb.pdf","x")</f>
        <v>x</v>
      </c>
      <c r="AV176" s="113"/>
      <c r="AW176" s="114" t="str">
        <f t="shared" si="55"/>
        <v>x</v>
      </c>
      <c r="AX176" s="114" t="str">
        <f t="shared" si="56"/>
        <v>x</v>
      </c>
      <c r="AY176" s="112" t="str">
        <f>HYPERLINK("http://fi-lohmar-siegburg.de/data/documents/Findefix_arabisch-Bildwoerterbuch.pdf","x")</f>
        <v>x</v>
      </c>
      <c r="AZ176" s="111"/>
      <c r="BA176" s="112" t="str">
        <f t="shared" si="57"/>
        <v>x</v>
      </c>
      <c r="BB176" s="112" t="str">
        <f t="shared" si="58"/>
        <v>x</v>
      </c>
      <c r="BC176" s="111"/>
      <c r="BD176" s="111"/>
      <c r="BE176" s="112" t="str">
        <f>HYPERLINK("http://fi-lohmar-siegburg.de/data/documents/communicationboard-arabic-english.pdf","x")</f>
        <v>x</v>
      </c>
      <c r="BF176" s="112"/>
      <c r="BG176" s="111"/>
      <c r="BH176" s="112" t="str">
        <f>HYPERLINK("http://www.refugeephrasebook.de/pdf/germany150920.pdf","x")</f>
        <v>x</v>
      </c>
      <c r="BI176" s="112" t="str">
        <f>HYPERLINK("https://www.advanced-online.eu/downloads/RefugeePhrasebookCards_German-English.pdf","x")</f>
        <v>x</v>
      </c>
      <c r="BJ176" s="112" t="str">
        <f>HYPERLINK("http://www.klett-sprachen.de/download/8638/W100255_Refugees_Welcome_Wortschatz.pdf","x")</f>
        <v>x</v>
      </c>
      <c r="BK176" s="111"/>
      <c r="BL176" s="112" t="str">
        <f>HYPERLINK("http://www.bundessprachenamt.de/deutsch/wir_ueber_uns/nachrichten/2015/20151103/Verständigungshilfe_Englisch_26_11_2015.pdf","x")</f>
        <v>x</v>
      </c>
      <c r="BM176" s="112" t="str">
        <f>HYPERLINK("http://www.frnrw.de/images/Aus_den_Initiativen/Ehrenamtler/2015/Dictionary_x10_print-2.pdf","x")</f>
        <v>x</v>
      </c>
      <c r="BN176" s="112" t="str">
        <f>HYPERLINK("http://www.medbox.org/toolboxes/kleines-worterbuch-little-dictionary-deutsch-englisch-arabisch/preview","x")</f>
        <v>x</v>
      </c>
      <c r="BO176" s="112" t="str">
        <f>HYPERLINK("http://mylanguages.org/dari_phrases.php","x")</f>
        <v>x</v>
      </c>
      <c r="BP176" s="111"/>
      <c r="BQ176" s="111"/>
      <c r="BR176" s="111"/>
      <c r="BS176" s="112" t="str">
        <f t="shared" si="59"/>
        <v>x</v>
      </c>
      <c r="BT176" s="112"/>
      <c r="BU176" s="111"/>
      <c r="BV176" s="112" t="str">
        <f t="shared" si="60"/>
        <v>x</v>
      </c>
      <c r="BW176" s="112" t="str">
        <f>HYPERLINK("http://www.welcomegrooves.de/wp-content/uploads/2015/10/welcomegrooves_DE-ENGLISH1.pdf","x")</f>
        <v>x</v>
      </c>
      <c r="BX176" s="112"/>
      <c r="BY176" s="112"/>
      <c r="BZ176" s="112"/>
      <c r="CA176" s="112" t="str">
        <f t="shared" si="61"/>
        <v>x</v>
      </c>
      <c r="CB176" s="112" t="str">
        <f t="shared" si="62"/>
        <v>x</v>
      </c>
      <c r="CC176" s="112" t="str">
        <f t="shared" si="63"/>
        <v>x</v>
      </c>
      <c r="CD176" s="112"/>
      <c r="CE176" s="112"/>
      <c r="CF176" s="111"/>
      <c r="CG176" s="112" t="str">
        <f>HYPERLINK("http://www.braunschweig.de/leben/frauen/hilfe/Ohne-Gewalt-leben.pdf","x")</f>
        <v>x</v>
      </c>
      <c r="CH176" s="112" t="str">
        <f>HYPERLINK("http://mifkjf.rlp.de/fileadmin/mifkjf/Frauen/Gewalt_gegen_Frauen/Downloads/Broschueren_Flyer/Flyer_Gewalt_englisch.pdf","x")</f>
        <v>x</v>
      </c>
      <c r="CI176" s="112" t="str">
        <f>HYPERLINK("https://www.hilfetelefon.de/fileadmin/hilfetelefon_de/Materialien/Flyer/Infoflyer_Hilfetelefon_Gewalt_gegen_Frauen141105_b2.pdf","x")</f>
        <v>x</v>
      </c>
      <c r="CJ176" s="112" t="str">
        <f>HYPERLINK("https://www.hilfetelefon.de/fileadmin/hilfetelefon_de/Materialien/weitere_werbemittel/Klappflyer_Vorder-_und_Rueckseite_opt2.pdf","x")</f>
        <v>x</v>
      </c>
      <c r="CK176" s="112" t="str">
        <f t="shared" si="64"/>
        <v>x</v>
      </c>
      <c r="CL176" s="112" t="str">
        <f>HYPERLINK("http://www.frauenberatungsstelle.de/pdf/Migrantinnen-beraten-Migrantinnen.pdf","x")</f>
        <v>x</v>
      </c>
      <c r="CM176" s="112" t="str">
        <f>HYPERLINK("http://www.frauenleben.org/spezielle_beratungsangebote/sexualisierte_gewalt.htm","x")</f>
        <v>x</v>
      </c>
      <c r="CN176" s="112"/>
      <c r="CO176" s="112"/>
      <c r="CP176" s="112" t="str">
        <f>HYPERLINK("http://www.schwanger-und-viele-fragen.de/en/","x")</f>
        <v>x</v>
      </c>
      <c r="CQ176" s="112"/>
      <c r="CR176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76" s="112" t="str">
        <f>HYPERLINK("http://en.beststart.org/for_parents/are-you-looking-resources-languages-other-english-and-french","x")</f>
        <v>x</v>
      </c>
      <c r="CT176" s="112"/>
      <c r="CU176" s="112" t="str">
        <f>HYPERLINK("http://www.profamilia.de/fileadmin/publikationen/Erwachsene/mehrsprachig/Bro_Verhuetung_engl_2013.pdf","x")</f>
        <v>x</v>
      </c>
      <c r="CV176" s="112" t="str">
        <f>HYPERLINK("http://www.profamilia.de/fileadmin/publikationen/Erwachsene/mehrsprachig/Bro_Pille_danach_Faltblatt_140122_RZ.pdf","x")</f>
        <v>x</v>
      </c>
      <c r="CW176" s="112" t="str">
        <f>HYPERLINK("http://www.profamilia.de/fileadmin/publikationen/Reihe_Verhuetungsmethoden/Einleger_englisch.pdf","x")</f>
        <v>x</v>
      </c>
      <c r="CX176" s="112" t="str">
        <f>HYPERLINK("http://www.profamilia.de/fileadmin/publikationen/Reihe_Koerper_und_Sexualtitaet/Schwangerschaftsabbruch_englisch_2010.pdf","x")</f>
        <v>x</v>
      </c>
      <c r="CY176" s="112" t="str">
        <f>HYPERLINK("http://www.caritas-schwarzwald-alb-donau.de/68854.html","x")</f>
        <v>x</v>
      </c>
      <c r="CZ176" s="112" t="str">
        <f>HYPERLINK("http://www.dgfpi.de/tl_files/download/medien/unwissen-macht-en.pdf","x")</f>
        <v>x</v>
      </c>
      <c r="DA176" s="112"/>
      <c r="DB176" s="112"/>
      <c r="DC176" s="115" t="str">
        <f>HYPERLINK("http://www.kindersicherheit.de/pdf/2013_BAG_Tomi_and_Mila_Deutsch_English.pdf","x")</f>
        <v>x</v>
      </c>
      <c r="DD176" s="112"/>
      <c r="DE176" s="112"/>
      <c r="DF176" s="112" t="str">
        <f t="shared" si="65"/>
        <v>x</v>
      </c>
      <c r="DG176" s="115" t="str">
        <f t="shared" si="66"/>
        <v>x</v>
      </c>
      <c r="DH176" s="112" t="str">
        <f t="shared" si="67"/>
        <v>x</v>
      </c>
      <c r="DI176" s="112" t="str">
        <f t="shared" si="68"/>
        <v>x</v>
      </c>
      <c r="DJ176" s="112"/>
      <c r="DK176" s="112"/>
      <c r="DL176" s="112"/>
      <c r="DM176" s="112"/>
      <c r="DN176" s="112"/>
      <c r="DO176" s="112" t="str">
        <f>HYPERLINK("http://www.wdrmaus.de/sachgeschichten/maus-international/","x")</f>
        <v>x</v>
      </c>
      <c r="DP176" s="111"/>
      <c r="DQ176" s="111"/>
      <c r="DR176" s="112" t="str">
        <f>HYPERLINK("https://broschueren.nordrheinwestfalendirekt.de/broschuerenservice/msw/eng-das-schulsystem-in-nordrhein-westfalen-einfach-und-schnell-erklaert/1902","x")</f>
        <v>x</v>
      </c>
      <c r="DS176" s="112" t="str">
        <f>HYPERLINK("http://bildung.koeln.de/materialbibliothek/download.php?idx=8e2a9f658e9fa830ce17dc18f0fb0268","x")</f>
        <v>x</v>
      </c>
      <c r="DT176" s="112" t="str">
        <f>HYPERLINK("http://bildung.koeln.de/materialbibliothek/download.php?idx=90aff7e7259385cadb46c517317f1446","x")</f>
        <v>x</v>
      </c>
      <c r="DU176" s="112"/>
      <c r="DV176" s="112" t="str">
        <f>HYPERLINK("https://www.bmbf.de/pub/Kausa_Elternbroschuere_englisch.pdf","x")</f>
        <v>x</v>
      </c>
      <c r="DW176" s="112"/>
      <c r="DX176" s="112" t="str">
        <f>HYPERLINK("http://www.wissenschaft.nrw.de/studium/informieren/informationen-fuer-fluechtlinge-die-in-nrw-studieren-moechten/","x")</f>
        <v>x</v>
      </c>
      <c r="DY176" s="112" t="str">
        <f>HYPERLINK("http://www.bamf.de/SharedDocs/Anlagen/DE/Publikationen/Flyer/AnerkennungBerufsabschluss/berufliche_anerkennung_akademische-heilberufe_en.pdf?__blob=publicationFile","x")</f>
        <v>x</v>
      </c>
      <c r="DZ176" s="112" t="str">
        <f>HYPERLINK("http://www.bamf.de/SharedDocs/Anlagen/EN/Publikationen/Flyer/AnerkennungBerufsabschluss/anerkennung-berufsabschluss.pdf?__blob=publicationFile","x")</f>
        <v>x</v>
      </c>
      <c r="EA176" s="112" t="str">
        <f>HYPERLINK("http://www.bamf.de/SharedDocs/Anlagen/EN/Publikationen/Flyer/AnerkennungBerufsabschluss/anerkennung-berufsabschluss_ausland.pdf?__blob=publicationFile","x")</f>
        <v>x</v>
      </c>
      <c r="EB176" s="112" t="str">
        <f>HYPERLINK("http://www.bamf.de/SharedDocs/Anlagen/EN/Publikationen/Broschueren/willkommen-in-deutschland-info-blaue-karte-eu_en.pdf?__blob=publicationFile","x")</f>
        <v>x</v>
      </c>
      <c r="EC176" s="112" t="str">
        <f>HYPERLINK("http://www.bamf.de/SharedDocs/Anlagen/EN/Publikationen/Flyer/Berufsbezsprachf-ESF-BAMF/berufsbezsprachf-esf-bamf.pdf?__blob=publicationFile","x")</f>
        <v>x</v>
      </c>
      <c r="ED176" s="111"/>
      <c r="EE176" s="111"/>
      <c r="EF176" s="111"/>
      <c r="EG176" s="111"/>
      <c r="EH176" s="111"/>
      <c r="EI176" s="111"/>
      <c r="EJ176" s="112"/>
      <c r="EK176" s="112" t="str">
        <f>HYPERLINK("http://fluechtlingsrat-bw.de/files/Dateien/Dokumente/Materialbestellung/2014-12-flyer%20arbeitserlaubnis%20EN%20WEB.pdf","x")</f>
        <v>x</v>
      </c>
      <c r="EL176" s="112" t="str">
        <f>HYPERLINK("http://www.aponet.de/englisch/20151019-fuer-den-notfall-wichtige-rufnummern-im-ueberblick.html","x")</f>
        <v>x</v>
      </c>
      <c r="EM176" s="112" t="str">
        <f>HYPERLINK("http://www.kvs-sachsen.de/fileadmin/img/Mitglieder/Asylbewerber/Allg-Informationen/Anlage_1_Englisch_LEK.pdf","x")</f>
        <v>x</v>
      </c>
      <c r="EN176" s="112" t="str">
        <f>HYPERLINK("http://www.medizin-hilft-fluechtlingen.de/images/Dokumente/gSch/gSch_eng.pdf","x")</f>
        <v>x</v>
      </c>
      <c r="EO176" s="112" t="str">
        <f>HYPERLINK("http://www.aponet.de/englisch/medical-care-for-asylum-seekers.html","x")</f>
        <v>x</v>
      </c>
      <c r="EP176" s="117" t="str">
        <f>HYPERLINK("http://www.medi-bild.de/pdf/anamnese/Welche_Sprache.pdf","x")</f>
        <v>x</v>
      </c>
      <c r="EQ176" s="117" t="str">
        <f>HYPERLINK("http://www.armut-gesundheit.de/fileadmin/redakteur/dokumente/Anamnesebogen%20-%20englischnew.pdf","x")</f>
        <v>x</v>
      </c>
      <c r="ER176" s="112" t="str">
        <f>HYPERLINK("http://www.kvs-sachsen.de/fileadmin/img/Mitglieder/Asylbewerber/Allg-Informationen/Anlagen_2-1_2-2_Englisch_LEK.pdf","x")</f>
        <v>x</v>
      </c>
      <c r="ES176" s="111"/>
      <c r="ET176" s="111"/>
      <c r="EU176" s="112" t="str">
        <f>HYPERLINK("http://www.medizin-hilft-fluechtlingen.de/images/Dokumente/ein/ein_engl.pdf","x")</f>
        <v>x</v>
      </c>
      <c r="EV176" s="112" t="str">
        <f>HYPERLINK("http://www.adler-apotheke-hh.de/fileadmin/user_upload/PDF-Dateien/Dosierzettel_mehrsprachig_AUF_0_.pdf","x")</f>
        <v>x</v>
      </c>
      <c r="EW176" s="112" t="str">
        <f t="shared" si="69"/>
        <v>x</v>
      </c>
      <c r="EX176" s="112" t="str">
        <f>HYPERLINK("http://www.rki.de/DE/Content/Infekt/IfSG/Belehrungsbogen/belehrungsbogen_eltern_englisch.pdf?__blob=publicationFile","x")</f>
        <v>x</v>
      </c>
      <c r="EY176" s="112" t="str">
        <f>HYPERLINK("http://www.bzga.de/infomaterialien/?sid=236","x")</f>
        <v>x</v>
      </c>
      <c r="EZ176" s="112" t="str">
        <f>HYPERLINK("https://www.mh-hannover.de/fileadmin/mhh/bilder/aktuelles_presse/pressestelle/bilder/Pilzvergif_English.pdf","x")</f>
        <v>x</v>
      </c>
      <c r="FA176" s="112"/>
      <c r="FB176" s="112" t="str">
        <f>HYPERLINK("http://static.apotheken-umschau.de/media/gp/article_506373/bildwoerterbuch.pdf","x")</f>
        <v>x</v>
      </c>
      <c r="FC176" s="112" t="str">
        <f>HYPERLINK("https://www.studentenwerke.de/sites/default/files/gesundheitswoerterbuch.pdf","x")</f>
        <v>x</v>
      </c>
      <c r="FD176" s="112" t="str">
        <f t="shared" si="70"/>
        <v>x</v>
      </c>
      <c r="FE176" s="112" t="str">
        <f t="shared" si="75"/>
        <v>x</v>
      </c>
      <c r="FF176" s="112" t="str">
        <f>HYPERLINK("http://www.fuhlenhagen.com/pdf_dateien/uebertzungshilfe_aerzte_mehrsprachig.pdf","x")</f>
        <v>x</v>
      </c>
      <c r="FG176" s="112" t="str">
        <f>HYPERLINK("http://www.tipdoc.de/grafik/asyl/Gesundheitsheft_Asyl.pdf","x")</f>
        <v>x</v>
      </c>
      <c r="FH176" s="111"/>
      <c r="FI176" s="111"/>
      <c r="FJ176" s="112" t="str">
        <f>HYPERLINK("http://www.bundesgesundheitsministerium.de/fileadmin/dateien/Publikationen/Gesundheit/Broschueren/Ratgeber_Asylsuchende/Ratgeber_Asylsuchende_engl.pdf","x")</f>
        <v>x</v>
      </c>
      <c r="FK176" s="112" t="str">
        <f>HYPERLINK("http://www.rki.de/DE/Content/Infekt/Impfen/Materialien/Downloads-Impfkalender/Impfkalender_Englisch.pdf?__blob=publicationFile","x")</f>
        <v>x</v>
      </c>
      <c r="FL176" s="112" t="str">
        <f>HYPERLINK("http://www.ethno-medizinisches-zentrum.de/images/PDF-Files/impfwegweiser_englisch_2013_online.pdf","x")</f>
        <v>x</v>
      </c>
      <c r="FM176" s="112"/>
      <c r="FN176" s="112" t="str">
        <f>HYPERLINK("http://www.rki.de/DE/Content/Infekt/Impfen/Materialien/Glossar-Downloads/glossar-de-englisch.pdf?__blob=publicationFile","x")</f>
        <v>x</v>
      </c>
      <c r="FO176" s="112" t="str">
        <f>HYPERLINK("http://www.euro.who.int/__data/assets/pdf_file/0005/160754/VPDs_Signs-symptoms-complications.pdf?ua=1","x")</f>
        <v>x</v>
      </c>
      <c r="FP176" s="112" t="str">
        <f>HYPERLINK("http://www.rki.de/DE/Content/Infekt/Impfen/Materialien/Downloads-MMR/MMR-Impfinfo-englisch.pdf?__blob=publicationFile","x")</f>
        <v>x</v>
      </c>
      <c r="FQ176" s="112" t="str">
        <f>HYPERLINK("http://www.rki.de/DE/Content/InfAZ/P/Polio/Ausbruch_Syrien/Informationsblatt_Polio_Englisch.pdf?__blob=publicationFile","x")</f>
        <v>x</v>
      </c>
      <c r="FR176" s="112" t="str">
        <f>HYPERLINK("http://www.rki.de/DE/Content/Infekt/Impfen/Materialien/Downloads_HepA/Aufklaerung_HAV-Impfung_Englisch.pdf?__blob=publicationFile","x")</f>
        <v>x</v>
      </c>
      <c r="FS176" s="112" t="str">
        <f>HYPERLINK("http://www.rki.de/DE/Content/Infekt/Impfen/Materialien/Downloads_Pneumokokken/Aufklaerung_Pneumo-Impfung_Englisch.pdf?__blob=publicationFile","x")</f>
        <v>x</v>
      </c>
      <c r="FT176" s="112" t="str">
        <f>HYPERLINK("http://www.rki.de/DE/Content/Infekt/Impfen/Materialien/Downloads-DTaPIPVHibHepB/DTaPIPVHibHepB-englisch.pdf?__blob=publicationFile","x")</f>
        <v>x</v>
      </c>
      <c r="FU176" s="112" t="str">
        <f>HYPERLINK("http://www.rki.de/DE/Content/Infekt/Impfen/Materialien/Downloads-Varizellen/Varizellen-Impfinfo-englisch.pdf;jsessionid=65B697F4EE7EDA8A1ED9E2C4CD6C74EC.2_cid363?__blob=publicationFile","x")</f>
        <v>x</v>
      </c>
      <c r="FV176" s="112" t="str">
        <f>HYPERLINK("http://www.rki.de/DE/Content/Infekt/Impfen/Materialien/Downloads-Tdap-IPV/Tdap-IPV-englisch.pdf?__blob=publicationFile","x")</f>
        <v>x</v>
      </c>
      <c r="FW176" s="112" t="str">
        <f>HYPERLINK("http://www.rki.de/DE/Content/Infekt/Impfen/Materialien/Downloads-Influenza_nasal/Influenza_nasal-englisch.pdf?__blob=publicationFile","x")</f>
        <v>x</v>
      </c>
      <c r="FX176" s="111"/>
      <c r="FY176" s="112"/>
      <c r="FZ176" s="112"/>
      <c r="GA176" s="111"/>
      <c r="GB176" s="111"/>
      <c r="GC176" s="111"/>
      <c r="GD176" s="112" t="str">
        <f>HYPERLINK("http://www.ethno-medizinisches-zentrum.de/images/PDF-Files/lf_diabete_englisch.pdf","x")</f>
        <v>x</v>
      </c>
      <c r="GE176" s="111"/>
      <c r="GF176" s="111"/>
      <c r="GG176" s="111"/>
      <c r="GH176" s="112"/>
      <c r="GI176" s="111"/>
      <c r="GJ176" s="111"/>
      <c r="GK176" s="112" t="str">
        <f>HYPERLINK("http://www.tipdoc.de/bus/pdf/hiv/HIV%20ESP_Webseite.pdf","x")</f>
        <v>x</v>
      </c>
      <c r="GL176" s="111"/>
      <c r="GM176" s="112" t="str">
        <f>HYPERLINK("http://www.rki.de/DE/Content/Infekt/Impfen/Materialien/Downloads-Influenza/Influenza-englisch.pdf?__blob=publicationFile","x")</f>
        <v>x</v>
      </c>
      <c r="GN176" s="111"/>
      <c r="GO176" s="112" t="str">
        <f>HYPERLINK("http://www.aponet.de/englisch/20151111-so-unterscheiden-sich-grippe-und-erkaeltung.html","x")</f>
        <v>x</v>
      </c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2" t="str">
        <f t="shared" si="71"/>
        <v>x</v>
      </c>
      <c r="HD176" s="112" t="str">
        <f>HYPERLINK("https://www.zahnaerzte-wl.de/images/_PDF-suche/KZV_ZÄK/ENDSTAND_Ankreuzbogen_Ich_verstehe.pdf","x")</f>
        <v>x</v>
      </c>
      <c r="HE176" s="112" t="str">
        <f>HYPERLINK("https://www.zahnaerzte-wl.de/images/_PDF-suche/KZV_ZÄK/Anschreiben_Patienten_englisch.pdf","x")</f>
        <v>x</v>
      </c>
      <c r="HF176" s="112" t="str">
        <f>HYPERLINK("https://www.zahnaerzte-wl.de/images/_PDF-suche/KZV_ZÄK/Fragebogen_englisch.pdf","x")</f>
        <v>x</v>
      </c>
      <c r="HG176" s="112" t="str">
        <f>HYPERLINK("https://www.zahnaerzte-wl.de/images/_PDF-suche/KZV_ZÄK/Patientenerhebungsbogen_englisch.pdf","x")</f>
        <v>x</v>
      </c>
      <c r="HH176" s="112"/>
      <c r="HI176" s="112" t="str">
        <f>HYPERLINK("http://www.bvkm.de/fileadmin/web_data/Behinderung_und_Migration_englisch_2014.pdf","x")</f>
        <v>x</v>
      </c>
      <c r="HJ176" s="112"/>
      <c r="HK176" s="112" t="str">
        <f>HYPERLINK("http://www.psychenet.de/en/mental-health/knowledge/depression.html","x")</f>
        <v>x</v>
      </c>
      <c r="HL176" s="111"/>
      <c r="HM176" s="112" t="str">
        <f>HYPERLINK("http://www.psychenet.de/en/mental-health/knowledge/psychoses.html","x")</f>
        <v>x</v>
      </c>
      <c r="HN176" s="112" t="str">
        <f>HYPERLINK("http://www.psychenet.de/en/mental-health/knowledge/somatoform-disorders.html","x")</f>
        <v>x</v>
      </c>
      <c r="HO176" s="112" t="str">
        <f>HYPERLINK("http://www.psychenet.de/en/mental-health/knowledge/anorexia.html","x")</f>
        <v>x</v>
      </c>
      <c r="HP176" s="112" t="str">
        <f>HYPERLINK("http://www.psychenet.de/en/mental-health/knowledge/bulimia.html","x")</f>
        <v>x</v>
      </c>
      <c r="HQ176" s="112" t="str">
        <f>HYPERLINK("http://www.psychenet.de/en/mental-health/knowledge/bipolar-disorder.html","x")</f>
        <v>x</v>
      </c>
      <c r="HR176" s="112" t="str">
        <f>HYPERLINK("http://www.psychenet.de/en/mental-health/knowledge/panic-and-agoraphobia.html","x")</f>
        <v>x</v>
      </c>
      <c r="HS176" s="112" t="str">
        <f>HYPERLINK("http://www.psychenet.de/en/mental-health/knowledge/social-phobia.html","x")</f>
        <v>x</v>
      </c>
      <c r="HT176" s="112" t="str">
        <f>HYPERLINK("http://www.psychenet.de/en/mental-health/knowledge/generalized-anxiety-disorder.html","x")</f>
        <v>x</v>
      </c>
      <c r="HU176" s="112"/>
      <c r="HV176" s="112" t="str">
        <f>HYPERLINK("http://www.psychenet.de/en/mental-health/knowledge/information-and-support.html","x")</f>
        <v>x</v>
      </c>
      <c r="HW176" s="112"/>
      <c r="HX176" s="112" t="str">
        <f>HYPERLINK("http://www.bkk-psychisch-gesund.de/fileadmin/user_upload/Dokumente/Versicherte/Broschueren/Wegweiser_Psychotherapie_englisch.pdf","x")</f>
        <v>x</v>
      </c>
      <c r="HY176" s="112" t="str">
        <f t="shared" si="72"/>
        <v>x</v>
      </c>
      <c r="HZ176" s="112" t="str">
        <f t="shared" si="73"/>
        <v>x</v>
      </c>
      <c r="IA176" s="112" t="str">
        <f>HYPERLINK("http://peacefulheart.se/wp-content/uploads/2012/02/TTT_English_2013.pdf","x")</f>
        <v>x</v>
      </c>
      <c r="IB176" s="112"/>
      <c r="IC176" s="112"/>
      <c r="ID176" s="112" t="str">
        <f>HYPERLINK("http://www.susannestein.de/VIA-online/trauma-picture-book.pdf","x")</f>
        <v>x</v>
      </c>
      <c r="IE176" s="112" t="str">
        <f>HYPERLINK("http://www.psychenet.de/en/mental-health/knowledge/alcohol-in-adolescence.html","x")</f>
        <v>x</v>
      </c>
      <c r="IF176" s="112"/>
      <c r="IG176" s="112"/>
      <c r="IH176" s="111"/>
      <c r="II176" s="112" t="str">
        <f>HYPERLINK("http://www.caritas.de/hilfeundberatung/onlineberatung/suchtberatung/haeufiggestelltefragensucht/haeufiggestelltefragen-sucht","x")</f>
        <v>x</v>
      </c>
      <c r="IJ176" s="112" t="str">
        <f>HYPERLINK("http://www.dhs.de/fileadmin/user_upload/pdf/Broschueren/Ein_Angebot_an_alle-Englisch.pdf","x")</f>
        <v>x</v>
      </c>
      <c r="IK176" s="112" t="str">
        <f>HYPERLINK("http://www.bamf.de/SharedDocs/Anlagen/EN/Publikationen/Flyer/Lassen-Sie-Sich-Beraten/lassen-sie-sich-beraten.pdf?__blob=publicationFile","x")</f>
        <v>x</v>
      </c>
      <c r="IL176" s="115" t="str">
        <f>HYPERLINK("http://www.bamf.de/SharedDocs/Anlagen/EN/Publikationen/Flyer/flyer-erstorientierung-asylsuchende.pdf?__blob=publicationFile","x")</f>
        <v>x</v>
      </c>
      <c r="IM176" s="112" t="str">
        <f>HYPERLINK("http://www.frnrw.de/index.php/inhaltliche-themen/arbeitshilfen/item/3710-erstinfos-fuer-asylsuchende","x")</f>
        <v>x</v>
      </c>
      <c r="IN176" s="112" t="str">
        <f>HYPERLINK("http://www.bamf.de/SharedDocs/Anlagen/EN/Publikationen/Broschueren/willkommen-in-deutschland.pdf;jsessionid=2D72CB108E4AC02BBB9659E7D9A589B2.1_cid368?__blob=publicationFile","x")</f>
        <v>x</v>
      </c>
      <c r="IO176" s="112"/>
      <c r="IP176" s="112"/>
      <c r="IQ176" s="112" t="str">
        <f>HYPERLINK("http://www.bamf.de/SharedDocs/Anlagen/EN/Publikationen/Flyer/Lernen-Sie-Deutsch/lernen-sie-deutsch.pdf?__blob=publicationFile","x")</f>
        <v>x</v>
      </c>
      <c r="IR176" s="112" t="str">
        <f>HYPERLINK("http://www.asyl.net/fileadmin/user_upload/redaktion/Dokumente/Arbeitshilfen/150910_Wie_l%C3%A4uft_ein_Asylverfahren_ab_%C3%9Cberblickstext_Englisch.pdf","x")</f>
        <v>x</v>
      </c>
      <c r="IS176" s="111"/>
      <c r="IT176" s="112" t="str">
        <f>HYPERLINK("http://www.bamf.de/SharedDocs/Anlagen/EN/Publikationen/Flyer/ablauf-asylverfahren.pdf;jsessionid=DBD4307960D761935FCC3E0325D459A1.1_cid294?__blob=publicationFile","x")</f>
        <v>x</v>
      </c>
      <c r="IU176" s="111"/>
      <c r="IV176" s="112" t="str">
        <f>HYPERLINK("http://www.asyl.net/fileadmin/user_upload/infoblatt_anhoerung/Infoblatt_2015_en_fin.pdf","x")</f>
        <v>x</v>
      </c>
      <c r="IW176" s="112"/>
      <c r="IX176" s="112" t="str">
        <f>HYPERLINK("http://www.berlin.de/labo/willkommen-in-berlin/service/downloads/artikel.273193.php","x")</f>
        <v>x</v>
      </c>
      <c r="IY176" s="112" t="str">
        <f>HYPERLINK("http://www.bamf.de/SharedDocs/Anlagen/EN/Publikationen/Broschueren/broschuere-eat-a4.pdf?__blob=publicationFile","x")</f>
        <v>x</v>
      </c>
      <c r="IZ176" s="111"/>
      <c r="JA176" s="112" t="str">
        <f>HYPERLINK("http://fluechtlingsrat-bw.de/informationen-fuer-fluechtlinge.html","x")</f>
        <v>x</v>
      </c>
      <c r="JB176" s="111"/>
      <c r="JC176" s="112" t="str">
        <f>HYPERLINK("http://www.bamf.de/SharedDocs/Anlagen/EN/Publikationen/Flyer/20150223_ura2_en.pdf?__blob=publicationFile","x")</f>
        <v>x</v>
      </c>
      <c r="JD176" s="111"/>
      <c r="JE176" s="112"/>
      <c r="JF176" s="112"/>
      <c r="JG176" s="112" t="str">
        <f>HYPERLINK("http://www.bamf.de/SharedDocs/Anlagen/EN/Publikationen/Flyer/Ehegattennachzug/ehegattennachzug.pdf?__blob=publicationFile","x")</f>
        <v>x</v>
      </c>
      <c r="JH176" s="112" t="str">
        <f>HYPERLINK("https://familyreunion-syria.diplo.de/webportal/index.html#start","x")</f>
        <v>x</v>
      </c>
      <c r="JI176" s="112" t="str">
        <f>HYPERLINK("http://ec.europa.eu/dgs/home-affairs/what-we-do/networks/european_migration_network/docs/emn-glossary-en-version.pdf","x")</f>
        <v>x</v>
      </c>
      <c r="JJ176" s="112"/>
      <c r="JK176" s="112" t="str">
        <f>HYPERLINK("https://www.arbeitsagentur.de/web/wcm/idc/groups/public/documents/webdatei/mdaw/mjgz/~edisp/l6019022dstbai784628.pdf?_ba.sid=L6019022DSTBAI784625","x")</f>
        <v>x</v>
      </c>
      <c r="JL176" s="112" t="str">
        <f>HYPERLINK("http://www.kub-berlin.org/formularprojekt/de/englisch-antraege-und-anlagen-uebersetzungshilfen/","x")</f>
        <v>x</v>
      </c>
      <c r="JM176" s="112" t="str">
        <f>HYPERLINK("https://www.arbeitsagentur.de/web/content/DE/Formulare/Detail/index.htm?dfContentId=L6019022DSTBAI485740","x")</f>
        <v>x</v>
      </c>
      <c r="JN176" s="112"/>
      <c r="JO176" s="112"/>
      <c r="JP176" s="112"/>
      <c r="JQ176" s="112"/>
      <c r="JR176" s="112" t="str">
        <f t="shared" si="76"/>
        <v>x</v>
      </c>
      <c r="JS176" s="112"/>
      <c r="JT176" s="112" t="str">
        <f>HYPERLINK("http://www.b-umf.de/images/willkommen/willkommensbroschureenglisch-web.pdf","x")</f>
        <v>x</v>
      </c>
      <c r="JU176" s="111"/>
      <c r="JV176" s="111"/>
      <c r="JW176" s="112"/>
      <c r="JX176" s="112" t="str">
        <f>HYPERLINK("https://www.arbeitsagentur.de/web/wcm/idc/groups/public/documents/webdatei/mdaw/mjgz/~edisp/l6019022dstbai784636.pdf?_ba.sid=L6019022DSTBAI784633","x")</f>
        <v>x</v>
      </c>
      <c r="JY176" s="112"/>
      <c r="JZ176" s="112"/>
      <c r="KA176" s="112"/>
      <c r="KB176" s="112" t="str">
        <f>HYPERLINK("http://www.refugeeguide.de/dl/RefugeeGuide_en_925.pdf","x")</f>
        <v>x</v>
      </c>
      <c r="KC176" s="112" t="str">
        <f>HYPERLINK("http://www.gesetze-im-internet.de/englisch_gg/basic_law_for_the_federal_republic_of_germany.pdf","x")</f>
        <v>x</v>
      </c>
      <c r="KD176" s="112" t="str">
        <f>HYPERLINK("http://www.wedel.de/fileadmin/user_upload/media/pdf/Rathaus_und_Politik/20160118_PM_Broschuere.pdf","x")</f>
        <v>x</v>
      </c>
      <c r="KE176" s="112" t="str">
        <f>HYPERLINK("http://www.frauenrechte.de/online/images/downloads/allgemein/TDF_Flyer_Women_Men.pdf","x")</f>
        <v>x</v>
      </c>
      <c r="KF176" s="112" t="str">
        <f>HYPERLINK("http://sab.landtag.sachsen.de/dokumente/landtagskurier/Grundwerte-A5-international_web_08012016.pdf","x")</f>
        <v>x</v>
      </c>
      <c r="KG176" s="112"/>
      <c r="KH176" s="112"/>
      <c r="KI176" s="112"/>
      <c r="KJ176" s="112"/>
      <c r="KK176" s="112"/>
      <c r="KL176" s="112"/>
      <c r="KM176" s="112"/>
      <c r="KN176" s="112"/>
      <c r="KO176" s="112"/>
      <c r="KP176" s="112"/>
      <c r="KQ176" s="112"/>
      <c r="KR176" s="112"/>
      <c r="KS176" s="112"/>
      <c r="KT176" s="112"/>
      <c r="KU176" s="112"/>
      <c r="KV176" s="112"/>
      <c r="KW176" s="112"/>
      <c r="KX176" s="112"/>
      <c r="KY176" s="112"/>
      <c r="KZ176" s="112"/>
      <c r="LA176" s="112"/>
      <c r="LB176" s="112"/>
      <c r="LC176" s="111"/>
      <c r="LD176" s="112"/>
      <c r="LE176" s="112"/>
      <c r="LF176" s="112"/>
      <c r="LG176" s="112"/>
      <c r="LH176" s="112"/>
      <c r="LI176" s="112"/>
      <c r="LJ176" s="112"/>
      <c r="LK176" s="112"/>
      <c r="LL176" s="112"/>
      <c r="LM176" s="112"/>
      <c r="LN176" s="112"/>
      <c r="LO176" s="112"/>
      <c r="LP176" s="112"/>
      <c r="LQ176" s="112"/>
      <c r="LR176" s="112"/>
      <c r="LS176" s="112"/>
      <c r="LT176" s="112"/>
      <c r="LU176" s="112"/>
      <c r="LV176" s="112"/>
      <c r="LW176" s="112"/>
      <c r="LX176" s="112"/>
      <c r="LY176" s="112"/>
      <c r="LZ176" s="112"/>
      <c r="MA176" s="112"/>
      <c r="MB176" s="112"/>
      <c r="MC176" s="111"/>
      <c r="MD176" s="112" t="str">
        <f>HYPERLINK("http://www.rki.de/DE/Content/Infekt/IfSG/Belehrungsbogen/belehrungsbogen_lebensmittel_englisch.pdf?__blob=publicationFile","x")</f>
        <v>x</v>
      </c>
      <c r="ME176" s="112"/>
      <c r="MF176" s="112" t="str">
        <f>HYPERLINK("http://www.gdv.de/wp-content/uploads/2016/01/Information_Brandschutz_Fluechtlingsheim_-Sicherheit_mehrsprachig.pdf","x")</f>
        <v>x</v>
      </c>
      <c r="MG176" s="112" t="str">
        <f>HYPERLINK("http://www.gdv.de/wp-content/uploads/2016/01/Information_Verhalten-im-Brandfall_mehrsprachig.pdf","x")</f>
        <v>x</v>
      </c>
      <c r="MH176" s="112" t="str">
        <f>HYPERLINK("http://www.aha-region.de/fileadmin/Download/pdf/aha_Plakat_Muelltrennung_en.pdf","x")</f>
        <v>x</v>
      </c>
      <c r="MI176" s="112" t="str">
        <f>HYPERLINK("http://www.kindersicherheit.de/pdf/2012_poster_achtunggiftig_8sprachig.pdf","x")</f>
        <v>x</v>
      </c>
    </row>
    <row r="177" spans="1:347" x14ac:dyDescent="0.25">
      <c r="A177" s="102" t="s">
        <v>65</v>
      </c>
      <c r="B177" s="127" t="s">
        <v>1</v>
      </c>
      <c r="C177" s="102"/>
      <c r="D177" s="102"/>
      <c r="E177" s="102"/>
      <c r="F177" s="102"/>
      <c r="G177" s="102"/>
      <c r="H177" s="102"/>
      <c r="I177" s="102"/>
      <c r="J177" s="102"/>
      <c r="K177" s="103"/>
      <c r="L177" s="112" t="str">
        <f>HYPERLINK("http://sghanstedt.elbnetz.com/ueber-uns/","x")</f>
        <v>x</v>
      </c>
      <c r="M177" s="111"/>
      <c r="N177" s="112" t="str">
        <f>HYPERLINK("http://www.ag-fluechtlingshilfe-wetterau.de/uploads/infos/170.pdf","x")</f>
        <v>x</v>
      </c>
      <c r="O177" s="112" t="str">
        <f>HYPERLINK("http://www.ag-fluechtlingshilfe-wetterau.de/uploads/infos/220.pdf","x")</f>
        <v>x</v>
      </c>
      <c r="P177" s="112" t="str">
        <f>HYPERLINK("http://www.awb-ahrweiler.de/admin/data/ddownload/Abfall%20Sonderhinweise-Arabisch%202015.pdf","x")</f>
        <v>x</v>
      </c>
      <c r="Q177" s="112" t="str">
        <f>HYPERLINK("http://www.ag-fluechtlingshilfe-wetterau.de/uploads/infos/221.pdf","x")</f>
        <v>x</v>
      </c>
      <c r="R177" s="112" t="str">
        <f>HYPERLINK("http://www.konto.org/download/merkblatt-basiskonto-asylbewerber-arabisch.pdf","x")</f>
        <v>x</v>
      </c>
      <c r="S177" s="112"/>
      <c r="T177" s="112" t="str">
        <f>HYPERLINK("https://antworten.sparkasse.de/wp-content/uploads/2015/10/Arabisch.pdf","x")</f>
        <v>x</v>
      </c>
      <c r="U177" s="112" t="str">
        <f>HYPERLINK("http://www.ag-fluechtlingshilfe-wetterau.de/uploads/infos/191.pdf","x")</f>
        <v>x</v>
      </c>
      <c r="V177" s="112"/>
      <c r="W177" s="112"/>
      <c r="X17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7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77" s="112"/>
      <c r="AA177" s="112"/>
      <c r="AB177" s="112"/>
      <c r="AC177" s="112"/>
      <c r="AD177" s="112" t="str">
        <f>HYPERLINK("http://www.rundfunkbeitrag.de/e175/e1629/Informationsflyer_Buergerinnen_und_Buerger_arabisch.pdf","x")</f>
        <v>x</v>
      </c>
      <c r="AE177" s="112"/>
      <c r="AF177" s="112" t="str">
        <f>HYPERLINK("http://www.kub-berlin.org/formularprojekt/de/arabisch-antraege-und-anlagen/","x")</f>
        <v>x</v>
      </c>
      <c r="AG177" s="112" t="str">
        <f>HYPERLINK("http://asyl-in-moenchengladbach.de/wp-content/uploads/2015/11/100711-Flyer_arab.pdf","x")</f>
        <v>x</v>
      </c>
      <c r="AH177" s="111"/>
      <c r="AI177" s="112" t="str">
        <f>HYPERLINK("https://www.adac.de/sp/stiftung/_mmm/pdf/SGE_FOL_Verkehrssicherheit_Fl%C3%BCchtlinge_A3_01_16_Internet_250277.pdf","x")</f>
        <v>x</v>
      </c>
      <c r="AJ177" s="112" t="str">
        <f>HYPERLINK("http://www.stadt-koeln.de/mediaasset/content/العربية_kvb_kinderleicht_und_spielend_einfach__arabisch_.pdf","x")</f>
        <v>x</v>
      </c>
      <c r="AK177" s="112" t="str">
        <f>HYPERLINK("https://www.vrsinfo.de/fileadmin/Dateien/downloadcenter/Folder_MobilPassTicket_Refugees01012016.pdf","x")</f>
        <v>x</v>
      </c>
      <c r="AL177" s="112" t="str">
        <f>HYPERLINK("https://www.vrsinfo.de/fileadmin/Dateien/downloadcenter/Willkommen_im_VRS2016_Druck.pdf","x")</f>
        <v>x</v>
      </c>
      <c r="AM177" s="112"/>
      <c r="AN177" s="112" t="str">
        <f>HYPERLINK("https://www.deutschebahn.com/file/de/2191748/eYdgZpqGpp5sMJ2KMKtg2r8aE4Q/10123812/data/infos_fuer_fluechtlinge.pdf","x")</f>
        <v>x</v>
      </c>
      <c r="AO177" s="112"/>
      <c r="AP177" s="112"/>
      <c r="AQ177" s="112"/>
      <c r="AR177" s="112"/>
      <c r="AS177" s="112"/>
      <c r="AT177" s="112" t="str">
        <f>HYPERLINK("http://www.koelnerkarneval.de/fileadmin/content/images/news/Festkomitee_Flyer_DE_AR.pdf","x")</f>
        <v>x</v>
      </c>
      <c r="AU177" s="112"/>
      <c r="AV177" s="114" t="str">
        <f>HYPERLINK("http://www.studentenwerke.de/de/content/illustriertes-wohnheimw%C3%B6rterbuch-1","x")</f>
        <v>x</v>
      </c>
      <c r="AW177" s="114" t="str">
        <f t="shared" si="55"/>
        <v>x</v>
      </c>
      <c r="AX177" s="114" t="str">
        <f t="shared" si="56"/>
        <v>x</v>
      </c>
      <c r="AY177" s="112" t="str">
        <f>HYPERLINK("http://fi-lohmar-siegburg.de/data/documents/Findefix_arabisch-Bildwoerterbuch.pdf","x")</f>
        <v>x</v>
      </c>
      <c r="AZ177" s="111"/>
      <c r="BA177" s="112" t="str">
        <f t="shared" si="57"/>
        <v>x</v>
      </c>
      <c r="BB177" s="112" t="str">
        <f t="shared" si="58"/>
        <v>x</v>
      </c>
      <c r="BC177" s="112"/>
      <c r="BD177" s="112" t="str">
        <f>HYPERLINK("http://www.rehavista.de/?at=Mat_Boardmaker&amp;d=1&amp;dtype=mat&amp;id=1014","x")</f>
        <v>x</v>
      </c>
      <c r="BE177" s="112" t="str">
        <f>HYPERLINK("http://fi-lohmar-siegburg.de/data/documents/communicationboard-arabic-english.pdf","x")</f>
        <v>x</v>
      </c>
      <c r="BF177" s="112" t="str">
        <f>HYPERLINK("http://fi-lohmar-siegburg.de/data/documents/communicationboard-arabic-french.pdf","x")</f>
        <v>x</v>
      </c>
      <c r="BG177" s="111"/>
      <c r="BH177" s="112" t="str">
        <f>HYPERLINK("http://www.refugeephrasebook.de/pdf/germany150920.pdf","x")</f>
        <v>x</v>
      </c>
      <c r="BI177" s="112" t="str">
        <f>HYPERLINK("https://www.advanced-online.eu/downloads/RefugeePhrasebookCards_German-Arabic.pdf","x")</f>
        <v>x</v>
      </c>
      <c r="BJ177" s="112" t="str">
        <f>HYPERLINK("http://www.klett-sprachen.de/download/8638/W100255_Refugees_Welcome_Wortschatz.pdf","x")</f>
        <v>x</v>
      </c>
      <c r="BK177" s="112" t="str">
        <f>HYPERLINK("http://www.agf-trier.de/sites/default/files/bersetzungshilfe%20allgemein%20Arab..pdf","x")</f>
        <v>x</v>
      </c>
      <c r="BL177" s="112" t="str">
        <f>HYPERLINK("http://www.bundessprachenamt.de/deutsch/wir_ueber_uns/nachrichten/2015/20151103/Verständigungshilfe_Syrisch-Arabisch_07_12_2015.pdf","x")</f>
        <v>x</v>
      </c>
      <c r="BM177" s="112" t="str">
        <f>HYPERLINK("http://www.frnrw.de/images/Aus_den_Initiativen/Ehrenamtler/2015/Dictionary_x10_print-2.pdf","x")</f>
        <v>x</v>
      </c>
      <c r="BN177" s="112" t="str">
        <f>HYPERLINK("http://www.medbox.org/toolboxes/kleines-worterbuch-little-dictionary-deutsch-englisch-arabisch/preview","x")</f>
        <v>x</v>
      </c>
      <c r="BO177" s="111"/>
      <c r="BP177" s="111"/>
      <c r="BQ177" s="112" t="str">
        <f>HYPERLINK("https://www.friedensdorf.de/documents/Woerterbuch_Arabisch.pdf","x")</f>
        <v>x</v>
      </c>
      <c r="BR177" s="111"/>
      <c r="BS177" s="112" t="str">
        <f t="shared" si="59"/>
        <v>x</v>
      </c>
      <c r="BT177" s="112" t="str">
        <f>HYPERLINK("http://de.langenscheidt.com/doc/arabisch-deutsch-sprachfuehrer.pdf","x")</f>
        <v>x</v>
      </c>
      <c r="BU177" s="111"/>
      <c r="BV177" s="112" t="str">
        <f t="shared" si="60"/>
        <v>x</v>
      </c>
      <c r="BW177" s="112" t="str">
        <f>HYPERLINK("http://www.welcomegrooves.de/wp-content/uploads/2015/10/welcomegrooves_DE-ARABISCH.pdf","x")</f>
        <v>x</v>
      </c>
      <c r="BX177" s="112"/>
      <c r="BY177" s="112"/>
      <c r="BZ177" s="112" t="str">
        <f>HYPERLINK("http://fluechtlingshilfe-nettetal.de/ausbildung/video-sprachkurse-deutsch-fuer-fluechtlinge/video-sprachkurs-syrisch-deutsch/","x")</f>
        <v>x</v>
      </c>
      <c r="CA177" s="112" t="str">
        <f t="shared" si="61"/>
        <v>x</v>
      </c>
      <c r="CB177" s="112" t="str">
        <f t="shared" si="62"/>
        <v>x</v>
      </c>
      <c r="CC177" s="112" t="str">
        <f t="shared" si="63"/>
        <v>x</v>
      </c>
      <c r="CD177" s="112"/>
      <c r="CE177" s="112"/>
      <c r="CF177" s="112" t="str">
        <f>HYPERLINK("http://www.agf-trier.de/sites/default/files/bersetzungshilfe%20%20f%C3%BCr%20Frauen%20Arab..pdf","x")</f>
        <v>x</v>
      </c>
      <c r="CG177" s="112" t="str">
        <f>HYPERLINK("http://www.braunschweig.de/leben/frauen/hilfe/Ohne-Gewalt-leben.pdf","x")</f>
        <v>x</v>
      </c>
      <c r="CH177" s="112" t="str">
        <f>HYPERLINK("http://mifkjf.rlp.de/fileadmin/mifkjf/Frauen/Gewalt_gegen_Frauen/Downloads/Broschueren_Flyer/Flyer_Gewalt_arabisch_fuer_ANSICHT.pdf","x")</f>
        <v>x</v>
      </c>
      <c r="CI177" s="112"/>
      <c r="CJ177" s="112" t="str">
        <f>HYPERLINK("https://www.hilfetelefon.de/fileadmin/hilfetelefon_de/Materialien/weitere_werbemittel/Klappflyer_Vorder-_und_Rueckseite_opt2.pdf","x")</f>
        <v>x</v>
      </c>
      <c r="CK177" s="112" t="str">
        <f t="shared" si="64"/>
        <v>x</v>
      </c>
      <c r="CL177" s="112" t="str">
        <f>HYPERLINK("http://www.frauenberatungsstelle.de/pdf/Migrantinnen-beraten-Migrantinnen.pdf","x")</f>
        <v>x</v>
      </c>
      <c r="CM177" s="112"/>
      <c r="CN177" s="112"/>
      <c r="CO177" s="112"/>
      <c r="CP177" s="112" t="str">
        <f>HYPERLINK("http://www.schwanger-und-viele-fragen.de/ar/","x")</f>
        <v>x</v>
      </c>
      <c r="CQ177" s="112"/>
      <c r="CR17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77" s="112"/>
      <c r="CT177" s="112"/>
      <c r="CU177" s="112" t="str">
        <f>HYPERLINK("http://www.profamilia.de/fileadmin/publikationen/Erwachsene/mehrsprachig/verhuetung_arabisch.pdf","x")</f>
        <v>x</v>
      </c>
      <c r="CV177" s="112"/>
      <c r="CW177" s="112"/>
      <c r="CX177" s="112"/>
      <c r="CY177" s="112" t="str">
        <f>HYPERLINK("http://www.caritas-schwarzwald-alb-donau.de/68854.html","x")</f>
        <v>x</v>
      </c>
      <c r="CZ177" s="112"/>
      <c r="DA177" s="112" t="str">
        <f>HYPERLINK("http://sichere-orte-schaffen.de/wp-content/uploads/Minibrosch_Fluechtlinge_multilang.pdf","x")</f>
        <v>x</v>
      </c>
      <c r="DB177" s="112"/>
      <c r="DC177" s="115" t="str">
        <f>HYPERLINK("http://www.kindersicherheit.de/pdf/2012_Bilderbuch-Gift-Arabisch.pdf","x")</f>
        <v>x</v>
      </c>
      <c r="DD177" s="112"/>
      <c r="DE177" s="112"/>
      <c r="DF177" s="112" t="str">
        <f t="shared" si="65"/>
        <v>x</v>
      </c>
      <c r="DG177" s="115" t="str">
        <f t="shared" si="66"/>
        <v>x</v>
      </c>
      <c r="DH177" s="112" t="str">
        <f t="shared" si="67"/>
        <v>x</v>
      </c>
      <c r="DI177" s="112" t="str">
        <f t="shared" si="68"/>
        <v>x</v>
      </c>
      <c r="DJ177" s="112" t="str">
        <f>HYPERLINK("http://www.bibliomedia.ch/de/angebote/dokumente/Glossar_arabisch.pdf","x")</f>
        <v>x</v>
      </c>
      <c r="DK177" s="112"/>
      <c r="DL177" s="112" t="str">
        <f>HYPERLINK("http://www.carlsen.de/sites/default/files/Walter-ebook_arabisch_klein.pdf","x")</f>
        <v>x</v>
      </c>
      <c r="DM177" s="112"/>
      <c r="DN177" s="112"/>
      <c r="DO177" s="112" t="str">
        <f>HYPERLINK("http://www.wdrmaus.de/sachgeschichten/maus-international/","x")</f>
        <v>x</v>
      </c>
      <c r="DP177" s="111"/>
      <c r="DQ177" s="112" t="str">
        <f>HYPERLINK("http://tipdoc.de/bus/grafik/kinder-tip/SCHULTIP_give_didacta.pdf","x")</f>
        <v>x</v>
      </c>
      <c r="DR177" s="112" t="str">
        <f>HYPERLINK("https://broschueren.nordrheinwestfalendirekt.de/broschuerenservice/msw/ar-das-schulsystem-in-nordrhein-westfalen-einfach-und-schnell-erklaert/1901","x")</f>
        <v>x</v>
      </c>
      <c r="DS177" s="112" t="str">
        <f>HYPERLINK("http://bildung.koeln.de/materialbibliothek/download.php?idx=7479da9798519efb4e1944d46a76011b","x")</f>
        <v>x</v>
      </c>
      <c r="DT177" s="112" t="str">
        <f>HYPERLINK("http://bildung.koeln.de/materialbibliothek/download.php?idx=dd3a964c240308ea1c8e0d161e49e314","x")</f>
        <v>x</v>
      </c>
      <c r="DU177" s="112"/>
      <c r="DV177" s="112" t="str">
        <f>HYPERLINK("https://www.bmbf.de/pub/Kausa_Elternbroschuere_arabisch.pdf","x")</f>
        <v>x</v>
      </c>
      <c r="DW177" s="112"/>
      <c r="DX177" s="112" t="str">
        <f>HYPERLINK("http://www.wissenschaft.nrw.de/studium/informieren/informationen-fuer-fluechtlinge-die-in-nrw-studieren-moechten/","x")</f>
        <v>x</v>
      </c>
      <c r="DY177" s="112" t="str">
        <f>HYPERLINK("http://www.bamf.de/SharedDocs/Anlagen/DE/Publikationen/Flyer/AnerkennungBerufsabschluss/berufliche_anerkennung_akademische-heilberufe_ar.pdf?__blob=publicationFile","x")</f>
        <v>x</v>
      </c>
      <c r="DZ177" s="112" t="str">
        <f>HYPERLINK("http://www.bamf.de/SharedDocs/Anlagen/DE/Publikationen/Flyer/AnerkennungBerufsabschluss/anerkennung-berufsabschluss_ar.pdf?__blob=publicationFile","x")</f>
        <v>x</v>
      </c>
      <c r="EA177" s="112" t="str">
        <f>HYPERLINK("http://www.bamf.de/SharedDocs/Anlagen/DE/Publikationen/Flyer/AnerkennungBerufsabschluss/anerkennung-berufsabschluss_ausland_ar.pdf?__blob=publicationFile","x")</f>
        <v>x</v>
      </c>
      <c r="EB177" s="112" t="str">
        <f>HYPERLINK("http://www.bamf.de/SharedDocs/Anlagen/DE/Publikationen/Broschueren/willkommen-in-deutschland-info-blaue-karte-eu_ar.pdf?__blob=publicationFile","x")</f>
        <v>x</v>
      </c>
      <c r="EC177" s="112" t="str">
        <f>HYPERLINK("http://www.bamf.de/SharedDocs/Anlagen/DE/Publikationen/Flyer/Berufsbezsprachf-ESF-BAMF/berufsbezsprachf-esf-bamf_ar.pdf?__blob=publicationFile","x")</f>
        <v>x</v>
      </c>
      <c r="ED177" s="111"/>
      <c r="EE177" s="111"/>
      <c r="EF177" s="111"/>
      <c r="EG177" s="111"/>
      <c r="EH177" s="111"/>
      <c r="EI177" s="111"/>
      <c r="EJ177" s="112"/>
      <c r="EK177" s="112" t="str">
        <f>HYPERLINK("http://fluechtlingsrat-bw.de/files/Dateien/Dokumente/Materialbestellung/2014-12-flyer%20arbeitserlaubnis%20AR%20WEB_final.pdf","x")</f>
        <v>x</v>
      </c>
      <c r="EL177" s="112" t="str">
        <f>HYPERLINK("http://www.aponet.de/arabisch/20151019-fuer-den-notfall-wichtige-rufnummern-im-ueberblick.html","x")</f>
        <v>x</v>
      </c>
      <c r="EM177" s="112" t="str">
        <f>HYPERLINK("http://www.kvs-sachsen.de/fileadmin/img/Mitglieder/Asylbewerber/Allg-Informationen/Anlage_1_Arabisch_LEK.pdf","x")</f>
        <v>x</v>
      </c>
      <c r="EN177" s="112" t="str">
        <f>HYPERLINK("http://www.medizin-hilft-fluechtlingen.de/images/Dokumente/gSch/gSch_arab.pdf","x")</f>
        <v>x</v>
      </c>
      <c r="EO177" s="112" t="str">
        <f>HYPERLINK("http://www.aponet.de/arabisch/20151016-medizinische-leistungen-fuer-asylbewerber.html","x")</f>
        <v>x</v>
      </c>
      <c r="EP177" s="117" t="str">
        <f>HYPERLINK("http://www.medi-bild.de/pdf/anamnese/Welche_Sprache.pdf","x")</f>
        <v>x</v>
      </c>
      <c r="EQ177" s="117" t="str">
        <f>HYPERLINK("http://www.armut-gesundheit.de/fileadmin/redakteur/dokumente/Anamnesebogen%20-%20Arabischnew.pdf","x")</f>
        <v>x</v>
      </c>
      <c r="ER177" s="112" t="str">
        <f>HYPERLINK("http://www.kvs-sachsen.de/fileadmin/img/Mitglieder/Asylbewerber/Allg-Informationen/Anlagen_2-1_2-2_Arabisch_LEK.pdf","x")</f>
        <v>x</v>
      </c>
      <c r="ES177" s="112"/>
      <c r="ET177" s="112" t="str">
        <f>HYPERLINK("http://www.pharmazeutische-zeitung.de/fileadmin/pdf/Fragebogen_PZ_43_2015.pdf","x")</f>
        <v>x</v>
      </c>
      <c r="EU177" s="112" t="str">
        <f>HYPERLINK("http://www.medizin-hilft-fluechtlingen.de/images/Dokumente/ein/ein_arab.pdf","x")</f>
        <v>x</v>
      </c>
      <c r="EV177" s="112" t="str">
        <f>HYPERLINK("http://www.adler-apotheke-hh.de/fileadmin/user_upload/PDF-Dateien/Dosierzettel_mehrsprachig_AUF_0_.pdf","x")</f>
        <v>x</v>
      </c>
      <c r="EW177" s="112" t="str">
        <f t="shared" si="69"/>
        <v>x</v>
      </c>
      <c r="EX177" s="112" t="str">
        <f>HYPERLINK("http://www.rki.de/DE/Content/Infekt/IfSG/Belehrungsbogen/belehrungsbogen_eltern_arabisch.pdf?__blob=publicationFile","x")</f>
        <v>x</v>
      </c>
      <c r="EY177" s="112" t="str">
        <f>HYPERLINK("http://www.bzga.de/infomaterialien/?sid=236","x")</f>
        <v>x</v>
      </c>
      <c r="EZ177" s="112" t="str">
        <f>HYPERLINK("https://www.mh-hannover.de/fileadmin/mhh/bilder/aktuelles_presse/presseinformationen_news/150921_Pilz_Vergif_Arab_3.pdf","x")</f>
        <v>x</v>
      </c>
      <c r="FA177" s="112"/>
      <c r="FB177" s="112" t="str">
        <f>HYPERLINK("http://static.apotheken-umschau.de/media/gp/article_506373/bildwoerterbuch.pdf","x")</f>
        <v>x</v>
      </c>
      <c r="FC177" s="111"/>
      <c r="FD177" s="112" t="str">
        <f t="shared" si="70"/>
        <v>x</v>
      </c>
      <c r="FE177" s="112" t="str">
        <f t="shared" si="75"/>
        <v>x</v>
      </c>
      <c r="FF177" s="112" t="str">
        <f>HYPERLINK("http://www.fuhlenhagen.com/pdf_dateien/uebertzungshilfe_aerzte_mehrsprachig.pdf","x")</f>
        <v>x</v>
      </c>
      <c r="FG177" s="112" t="str">
        <f>HYPERLINK("http://www.tipdoc.de/grafik/asyl/Gesundheitsheft_Asyl.pdf","x")</f>
        <v>x</v>
      </c>
      <c r="FH177" s="111"/>
      <c r="FI177" s="111"/>
      <c r="FJ177" s="112" t="str">
        <f>HYPERLINK("http://www.bundesgesundheitsministerium.de/fileadmin/dateien/Publikationen/Gesundheit/Broschueren/Ratgeber_Asylsuchende/Ratgeber_Asylsuchende_arab.PDF","x")</f>
        <v>x</v>
      </c>
      <c r="FK177" s="112" t="str">
        <f>HYPERLINK("http://www.rki.de/DE/Content/Infekt/Impfen/Materialien/Downloads-Impfkalender/Impfkalender_Arabisch.pdf?__blob=publicationFile","x")</f>
        <v>x</v>
      </c>
      <c r="FL177" s="112" t="str">
        <f>HYPERLINK("http://www.ethno-medizinisches-zentrum.de/images/PDF-Files/impfwegweiser_arabbisch_2013_online.pdf","x")</f>
        <v>x</v>
      </c>
      <c r="FM177" s="112"/>
      <c r="FN177" s="112" t="str">
        <f>HYPERLINK("http://www.rki.de/DE/Content/Infekt/Impfen/Materialien/Glossar-Downloads/glossar-de-arabisch.pdf?__blob=publicationFile","x")</f>
        <v>x</v>
      </c>
      <c r="FO177" s="112"/>
      <c r="FP177" s="112" t="str">
        <f>HYPERLINK("http://www.rki.de/DE/Content/Infekt/Impfen/Materialien/Downloads-MMR/MMR-Impfinfo-arabisch.pdf?__blob=publicationFile","x")</f>
        <v>x</v>
      </c>
      <c r="FQ177" s="112" t="str">
        <f>HYPERLINK("http://www.rki.de/DE/Content/InfAZ/P/Polio/Ausbruch_Syrien/Informationsblatt_Polio_Arabisch.pdf?__blob=publicationFile","x")</f>
        <v>x</v>
      </c>
      <c r="FR177" s="112" t="str">
        <f>HYPERLINK("http://www.rki.de/DE/Content/Infekt/Impfen/Materialien/Downloads_HepA/Aufklaerung_HAV-Impfung_arabisch.pdf?__blob=publicationFile","x")</f>
        <v>x</v>
      </c>
      <c r="FS177" s="112" t="str">
        <f>HYPERLINK("http://www.rki.de/DE/Content/Infekt/Impfen/Materialien/Downloads_Pneumokokken/Aufklaerung_Pneumo-Impfung_Arabisch.pdf?__blob=publicationFile","x")</f>
        <v>x</v>
      </c>
      <c r="FT177" s="112" t="str">
        <f>HYPERLINK("http://www.rki.de/DE/Content/Infekt/Impfen/Materialien/Downloads-DTaPIPVHibHepB/DTaPIPVHibHepB_arabisch.pdf?__blob=publicationFile","x")</f>
        <v>x</v>
      </c>
      <c r="FU17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77" s="112" t="str">
        <f>HYPERLINK("http://www.rki.de/DE/Content/Infekt/Impfen/Materialien/Downloads-Tdap-IPV/Tdap-IPV-arabisch.pdf?__blob=publicationFile","x")</f>
        <v>x</v>
      </c>
      <c r="FW177" s="112" t="str">
        <f>HYPERLINK("http://www.rki.de/DE/Content/Infekt/Impfen/Materialien/Downloads-Influenza_nasal/Influenza_nasal-arabisch.pdf?__blob=publicationFile","x")</f>
        <v>x</v>
      </c>
      <c r="FX177" s="112" t="str">
        <f>HYPERLINK("http://www.medical-tribune.de/fileadmin/PDF/Arthrose_arabisch.pdf","x")</f>
        <v>x</v>
      </c>
      <c r="FY177" s="112" t="str">
        <f>HYPERLINK("http://www.medical-tribune.de/fileadmin/PDF/Asthma_arabisch.pdf","x")</f>
        <v>x</v>
      </c>
      <c r="FZ177" s="112" t="str">
        <f>HYPERLINK("http://www.medical-tribune.de/fileadmin/PDF/Bluthochdruck_arabisch.pdf","x")</f>
        <v>x</v>
      </c>
      <c r="GA177" s="112"/>
      <c r="GB177" s="112" t="str">
        <f>HYPERLINK("http://www.medical-tribune.de/fileadmin/PDF/COPD_arabisch.pdf","x")</f>
        <v>x</v>
      </c>
      <c r="GC177" s="112"/>
      <c r="GD177" s="112" t="str">
        <f>HYPERLINK("http://www.ethno-medizinisches-zentrum.de/images/PDF-Files/lf_diabete_arab.pdf","x")</f>
        <v>x</v>
      </c>
      <c r="GE177" s="112"/>
      <c r="GF177" s="112"/>
      <c r="GG177" s="112"/>
      <c r="GH177" s="112"/>
      <c r="GI177" s="112" t="str">
        <f>HYPERLINK("http://www.tipdoc.de/bus/pdf/hepatitis/Hep_B_Webseite.pdf","x")</f>
        <v>x</v>
      </c>
      <c r="GJ177" s="112" t="str">
        <f>HYPERLINK("http://www.tipdoc.de/bus/pdf/hepatitis/Hep_C_Webseite.pdf","x")</f>
        <v>x</v>
      </c>
      <c r="GK177" s="111"/>
      <c r="GL177" s="111"/>
      <c r="GM177" s="112" t="str">
        <f>HYPERLINK("http://www.rki.de/DE/Content/Infekt/Impfen/Materialien/Downloads-Influenza/Influenza-arabisch.pdf?__blob=publicationFile","x")</f>
        <v>x</v>
      </c>
      <c r="GN177" s="112"/>
      <c r="GO177" s="112" t="str">
        <f>HYPERLINK("http://www.aponet.de/arabisch/20151111-so-unterscheiden-sich-grippe-und-erkaeltung.html","x")</f>
        <v>x</v>
      </c>
      <c r="GP177" s="112" t="str">
        <f>HYPERLINK("http://www.tipdoc.de/grafik/pdf/kopflaeuse/Kopflaeuse_ARAB.pdf","x")</f>
        <v>x</v>
      </c>
      <c r="GQ177" s="112"/>
      <c r="GR177" s="112" t="str">
        <f>HYPERLINK("http://www.tipdoc.com/bus/pdf/kraetze/tipdoc_Scabies_ARAB.pdf","x")</f>
        <v>x</v>
      </c>
      <c r="GS177" s="112" t="str">
        <f>HYPERLINK("http://www.tipdoc.com/bus/pdf/MagenDarmHaende/MagenDarmHaende_Arab.pdf","x")</f>
        <v>x</v>
      </c>
      <c r="GT177" s="112"/>
      <c r="GU177" s="112" t="str">
        <f>HYPERLINK("http://www.medical-tribune.de/fileadmin/PDF/Rueckenschmerzen_arabisch.pdf","x")</f>
        <v>x</v>
      </c>
      <c r="GV177" s="112"/>
      <c r="GW177" s="112"/>
      <c r="GX177" s="112" t="str">
        <f>HYPERLINK("http://www.medical-tribune.de/fileadmin/PDF/Schwindel_arabisch.pdf","x")</f>
        <v>x</v>
      </c>
      <c r="GY177" s="112"/>
      <c r="GZ177" s="112"/>
      <c r="HA177" s="112"/>
      <c r="HB177" s="112"/>
      <c r="HC177" s="112" t="str">
        <f t="shared" si="71"/>
        <v>x</v>
      </c>
      <c r="HD177" s="112" t="str">
        <f>HYPERLINK("https://www.zahnaerzte-wl.de/images/_PDF-suche/KZV_ZÄK/ENDSTAND_Ankreuzbogen_Ich_verstehe.pdf","x")</f>
        <v>x</v>
      </c>
      <c r="HE177" s="112" t="str">
        <f>HYPERLINK("https://www.zahnaerzte-wl.de/images/_PDF-suche/KZV_ZÄK/Anschreiben_Patienten_arabisch.pdf","x")</f>
        <v>x</v>
      </c>
      <c r="HF177" s="112" t="str">
        <f>HYPERLINK("https://www.zahnaerzte-wl.de/images/_PDF-suche/KZV_ZÄK/Fragebogen_arabisch.pdf","x")</f>
        <v>x</v>
      </c>
      <c r="HG177" s="112" t="str">
        <f>HYPERLINK("https://www.zahnaerzte-wl.de/images/_PDF-suche/KZV_ZÄK/Patientenerhebungsbogen_arabisch.pdf","x")</f>
        <v>x</v>
      </c>
      <c r="HH177" s="112"/>
      <c r="HI177" s="112"/>
      <c r="HJ177" s="112" t="str">
        <f>HYPERLINK("http://www.ibbc-berlin.de/media/Bro_de-arab.pdf","x")</f>
        <v>x</v>
      </c>
      <c r="HK177" s="112"/>
      <c r="HL177" s="112" t="str">
        <f>HYPERLINK("http://www.ethno-medizinisches-zentrum.de/images/PDF-Files/lf_depression__arab.pdf","x")</f>
        <v>x</v>
      </c>
      <c r="HM177" s="112"/>
      <c r="HN177" s="112"/>
      <c r="HO177" s="112"/>
      <c r="HP177" s="112"/>
      <c r="HQ177" s="112"/>
      <c r="HR177" s="112"/>
      <c r="HS177" s="112"/>
      <c r="HT177" s="112"/>
      <c r="HU177" s="112"/>
      <c r="HV177" s="112"/>
      <c r="HW177" s="112"/>
      <c r="HX177" s="112" t="str">
        <f>HYPERLINK("http://www.bkk-psychisch-gesund.de/fileadmin/user_upload/Dokumente/Versicherte/Broschueren/Wegweiser_Psychotherapie_arabisch.pdf","x")</f>
        <v>x</v>
      </c>
      <c r="HY177" s="112" t="str">
        <f t="shared" si="72"/>
        <v>x</v>
      </c>
      <c r="HZ177" s="112" t="str">
        <f t="shared" si="73"/>
        <v>x</v>
      </c>
      <c r="IA177" s="112"/>
      <c r="IB177" s="112"/>
      <c r="IC177" s="112"/>
      <c r="ID177" s="112" t="str">
        <f>HYPERLINK("http://www.susannestein.de/VIA-online/trauma-bilderbuch-arabisch.pdf","x")</f>
        <v>x</v>
      </c>
      <c r="IE177" s="112"/>
      <c r="IF177" s="112"/>
      <c r="IG177" s="112"/>
      <c r="IH177" s="111"/>
      <c r="II177" s="112"/>
      <c r="IJ177" s="112"/>
      <c r="IK177" s="112" t="str">
        <f>HYPERLINK("http://www.bamf.de/SharedDocs/Anlagen/DE/Publikationen/Flyer/Lassen-Sie-Sich-Beraten/lassen-sie-sich-beraten_ar.pdf?__blob=publicationFile","x")</f>
        <v>x</v>
      </c>
      <c r="IL177" s="112" t="str">
        <f>HYPERLINK("http://www.bamf.de/SharedDocs/Anlagen/DE/Publikationen/Flyer/flyer-erstorientierung-asylsuchende_arabisch.pdf?__blob=publicationFile","x")</f>
        <v>x</v>
      </c>
      <c r="IM177" s="111"/>
      <c r="IN177" s="112" t="str">
        <f>HYPERLINK("https://www.bamf.de/SharedDocs/Anlagen/DE/Publikationen/Broschueren/willkommen-in-deutschland_ar.pdf?__blob=publicationFile","x")</f>
        <v>x</v>
      </c>
      <c r="IO177" s="112"/>
      <c r="IP177" s="111"/>
      <c r="IQ177" s="112" t="str">
        <f>HYPERLINK("http://www.bamf.de/SharedDocs/Anlagen/DE/Publikationen/Flyer/Lernen-Sie-Deutsch/lernen-sie-deutsch_ar.pdf?__blob=publicationFile","x")</f>
        <v>x</v>
      </c>
      <c r="IR177" s="112" t="str">
        <f>HYPERLINK("http://www.asyl.net/fileadmin/user_upload/redaktion/Dokumente/Arbeitshilfen/150910_Wie_l%C3%A4uft_ein_Asylverfahren_ab_%C3%9Cberblickstext_Arabisch.pdf","x")</f>
        <v>x</v>
      </c>
      <c r="IS177" s="111"/>
      <c r="IT177" s="111"/>
      <c r="IU177" s="111"/>
      <c r="IV177" s="112" t="str">
        <f>HYPERLINK("http://www.asyl.net/fileadmin/user_upload/infoblatt_anhoerung/Infoblatt_2015_ar_fin.pdf","x")</f>
        <v>x</v>
      </c>
      <c r="IW177" s="112" t="str">
        <f>HYPERLINK("http://efi-landsberg.de/asyl/wp-content/uploads/2014/04/Merkblatt-Asylbewerber-Fluechtlinge.pdf","x")</f>
        <v>x</v>
      </c>
      <c r="IX177" s="112"/>
      <c r="IY177" s="112" t="str">
        <f>HYPERLINK("http://www.bamf.de/SharedDocs/Anlagen/DE/Publikationen/Broschueren/broschuere-eat-a4-ar-arabisch.pdf?__blob=publicationFile","x")</f>
        <v>x</v>
      </c>
      <c r="IZ177" s="111"/>
      <c r="JA177" s="112" t="str">
        <f>HYPERLINK("http://fluechtlingsrat-bw.de/informationen-fuer-fluechtlinge.html","x")</f>
        <v>x</v>
      </c>
      <c r="JB177" s="111"/>
      <c r="JC177" s="112"/>
      <c r="JD177" s="111"/>
      <c r="JE177" s="112"/>
      <c r="JF177" s="112"/>
      <c r="JG177" s="112" t="str">
        <f>HYPERLINK("http://www.bamf.de/SharedDocs/Anlagen/DE/Publikationen/Flyer/Ehegattennachzug/ehegattennachzug-ar.pdf?__blob=publicationFile","x")</f>
        <v>x</v>
      </c>
      <c r="JH177" s="112" t="str">
        <f>HYPERLINK("https://familyreunion-syria.diplo.de/webportal/index.html#start","x")</f>
        <v>x</v>
      </c>
      <c r="JI177" s="111"/>
      <c r="JJ177" s="112"/>
      <c r="JK177" s="112" t="str">
        <f>HYPERLINK("https://www.arbeitsagentur.de/web/wcm/idc/groups/public/documents/webdatei/mdaw/mjgz/~edisp/l6019022dstbai784629.pdf?_ba.sid=L6019022DSTBAI788745","x")</f>
        <v>x</v>
      </c>
      <c r="JL177" s="112" t="str">
        <f>HYPERLINK("http://www.kub-berlin.org/formularprojekt/de/arabisch-antraege-und-anlagen/","x")</f>
        <v>x</v>
      </c>
      <c r="JM177" s="112" t="str">
        <f>HYPERLINK("https://www.arbeitsagentur.de/web/content/DE/Formulare/Detail/index.htm?dfContentId=L6019022DSTBAI485740","x")</f>
        <v>x</v>
      </c>
      <c r="JN177" s="112"/>
      <c r="JO177" s="112"/>
      <c r="JP177" s="112"/>
      <c r="JQ177" s="112"/>
      <c r="JR177" s="112" t="str">
        <f t="shared" si="76"/>
        <v>x</v>
      </c>
      <c r="JS177" s="112"/>
      <c r="JT177" s="112" t="str">
        <f>HYPERLINK("http://www.b-umf.de/images/willkommen/willkommensbroschurearabisch-web.pdf","x")</f>
        <v>x</v>
      </c>
      <c r="JU177" s="111"/>
      <c r="JV177" s="111"/>
      <c r="JW177" s="112"/>
      <c r="JX177" s="112"/>
      <c r="JY177" s="112"/>
      <c r="JZ177" s="112"/>
      <c r="KA177" s="112" t="str">
        <f>HYPERLINK("http://www.kas.de/wf/de/33.43117/","x")</f>
        <v>x</v>
      </c>
      <c r="KB177" s="112" t="str">
        <f>HYPERLINK("http://www.refugeeguide.de/dl/RefugeeGuide_ar_930.pdf","x")</f>
        <v>x</v>
      </c>
      <c r="KC177" s="112" t="str">
        <f>HYPERLINK("http://www.bpb.de/shop/buecher/grundgesetz/215136/grundgesetz-auf-arabisch","x")</f>
        <v>x</v>
      </c>
      <c r="KD177" s="112" t="str">
        <f>HYPERLINK("http://www.wedel.de/fileadmin/user_upload/media/pdf/Rathaus_und_Politik/20160118_PM_Broschuere.pdf","x")</f>
        <v>x</v>
      </c>
      <c r="KE177" s="112" t="str">
        <f>HYPERLINK("http://www.frauenrechte.de/online/images/downloads/allgemein/TDF_Flyer_Women_Men.pdf","x")</f>
        <v>x</v>
      </c>
      <c r="KF177" s="112" t="str">
        <f>HYPERLINK("http://sab.landtag.sachsen.de/dokumente/landtagskurier/Grundwerte-A5-international_web_08012016.pdf","x")</f>
        <v>x</v>
      </c>
      <c r="KG177" s="112"/>
      <c r="KH177" s="112"/>
      <c r="KI177" s="112"/>
      <c r="KJ177" s="112"/>
      <c r="KK177" s="112"/>
      <c r="KL177" s="112"/>
      <c r="KM177" s="112"/>
      <c r="KN177" s="112"/>
      <c r="KO177" s="112"/>
      <c r="KP177" s="112"/>
      <c r="KQ177" s="112"/>
      <c r="KR177" s="112"/>
      <c r="KS177" s="112"/>
      <c r="KT177" s="112"/>
      <c r="KU177" s="112"/>
      <c r="KV177" s="112"/>
      <c r="KW177" s="112"/>
      <c r="KX177" s="112"/>
      <c r="KY177" s="112"/>
      <c r="KZ177" s="112"/>
      <c r="LA177" s="112"/>
      <c r="LB177" s="112"/>
      <c r="LC177" s="111"/>
      <c r="LD177" s="111"/>
      <c r="LE177" s="111"/>
      <c r="LF177" s="111"/>
      <c r="LG177" s="112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2"/>
      <c r="LU177" s="111"/>
      <c r="LV177" s="111"/>
      <c r="LW177" s="111"/>
      <c r="LX177" s="111"/>
      <c r="LY177" s="111"/>
      <c r="LZ177" s="112" t="str">
        <f>HYPERLINK("http://www.bjf.info/projekte/cinemanya","x")</f>
        <v>x</v>
      </c>
      <c r="MA177" s="111"/>
      <c r="MB177" s="111"/>
      <c r="MC177" s="111"/>
      <c r="MD177" s="112" t="str">
        <f>HYPERLINK("http://www.rki.de/DE/Content/Infekt/IfSG/Belehrungsbogen/belehrungsbogen_lebensmittel_arabisch.pdf?__blob=publicationFile","x")</f>
        <v>x</v>
      </c>
      <c r="ME177" s="111"/>
      <c r="MF177" s="112" t="str">
        <f>HYPERLINK("http://www.gdv.de/wp-content/uploads/2016/01/Information_Brandschutz_Fluechtlingsheim_-Sicherheit_mehrsprachig.pdf","x")</f>
        <v>x</v>
      </c>
      <c r="MG177" s="112" t="str">
        <f>HYPERLINK("http://www.gdv.de/wp-content/uploads/2016/01/Information_Verhalten-im-Brandfall_mehrsprachig.pdf","x")</f>
        <v>x</v>
      </c>
      <c r="MH177" s="112" t="str">
        <f>HYPERLINK("http://www.aha-region.de/fileadmin/Download/pdf/aha_Plakat_Muelltrennung_ar.pdf","x")</f>
        <v>x</v>
      </c>
      <c r="MI177" s="112" t="str">
        <f>HYPERLINK("http://www.kindersicherheit.de/pdf/2012_poster_achtunggiftig_8sprachig.pdf","x")</f>
        <v>x</v>
      </c>
    </row>
    <row r="178" spans="1:347" x14ac:dyDescent="0.25">
      <c r="A178" s="102" t="s">
        <v>133</v>
      </c>
      <c r="B178" s="127" t="s">
        <v>132</v>
      </c>
      <c r="C178" s="102"/>
      <c r="D178" s="102"/>
      <c r="E178" s="102"/>
      <c r="F178" s="102"/>
      <c r="G178" s="102"/>
      <c r="H178" s="102"/>
      <c r="I178" s="102"/>
      <c r="J178" s="102"/>
      <c r="K178" s="103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3"/>
      <c r="AW178" s="114" t="str">
        <f t="shared" si="55"/>
        <v>x</v>
      </c>
      <c r="AX178" s="114" t="str">
        <f t="shared" si="56"/>
        <v>x</v>
      </c>
      <c r="AY178" s="111"/>
      <c r="AZ178" s="111"/>
      <c r="BA178" s="112" t="str">
        <f t="shared" si="57"/>
        <v>x</v>
      </c>
      <c r="BB178" s="112" t="str">
        <f t="shared" si="58"/>
        <v>x</v>
      </c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2" t="str">
        <f>HYPERLINK("http://www.frnrw.de/images/Aus_den_Initiativen/Ehrenamtler/2015/Dictionary_x10_print-2.pdf","x")</f>
        <v>x</v>
      </c>
      <c r="BN178" s="111"/>
      <c r="BO178" s="111"/>
      <c r="BP178" s="111"/>
      <c r="BQ178" s="111"/>
      <c r="BR178" s="111"/>
      <c r="BS178" s="112" t="str">
        <f t="shared" si="59"/>
        <v>x</v>
      </c>
      <c r="BT178" s="112"/>
      <c r="BU178" s="111"/>
      <c r="BV178" s="112" t="str">
        <f t="shared" si="60"/>
        <v>x</v>
      </c>
      <c r="BW178" s="112"/>
      <c r="BX178" s="112"/>
      <c r="BY178" s="112"/>
      <c r="BZ178" s="112"/>
      <c r="CA178" s="112" t="str">
        <f t="shared" si="61"/>
        <v>x</v>
      </c>
      <c r="CB178" s="112" t="str">
        <f t="shared" si="62"/>
        <v>x</v>
      </c>
      <c r="CC178" s="112" t="str">
        <f t="shared" si="63"/>
        <v>x</v>
      </c>
      <c r="CD178" s="112"/>
      <c r="CE178" s="112"/>
      <c r="CF178" s="111"/>
      <c r="CG178" s="111"/>
      <c r="CH178" s="111"/>
      <c r="CI178" s="111"/>
      <c r="CJ178" s="111"/>
      <c r="CK178" s="112" t="str">
        <f t="shared" si="64"/>
        <v>x</v>
      </c>
      <c r="CL178" s="112"/>
      <c r="CM178" s="112"/>
      <c r="CN178" s="112"/>
      <c r="CO178" s="112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2"/>
      <c r="DA178" s="112"/>
      <c r="DB178" s="112"/>
      <c r="DC178" s="115"/>
      <c r="DD178" s="112"/>
      <c r="DE178" s="112"/>
      <c r="DF178" s="112" t="str">
        <f t="shared" si="65"/>
        <v>x</v>
      </c>
      <c r="DG178" s="115" t="str">
        <f t="shared" si="66"/>
        <v>x</v>
      </c>
      <c r="DH178" s="112" t="str">
        <f t="shared" si="67"/>
        <v>x</v>
      </c>
      <c r="DI178" s="112" t="str">
        <f t="shared" si="68"/>
        <v>x</v>
      </c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8"/>
      <c r="EQ178" s="118"/>
      <c r="ER178" s="111"/>
      <c r="ES178" s="111"/>
      <c r="ET178" s="111"/>
      <c r="EU178" s="111"/>
      <c r="EV178" s="111"/>
      <c r="EW178" s="112" t="str">
        <f t="shared" si="69"/>
        <v>x</v>
      </c>
      <c r="EX178" s="111"/>
      <c r="EY178" s="111"/>
      <c r="EZ178" s="111"/>
      <c r="FA178" s="111"/>
      <c r="FB178" s="111"/>
      <c r="FC178" s="111"/>
      <c r="FD178" s="112" t="str">
        <f t="shared" si="70"/>
        <v>x</v>
      </c>
      <c r="FE178" s="112" t="str">
        <f t="shared" si="75"/>
        <v>x</v>
      </c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2" t="str">
        <f t="shared" si="71"/>
        <v>x</v>
      </c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2" t="str">
        <f t="shared" si="72"/>
        <v>x</v>
      </c>
      <c r="HZ178" s="112" t="str">
        <f t="shared" si="73"/>
        <v>x</v>
      </c>
      <c r="IA178" s="112" t="str">
        <f>HYPERLINK("http://peacefulheart.se/wp-content/uploads/2012/07/manual_svenska.pdf","x")</f>
        <v>x</v>
      </c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1"/>
      <c r="IZ178" s="111"/>
      <c r="JA178" s="111"/>
      <c r="JB178" s="111"/>
      <c r="JC178" s="111"/>
      <c r="JD178" s="111"/>
      <c r="JE178" s="111"/>
      <c r="JF178" s="111"/>
      <c r="JG178" s="111"/>
      <c r="JH178" s="111"/>
      <c r="JI178" s="111"/>
      <c r="JJ178" s="111"/>
      <c r="JK178" s="111"/>
      <c r="JL178" s="111"/>
      <c r="JM178" s="111"/>
      <c r="JN178" s="111"/>
      <c r="JO178" s="111"/>
      <c r="JP178" s="111"/>
      <c r="JQ178" s="111"/>
      <c r="JR178" s="111"/>
      <c r="JS178" s="111"/>
      <c r="JT178" s="111"/>
      <c r="JU178" s="111"/>
      <c r="JV178" s="111"/>
      <c r="JW178" s="111"/>
      <c r="JX178" s="111"/>
      <c r="JY178" s="111"/>
      <c r="JZ178" s="111"/>
      <c r="KA178" s="111"/>
      <c r="KB178" s="111"/>
      <c r="KC178" s="111"/>
      <c r="KD178" s="111"/>
      <c r="KE178" s="111"/>
      <c r="KF178" s="111"/>
      <c r="KG178" s="111"/>
      <c r="KH178" s="111"/>
      <c r="KI178" s="111"/>
      <c r="KJ178" s="111"/>
      <c r="KK178" s="111"/>
      <c r="KL178" s="111"/>
      <c r="KM178" s="111"/>
      <c r="KN178" s="111"/>
      <c r="KO178" s="111"/>
      <c r="KP178" s="111"/>
      <c r="KQ178" s="111"/>
      <c r="KR178" s="111"/>
      <c r="KS178" s="111"/>
      <c r="KT178" s="111"/>
      <c r="KU178" s="111"/>
      <c r="KV178" s="111"/>
      <c r="KW178" s="111"/>
      <c r="KX178" s="111"/>
      <c r="KY178" s="111"/>
      <c r="KZ178" s="111"/>
      <c r="LA178" s="111"/>
      <c r="LB178" s="111"/>
      <c r="LC178" s="111"/>
      <c r="LD178" s="111"/>
      <c r="LE178" s="111"/>
      <c r="LF178" s="111"/>
      <c r="LG178" s="111"/>
      <c r="LH178" s="111"/>
      <c r="LI178" s="111"/>
      <c r="LJ178" s="111"/>
      <c r="LK178" s="111"/>
      <c r="LL178" s="111"/>
      <c r="LM178" s="111"/>
      <c r="LN178" s="111"/>
      <c r="LO178" s="111"/>
      <c r="LP178" s="111"/>
      <c r="LQ178" s="111"/>
      <c r="LR178" s="111"/>
      <c r="LS178" s="111"/>
      <c r="LT178" s="111"/>
      <c r="LU178" s="111"/>
      <c r="LV178" s="111"/>
      <c r="LW178" s="111"/>
      <c r="LX178" s="111"/>
      <c r="LY178" s="111"/>
      <c r="LZ178" s="111"/>
      <c r="MA178" s="111"/>
      <c r="MB178" s="111"/>
      <c r="MC178" s="111"/>
      <c r="MD178" s="111"/>
      <c r="ME178" s="111"/>
      <c r="MF178" s="111"/>
      <c r="MG178" s="111"/>
      <c r="MH178" s="111"/>
      <c r="MI178" s="111"/>
    </row>
    <row r="179" spans="1:347" x14ac:dyDescent="0.25">
      <c r="A179" s="102" t="s">
        <v>408</v>
      </c>
      <c r="B179" s="127" t="s">
        <v>5</v>
      </c>
      <c r="C179" s="102"/>
      <c r="D179" s="102"/>
      <c r="E179" s="102"/>
      <c r="F179" s="102"/>
      <c r="G179" s="102"/>
      <c r="H179" s="102"/>
      <c r="I179" s="102"/>
      <c r="J179" s="102"/>
      <c r="K179" s="103"/>
      <c r="L179" s="111"/>
      <c r="M179" s="111"/>
      <c r="N179" s="111"/>
      <c r="O179" s="111"/>
      <c r="P179" s="112" t="str">
        <f>HYPERLINK("http://www.awb-ahrweiler.de/admin/data/ddownload/Abfall%20Sonderhinweise-Franzoesisch%202015.pdf","x")</f>
        <v>x</v>
      </c>
      <c r="Q179" s="111"/>
      <c r="R179" s="111"/>
      <c r="S179" s="111"/>
      <c r="T179" s="111"/>
      <c r="U179" s="112" t="str">
        <f>HYPERLINK("http://www.ag-fluechtlingshilfe-wetterau.de/uploads/infos/191.pdf","x")</f>
        <v>x</v>
      </c>
      <c r="V179" s="112"/>
      <c r="W179" s="112"/>
      <c r="X179" s="111"/>
      <c r="Y179" s="112"/>
      <c r="Z179" s="112"/>
      <c r="AA179" s="112"/>
      <c r="AB179" s="112"/>
      <c r="AC179" s="112"/>
      <c r="AD179" s="112" t="str">
        <f>HYPERLINK("http://www.rundfunkbeitrag.de/e175/e1632/Informationsflyer_Buergerinnen_und_Buerger_franzoesisch.pdf","x")</f>
        <v>x</v>
      </c>
      <c r="AE179" s="112"/>
      <c r="AF179" s="112" t="str">
        <f>HYPERLINK("http://www.kub-berlin.org/formularprojekt/franzoesisch-antraege-und-anlagen-uebersetzungshilfen/","x")</f>
        <v>x</v>
      </c>
      <c r="AG179" s="112" t="str">
        <f>HYPERLINK("http://asyl-in-moenchengladbach.de/wp-content/uploads/2015/11/100711-Flyer_FR.pdf","x")</f>
        <v>x</v>
      </c>
      <c r="AH179" s="112" t="str">
        <f>HYPERLINK("http://sghanstedt.elbnetz.com/ueber-uns/","x")</f>
        <v>x</v>
      </c>
      <c r="AI179" s="111"/>
      <c r="AJ179" s="111"/>
      <c r="AK179" s="112" t="str">
        <f>HYPERLINK("https://www.vrsinfo.de/fileadmin/Dateien/downloadcenter/Folder_MobilPassTicket_Refugees01012016.pdf","x")</f>
        <v>x</v>
      </c>
      <c r="AL179" s="112" t="str">
        <f>HYPERLINK("https://www.vrsinfo.de/fileadmin/Dateien/downloadcenter/Willkommen_im_VRS2016_Druck.pdf","x")</f>
        <v>x</v>
      </c>
      <c r="AM179" s="112"/>
      <c r="AN179" s="112" t="str">
        <f>HYPERLINK("https://www.deutschebahn.com/file/de/2191748/eYdgZpqGpp5sMJ2KMKtg2r8aE4Q/10123812/data/infos_fuer_fluechtlinge.pdf","x")</f>
        <v>x</v>
      </c>
      <c r="AO179" s="112"/>
      <c r="AP179" s="112"/>
      <c r="AQ179" s="112"/>
      <c r="AR179" s="112"/>
      <c r="AS179" s="112"/>
      <c r="AT179" s="112"/>
      <c r="AU179" s="112"/>
      <c r="AV179" s="114" t="str">
        <f>HYPERLINK("http://www.studentenwerke.de/de/content/illustriertes-wohnheimw%C3%B6rterbuch-1","x")</f>
        <v>x</v>
      </c>
      <c r="AW179" s="114" t="str">
        <f t="shared" si="55"/>
        <v>x</v>
      </c>
      <c r="AX179" s="114" t="str">
        <f t="shared" si="56"/>
        <v>x</v>
      </c>
      <c r="AY179" s="111"/>
      <c r="AZ179" s="111"/>
      <c r="BA179" s="112" t="str">
        <f t="shared" si="57"/>
        <v>x</v>
      </c>
      <c r="BB179" s="112" t="str">
        <f t="shared" si="58"/>
        <v>x</v>
      </c>
      <c r="BC179" s="111"/>
      <c r="BD179" s="111"/>
      <c r="BE179" s="111"/>
      <c r="BF179" s="112" t="str">
        <f>HYPERLINK("http://fi-lohmar-siegburg.de/data/documents/communicationboard-arabic-french.pdf","x")</f>
        <v>x</v>
      </c>
      <c r="BG179" s="111"/>
      <c r="BH179" s="112" t="str">
        <f>HYPERLINK("http://www.refugeephrasebook.de/pdf/germany150920.pdf","x")</f>
        <v>x</v>
      </c>
      <c r="BI179" s="112" t="str">
        <f>HYPERLINK("https://www.advanced-online.eu/downloads/RefugeePhrasebookCards_German-French.pdf","x")</f>
        <v>x</v>
      </c>
      <c r="BJ179" s="112" t="str">
        <f>HYPERLINK("http://www.klett-sprachen.de/download/8638/W100255_Refugees_Welcome_Wortschatz.pdf","x")</f>
        <v>x</v>
      </c>
      <c r="BK179" s="111"/>
      <c r="BL179" s="112" t="str">
        <f>HYPERLINK("http://www.bundessprachenamt.de/deutsch/wir_ueber_uns/nachrichten/2015/20151103/Verständigungshilfe_Französisch_26_11_2015.pdf","x")</f>
        <v>x</v>
      </c>
      <c r="BM179" s="111"/>
      <c r="BN179" s="111"/>
      <c r="BO179" s="111"/>
      <c r="BP179" s="111"/>
      <c r="BQ179" s="111"/>
      <c r="BR179" s="111"/>
      <c r="BS179" s="112" t="str">
        <f t="shared" si="59"/>
        <v>x</v>
      </c>
      <c r="BT179" s="112"/>
      <c r="BU179" s="111"/>
      <c r="BV179" s="112" t="str">
        <f t="shared" si="60"/>
        <v>x</v>
      </c>
      <c r="BW179" s="112" t="str">
        <f>HYPERLINK("http://www.welcomegrooves.de/wp-content/uploads/2015/11/welcomegrooves-de-franzoesisch.pdf","x")</f>
        <v>x</v>
      </c>
      <c r="BX179" s="112"/>
      <c r="BY179" s="112"/>
      <c r="BZ179" s="112" t="str">
        <f>HYPERLINK("http://fluechtlingshilfe-nettetal.de/ausbildung/video-sprachkurse-deutsch-fuer-fluechtlinge/video-sprachkurs-franzoesisch-deutsch/","x")</f>
        <v>x</v>
      </c>
      <c r="CA179" s="112" t="str">
        <f t="shared" si="61"/>
        <v>x</v>
      </c>
      <c r="CB179" s="112" t="str">
        <f t="shared" si="62"/>
        <v>x</v>
      </c>
      <c r="CC179" s="112" t="str">
        <f t="shared" si="63"/>
        <v>x</v>
      </c>
      <c r="CD179" s="112"/>
      <c r="CE179" s="112"/>
      <c r="CF179" s="111"/>
      <c r="CG179" s="111"/>
      <c r="CH179" s="112" t="str">
        <f>HYPERLINK("http://mifkjf.rlp.de/fileadmin/mifkjf/Frauen/Gewalt_gegen_Frauen/Downloads/Broschueren_Flyer/Flyer_Gewalt_franzoesisch.pdf","x")</f>
        <v>x</v>
      </c>
      <c r="CI179" s="112" t="str">
        <f>HYPERLINK("https://www.hilfetelefon.de/fileadmin/hilfetelefon_de/Materialien/Flyer/Infoflyer_Hilfetelefon_Gewalt_gegen_Frauen141105_b2.pdf","x")</f>
        <v>x</v>
      </c>
      <c r="CJ179" s="112" t="str">
        <f>HYPERLINK("https://www.hilfetelefon.de/fileadmin/hilfetelefon_de/Materialien/weitere_werbemittel/Klappflyer_Vorder-_und_Rueckseite_opt2.pdf","x")</f>
        <v>x</v>
      </c>
      <c r="CK179" s="112" t="str">
        <f t="shared" si="64"/>
        <v>x</v>
      </c>
      <c r="CL179" s="112"/>
      <c r="CM179" s="112"/>
      <c r="CN179" s="112"/>
      <c r="CO179" s="112"/>
      <c r="CP179" s="112" t="str">
        <f>HYPERLINK("http://www.schwanger-und-viele-fragen.de/fr/","x")</f>
        <v>x</v>
      </c>
      <c r="CQ179" s="112"/>
      <c r="CR179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79" s="112" t="str">
        <f>HYPERLINK("http://en.beststart.org/for_parents/are-you-looking-resources-languages-other-english-and-french","x")</f>
        <v>x</v>
      </c>
      <c r="CT179" s="112"/>
      <c r="CU179" s="112" t="str">
        <f>HYPERLINK("http://www.profamilia.de/fileadmin/publikationen/Erwachsene/mehrsprachig/Bro_Verhuetung_frz_141002.pdf","x")</f>
        <v>x</v>
      </c>
      <c r="CV179" s="112"/>
      <c r="CW179" s="112"/>
      <c r="CX179" s="112"/>
      <c r="CY179" s="112" t="str">
        <f>HYPERLINK("http://www.caritas-schwarzwald-alb-donau.de/68854.html","x")</f>
        <v>x</v>
      </c>
      <c r="CZ179" s="112"/>
      <c r="DA179" s="112"/>
      <c r="DB179" s="112"/>
      <c r="DC179" s="115" t="str">
        <f>HYPERLINK("http://www.kindersicherheit.de/pdf/2013_BAG_Tomi_and_Mila_Deutsch_Francais.pdf","x")</f>
        <v>x</v>
      </c>
      <c r="DD179" s="112"/>
      <c r="DE179" s="112"/>
      <c r="DF179" s="112" t="str">
        <f t="shared" si="65"/>
        <v>x</v>
      </c>
      <c r="DG179" s="115" t="str">
        <f t="shared" si="66"/>
        <v>x</v>
      </c>
      <c r="DH179" s="112" t="str">
        <f t="shared" si="67"/>
        <v>x</v>
      </c>
      <c r="DI179" s="112" t="str">
        <f t="shared" si="68"/>
        <v>x</v>
      </c>
      <c r="DJ179" s="112"/>
      <c r="DK179" s="112"/>
      <c r="DL179" s="112"/>
      <c r="DM179" s="112"/>
      <c r="DN179" s="112"/>
      <c r="DO179" s="112"/>
      <c r="DP179" s="111"/>
      <c r="DQ179" s="111"/>
      <c r="DR179" s="112" t="str">
        <f>HYPERLINK("https://broschueren.nordrheinwestfalendirekt.de/broschuerenservice/msw/fr-das-schulsystem-in-nordrhein-westfalen-einfach-und-schnell-erklaert/1903","x")</f>
        <v>x</v>
      </c>
      <c r="DS179" s="112" t="str">
        <f>HYPERLINK("http://bildung.koeln.de/materialbibliothek/download.php?idx=6f75d59e17e7868506c0a48e6f7a44f2","x")</f>
        <v>x</v>
      </c>
      <c r="DT179" s="112" t="str">
        <f>HYPERLINK("http://bildung.koeln.de/materialbibliothek/download.php?idx=bde72be3f1bc4c51a4b0bcfe4a4187c4","x")</f>
        <v>x</v>
      </c>
      <c r="DU179" s="112"/>
      <c r="DV179" s="112" t="str">
        <f>HYPERLINK("https://www.bmbf.de/pub/KAUSA_Elternratgeber_deutsch_franzoesisch.pdf","x")</f>
        <v>x</v>
      </c>
      <c r="DW179" s="111"/>
      <c r="DX179" s="112" t="str">
        <f>HYPERLINK("http://www.wissenschaft.nrw.de/studium/informieren/informationen-fuer-fluechtlinge-die-in-nrw-studieren-moechten/","x")</f>
        <v>x</v>
      </c>
      <c r="DY179" s="111"/>
      <c r="DZ179" s="112" t="str">
        <f>HYPERLINK("http://www.bamf.de/SharedDocs/Anlagen/DE/Publikationen/Flyer/AnerkennungBerufsabschluss/anerkennung-berufsabschluss_fr.pdf?__blob=publicationFile","x")</f>
        <v>x</v>
      </c>
      <c r="EA179" s="112" t="str">
        <f>HYPERLINK("http://www.bamf.de/SharedDocs/Anlagen/DE/Publikationen/Flyer/AnerkennungBerufsabschluss/anerkennung-berufsabschluss_ausland_fr.pdf?__blob=publicationFile","x")</f>
        <v>x</v>
      </c>
      <c r="EB179" s="112" t="str">
        <f>HYPERLINK("http://www.bamf.de/SharedDocs/Anlagen/DE/Publikationen/Broschueren/willkommen-in-deutschland-info-blaue-karte-eu_fr.pdf?__blob=publicationFile","x")</f>
        <v>x</v>
      </c>
      <c r="EC179" s="112" t="str">
        <f>HYPERLINK("http://www.bamf.de/SharedDocs/Anlagen/DE/Publikationen/Flyer/Berufsbezsprachf-ESF-BAMF/berufsbezsprachf-esf-bamf_fr.pdf?__blob=publicationFile","x")</f>
        <v>x</v>
      </c>
      <c r="ED179" s="111"/>
      <c r="EE179" s="111"/>
      <c r="EF179" s="111"/>
      <c r="EG179" s="111"/>
      <c r="EH179" s="111"/>
      <c r="EI179" s="111"/>
      <c r="EJ179" s="112"/>
      <c r="EK179" s="112" t="str">
        <f>HYPERLINK("http://fluechtlingsrat-bw.de/files/Dateien/Dokumente/Materialbestellung/2014-12-flyer%20arbeitserlaubnis%20FRZ%20WEB.pdf","x")</f>
        <v>x</v>
      </c>
      <c r="EL179" s="111"/>
      <c r="EM179" s="112" t="str">
        <f>HYPERLINK("http://www.kvs-sachsen.de/fileadmin/img/Mitglieder/Asylbewerber/Allg-Informationen/Anlage_1_Franzoesisch_LEK.pdf","x")</f>
        <v>x</v>
      </c>
      <c r="EN179" s="112" t="str">
        <f>HYPERLINK("http://www.medizin-hilft-fluechtlingen.de/images/Dokumente/gSch/gSch_fra.pdf","x")</f>
        <v>x</v>
      </c>
      <c r="EO179" s="112"/>
      <c r="EP179" s="117" t="str">
        <f>HYPERLINK("http://www.medi-bild.de/pdf/anamnese/Welche_Sprache.pdf","x")</f>
        <v>x</v>
      </c>
      <c r="EQ179" s="117" t="str">
        <f>HYPERLINK("http://www.armut-gesundheit.de/fileadmin/redakteur/dokumente/Anamnesebogen%20-%20franz%C3%B6sischnew.pdf","x")</f>
        <v>x</v>
      </c>
      <c r="ER179" s="112" t="str">
        <f>HYPERLINK("http://www.kvs-sachsen.de/fileadmin/img/Mitglieder/Asylbewerber/Allg-Informationen/Anlagen_2-1_2-2_Franzoesisch_LEK.pdf","x")</f>
        <v>x</v>
      </c>
      <c r="ES179" s="111"/>
      <c r="ET179" s="111"/>
      <c r="EU179" s="112" t="str">
        <f>HYPERLINK("http://medizin-hilft-fluechtlingen.de/images/Dokumente/ein/ein_per.pdf","x")</f>
        <v>x</v>
      </c>
      <c r="EV179" s="112" t="str">
        <f>HYPERLINK("http://www.adler-apotheke-hh.de/fileadmin/user_upload/PDF-Dateien/Dosierzettel_mehrsprachig_AUF_0_.pdf","x")</f>
        <v>x</v>
      </c>
      <c r="EW179" s="112" t="str">
        <f t="shared" si="69"/>
        <v>x</v>
      </c>
      <c r="EX179" s="112" t="str">
        <f>HYPERLINK("http://www.rki.de/DE/Content/Infekt/IfSG/Belehrungsbogen/belehrungsbogen_eltern_franzoesisch.pdf?__blob=publicationFile","x")</f>
        <v>x</v>
      </c>
      <c r="EY179" s="111"/>
      <c r="EZ179" s="112" t="str">
        <f>HYPERLINK("https://www.mh-hannover.de/fileadmin/mhh/bilder/aktuelles_presse/pressestelle/bilder/Pilzvergif_franzoesisch.pdf","x")</f>
        <v>x</v>
      </c>
      <c r="FA179" s="112"/>
      <c r="FB179" s="112" t="str">
        <f>HYPERLINK("http://static.apotheken-umschau.de/media/gp/article_506373/bildwoerterbuch.pdf","x")</f>
        <v>x</v>
      </c>
      <c r="FC179" s="111"/>
      <c r="FD179" s="112" t="str">
        <f t="shared" si="70"/>
        <v>x</v>
      </c>
      <c r="FE179" s="112" t="str">
        <f t="shared" si="75"/>
        <v>x</v>
      </c>
      <c r="FF179" s="111"/>
      <c r="FG179" s="112" t="str">
        <f>HYPERLINK("http://www.tipdoc.de/grafik/asyl/Gesundheitsheft_Asyl.pdf","x")</f>
        <v>x</v>
      </c>
      <c r="FH179" s="111"/>
      <c r="FI179" s="111"/>
      <c r="FJ179" s="112"/>
      <c r="FK179" s="112" t="str">
        <f>HYPERLINK("http://www.rki.de/DE/Content/Infekt/Impfen/Materialien/Downloads-Impfkalender/Impfkalender_Franzoesisch.pdf?__blob=publicationFile","x")</f>
        <v>x</v>
      </c>
      <c r="FL179" s="112" t="str">
        <f>HYPERLINK("http://www.ethno-medizinisches-zentrum.de/images/PDF-Files/impfwegweiser_franzosisch_2013_online.pdf","x")</f>
        <v>x</v>
      </c>
      <c r="FM179" s="112"/>
      <c r="FN179" s="112" t="str">
        <f>HYPERLINK("http://www.rki.de/DE/Content/Infekt/Impfen/Materialien/Glossar-Downloads/glossar-de-franzoesisch.pdf?__blob=publicationFile","x")</f>
        <v>x</v>
      </c>
      <c r="FO179" s="112" t="str">
        <f>HYPERLINK("http://www.euro.who.int/__data/assets/pdf_file/0012/162300/VPD-Signs,-symptoms-and-complications-FRE.pdf","x")</f>
        <v>x</v>
      </c>
      <c r="FP179" s="112" t="str">
        <f>HYPERLINK("http://www.rki.de/DE/Content/Infekt/Impfen/Materialien/Downloads-MMR/MMR-Impfinfo-franzoesisch.pdf?__blob=publicationFile","x")</f>
        <v>x</v>
      </c>
      <c r="FQ179" s="112" t="str">
        <f>HYPERLINK("http://www.rki.de/DE/Content/InfAZ/P/Polio/Ausbruch_Syrien/Informationsblatt_Polio_Franzoesisch.pdf?__blob=publicationFile","x")</f>
        <v>x</v>
      </c>
      <c r="FR179" s="112" t="str">
        <f>HYPERLINK("http://www.rki.de/DE/Content/Infekt/Impfen/Materialien/Downloads_HepA/Aufklaerung_HAV-Impfung_Franzoesisch.pdf?__blob=publicationFile","x")</f>
        <v>x</v>
      </c>
      <c r="FS179" s="112" t="str">
        <f>HYPERLINK("http://www.rki.de/DE/Content/Infekt/Impfen/Materialien/Downloads_Pneumokokken/Aufklaerung_Pneumo-Impfung_Franzoesisch.pdf?__blob=publicationFile","x")</f>
        <v>x</v>
      </c>
      <c r="FT179" s="112" t="str">
        <f>HYPERLINK("http://www.rki.de/DE/Content/Infekt/Impfen/Materialien/Downloads-DTaPIPVHibHepB/DTaPIPVHibHepB-franzoesisch.pdf?__blob=publicationFile","x")</f>
        <v>x</v>
      </c>
      <c r="FU179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79" s="112" t="str">
        <f>HYPERLINK("http://www.rki.de/DE/Content/Infekt/Impfen/Materialien/Downloads-Tdap-IPV/Tdap-IPV-franzoesisch.pdf?__blob=publicationFile","x")</f>
        <v>x</v>
      </c>
      <c r="FW179" s="112" t="str">
        <f>HYPERLINK("http://www.rki.de/DE/Content/Infekt/Impfen/Materialien/Downloads-Influenza_nasal/Influenza_nasal-franzoesisch.pdf?__blob=publicationFile","x")</f>
        <v>x</v>
      </c>
      <c r="FX179" s="111"/>
      <c r="FY179" s="112"/>
      <c r="FZ179" s="112"/>
      <c r="GA179" s="111"/>
      <c r="GB179" s="111"/>
      <c r="GC179" s="111"/>
      <c r="GD179" s="112" t="str">
        <f>HYPERLINK("http://www.ethno-medizinisches-zentrum.de/images/PDF-Files/lf_diabete_franzosisch.pdf","x")</f>
        <v>x</v>
      </c>
      <c r="GE179" s="111"/>
      <c r="GF179" s="111"/>
      <c r="GG179" s="111"/>
      <c r="GH179" s="112"/>
      <c r="GI179" s="111"/>
      <c r="GJ179" s="111"/>
      <c r="GK179" s="112" t="str">
        <f>HYPERLINK("http://www.tipdoc.de/bus/pdf/hiv/HIV%20SRF_Webseite.pdf","x")</f>
        <v>x</v>
      </c>
      <c r="GL179" s="111"/>
      <c r="GM179" s="112" t="str">
        <f>HYPERLINK("http://www.rki.de/DE/Content/Infekt/Impfen/Materialien/Downloads-Influenza/Influenza-franzoesisch.pdf?__blob=publicationFile","x")</f>
        <v>x</v>
      </c>
      <c r="GN179" s="111"/>
      <c r="GO179" s="111"/>
      <c r="GP179" s="112" t="str">
        <f>HYPERLINK("http://www.tipdoc.de/grafik/pdf/kopflaeuse/Kopflaeuse_FRANZ.pdf","x")</f>
        <v>x</v>
      </c>
      <c r="GQ179" s="112"/>
      <c r="GR179" s="112" t="str">
        <f>HYPERLINK("http://www.tipdoc.com/bus/pdf/kraetze/tipdoc_Scabies_FRANZ.pdf","x")</f>
        <v>x</v>
      </c>
      <c r="GS179" s="112" t="str">
        <f>HYPERLINK("http://www.tipdoc.com/bus/pdf/MagenDarmHaende/MagenDarmHaende_FRANZ.pdf","x")</f>
        <v>x</v>
      </c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2" t="str">
        <f t="shared" si="71"/>
        <v>x</v>
      </c>
      <c r="HD179" s="112" t="str">
        <f>HYPERLINK("https://www.zahnaerzte-wl.de/images/_PDF-suche/KZV_ZÄK/ENDSTAND_Ankreuzbogen_Ich_verstehe.pdf","x")</f>
        <v>x</v>
      </c>
      <c r="HE179" s="112" t="str">
        <f>HYPERLINK("https://www.zahnaerzte-wl.de/images/_PDF-suche/KZV_ZÄK/Anschreiben_Patienten_franzoesisch.pdf","x")</f>
        <v>x</v>
      </c>
      <c r="HF179" s="112" t="str">
        <f>HYPERLINK("https://www.zahnaerzte-wl.de/images/_PDF-suche/KZV_ZÄK/Fragebogen_franzoesisch.pdf","x")</f>
        <v>x</v>
      </c>
      <c r="HG179" s="112" t="str">
        <f>HYPERLINK("https://www.zahnaerzte-wl.de/images/_PDF-suche/KZV_ZÄK/Patientenerhebungsbogen_franzoesisch.pdf","x")</f>
        <v>x</v>
      </c>
      <c r="HH179" s="112"/>
      <c r="HI179" s="112" t="str">
        <f>HYPERLINK("http://www.bvkm.de/fileadmin/web_data/Behinderung_und_Migration_franzoesisch_2014.pdf","x")</f>
        <v>x</v>
      </c>
      <c r="HJ179" s="112"/>
      <c r="HK179" s="112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2" t="str">
        <f t="shared" si="72"/>
        <v>x</v>
      </c>
      <c r="HZ179" s="112" t="str">
        <f t="shared" si="73"/>
        <v>x</v>
      </c>
      <c r="IA179" s="112" t="str">
        <f>HYPERLINK("http://peacefulheart.se/wp-content/uploads/2015/01/Tapping_French_Module-20150102-2.pdf","x")</f>
        <v>x</v>
      </c>
      <c r="IB179" s="111"/>
      <c r="IC179" s="111"/>
      <c r="ID179" s="111"/>
      <c r="IE179" s="111"/>
      <c r="IF179" s="111"/>
      <c r="IG179" s="111"/>
      <c r="IH179" s="111"/>
      <c r="II179" s="112" t="str">
        <f>HYPERLINK("http://www.caritas.de/hilfeundberatung/onlineberatung/suchtberatung/haeufiggestelltefragensucht/haeufiggestelltefragen-sucht","x")</f>
        <v>x</v>
      </c>
      <c r="IJ179" s="111"/>
      <c r="IK179" s="112" t="str">
        <f>HYPERLINK("http://www.bamf.de/SharedDocs/Anlagen/DE/Publikationen/Flyer/Lassen-Sie-Sich-Beraten/lassen-sie-sich-beraten_fr.pdf?__blob=publicationFile","x")</f>
        <v>x</v>
      </c>
      <c r="IL179" s="112" t="str">
        <f>HYPERLINK("http://www.bamf.de/SharedDocs/Anlagen/DE/Publikationen/Flyer/flyer-erstorientierung-asylsuchende_franzoesisch.pdf?__blob=publicationFile","x")</f>
        <v>x</v>
      </c>
      <c r="IM179" s="112" t="str">
        <f>HYPERLINK("http://www.frnrw.de/index.php/inhaltliche-themen/arbeitshilfen/item/3710-erstinfos-fuer-asylsuchende","x")</f>
        <v>x</v>
      </c>
      <c r="IN179" s="112" t="str">
        <f>HYPERLINK("https://www.bamf.de/SharedDocs/Anlagen/DE/Publikationen/Broschueren/willkommen-in-deutschland_fr.pdf?__blob=publicationFile","x")</f>
        <v>x</v>
      </c>
      <c r="IO179" s="112"/>
      <c r="IP179" s="112"/>
      <c r="IQ179" s="112" t="str">
        <f>HYPERLINK("http://www.bamf.de/SharedDocs/Anlagen/DE/Publikationen/Flyer/Lernen-Sie-Deutsch/lernen-sie-deutsch_fr.pdf?__blob=publicationFile","x")</f>
        <v>x</v>
      </c>
      <c r="IR179" s="112"/>
      <c r="IS179" s="111"/>
      <c r="IT179" s="111"/>
      <c r="IU179" s="111"/>
      <c r="IV179" s="112" t="str">
        <f>HYPERLINK("http://www.asyl.net/fileadmin/user_upload/infoblatt_anhoerung/Frz_final.pdf","x")</f>
        <v>x</v>
      </c>
      <c r="IW179" s="112"/>
      <c r="IX179" s="112" t="str">
        <f>HYPERLINK("http://www.berlin.de/labo/willkommen-in-berlin/service/downloads/artikel.273193.php","x")</f>
        <v>x</v>
      </c>
      <c r="IY179" s="112" t="str">
        <f>HYPERLINK("http://www.bamf.de/SharedDocs/Anlagen/DE/Publikationen/Broschueren/broschuere-eat-a4-fr-franzoesisch.pdf?__blob=publicationFile","x")</f>
        <v>x</v>
      </c>
      <c r="IZ179" s="111"/>
      <c r="JA179" s="112" t="str">
        <f>HYPERLINK("http://fluechtlingsrat-bw.de/informationen-fuer-fluechtlinge.html","x")</f>
        <v>x</v>
      </c>
      <c r="JB179" s="111"/>
      <c r="JC179" s="112" t="str">
        <f>HYPERLINK("http://www.bamf.de/SharedDocs/Anlagen/DE/Publikationen/Flyer/20150223_ura2_fra.pdf?__blob=publicationFile","x")</f>
        <v>x</v>
      </c>
      <c r="JD179" s="111"/>
      <c r="JE179" s="112"/>
      <c r="JF179" s="112"/>
      <c r="JG179" s="112"/>
      <c r="JH179" s="112"/>
      <c r="JI179" s="111"/>
      <c r="JJ179" s="112" t="str">
        <f>HYPERLINK("http://www.kub-berlin.org/formularprojekt/franzoesisch-antraege-und-anlagen-uebersetzungshilfen/","x")</f>
        <v>x</v>
      </c>
      <c r="JK179" s="112" t="str">
        <f>HYPERLINK("https://www.arbeitsagentur.de/web/wcm/idc/groups/public/documents/webdatei/mdaw/mjg1/~edisp/l6019022dstbai788667.pdf?_ba.sid=L6019022DSTBAI784626","x")</f>
        <v>x</v>
      </c>
      <c r="JL179" s="112" t="str">
        <f>HYPERLINK("http://www.kub-berlin.org/formularprojekt/franzoesisch-antraege-und-anlagen-uebersetzungshilfen/","x")</f>
        <v>x</v>
      </c>
      <c r="JM179" s="112" t="str">
        <f>HYPERLINK("https://www.arbeitsagentur.de/web/content/DE/Formulare/Detail/index.htm?dfContentId=L6019022DSTBAI485740","x")</f>
        <v>x</v>
      </c>
      <c r="JN179" s="112"/>
      <c r="JO179" s="112"/>
      <c r="JP179" s="112"/>
      <c r="JQ179" s="112"/>
      <c r="JR179" s="112" t="str">
        <f>HYPERLINK("http://www.ibla-germany.de/merkblaetter.php","x")</f>
        <v>x</v>
      </c>
      <c r="JS179" s="112"/>
      <c r="JT179" s="112" t="str">
        <f>HYPERLINK("http://www.b-umf.de/images/willkommen/willkommensbroschurefranzoesisch-web.pdf","x")</f>
        <v>x</v>
      </c>
      <c r="JU179" s="111"/>
      <c r="JV179" s="111"/>
      <c r="JW179" s="112"/>
      <c r="JX179" s="112"/>
      <c r="JY179" s="112"/>
      <c r="JZ179" s="112"/>
      <c r="KA179" s="112"/>
      <c r="KB179" s="112" t="str">
        <f>HYPERLINK("http://www.refugeeguide.de/dl/RefugeeGuide_fr_925.pdf","x")</f>
        <v>x</v>
      </c>
      <c r="KC179" s="111"/>
      <c r="KD179" s="112" t="str">
        <f>HYPERLINK("http://www.wedel.de/fileadmin/user_upload/media/pdf/Rathaus_und_Politik/20160118_PM_Broschuere.pdf","x")</f>
        <v>x</v>
      </c>
      <c r="KE179" s="112" t="str">
        <f>HYPERLINK("http://www.frauenrechte.de/online/images/downloads/allgemein/TDF_Flyer_Women_Men.pdf","x")</f>
        <v>x</v>
      </c>
      <c r="KF179" s="112" t="str">
        <f>HYPERLINK("http://sab.landtag.sachsen.de/dokumente/landtagskurier/Grundwerte-A5-international_web_08012016.pdf","x")</f>
        <v>x</v>
      </c>
      <c r="KG179" s="112"/>
      <c r="KH179" s="112"/>
      <c r="KI179" s="112"/>
      <c r="KJ179" s="112"/>
      <c r="KK179" s="112"/>
      <c r="KL179" s="112"/>
      <c r="KM179" s="112"/>
      <c r="KN179" s="112"/>
      <c r="KO179" s="112"/>
      <c r="KP179" s="112"/>
      <c r="KQ179" s="112"/>
      <c r="KR179" s="112"/>
      <c r="KS179" s="112"/>
      <c r="KT179" s="112"/>
      <c r="KU179" s="112"/>
      <c r="KV179" s="112"/>
      <c r="KW179" s="112"/>
      <c r="KX179" s="112"/>
      <c r="KY179" s="112"/>
      <c r="KZ179" s="112"/>
      <c r="LA179" s="112"/>
      <c r="LB179" s="112"/>
      <c r="LC179" s="111"/>
      <c r="LD179" s="112"/>
      <c r="LE179" s="112"/>
      <c r="LF179" s="112"/>
      <c r="LG179" s="112"/>
      <c r="LH179" s="112"/>
      <c r="LI179" s="112"/>
      <c r="LJ179" s="112"/>
      <c r="LK179" s="112"/>
      <c r="LL179" s="112"/>
      <c r="LM179" s="111"/>
      <c r="LN179" s="111"/>
      <c r="LO179" s="111"/>
      <c r="LP179" s="111"/>
      <c r="LQ179" s="112"/>
      <c r="LR179" s="111"/>
      <c r="LS179" s="112"/>
      <c r="LT179" s="112"/>
      <c r="LU179" s="111"/>
      <c r="LV179" s="111"/>
      <c r="LW179" s="111"/>
      <c r="LX179" s="111"/>
      <c r="LY179" s="111"/>
      <c r="LZ179" s="111"/>
      <c r="MA179" s="111"/>
      <c r="MB179" s="112"/>
      <c r="MC179" s="111"/>
      <c r="MD179" s="112" t="str">
        <f>HYPERLINK("http://www.rki.de/DE/Content/Infekt/IfSG/Belehrungsbogen/belehrungsbogen_lebensmittel_franzoesisch.pdf?__blob=publicationFile","x")</f>
        <v>x</v>
      </c>
      <c r="ME179" s="111"/>
      <c r="MF179" s="112" t="str">
        <f>HYPERLINK("http://www.gdv.de/wp-content/uploads/2016/01/Information_Brandschutz_Fluechtlingsheim_-Sicherheit_mehrsprachig.pdf","x")</f>
        <v>x</v>
      </c>
      <c r="MG179" s="112" t="str">
        <f>HYPERLINK("http://www.gdv.de/wp-content/uploads/2016/01/Information_Verhalten-im-Brandfall_mehrsprachig.pdf","x")</f>
        <v>x</v>
      </c>
      <c r="MH179" s="112" t="str">
        <f>HYPERLINK("http://www.aha-region.de/fileadmin/Download/pdf/aha_Plakat_Muelltrennung_fr.pdf","x")</f>
        <v>x</v>
      </c>
      <c r="MI179" s="112" t="str">
        <f>HYPERLINK("http://www.kindersicherheit.de/pdf/2012_poster_achtunggiftig_8sprachig.pdf","x")</f>
        <v>x</v>
      </c>
    </row>
    <row r="180" spans="1:347" x14ac:dyDescent="0.25">
      <c r="A180" s="102" t="s">
        <v>76</v>
      </c>
      <c r="B180" s="127" t="s">
        <v>0</v>
      </c>
      <c r="C180" s="102"/>
      <c r="D180" s="102"/>
      <c r="E180" s="102"/>
      <c r="F180" s="102"/>
      <c r="G180" s="102"/>
      <c r="H180" s="102"/>
      <c r="I180" s="102"/>
      <c r="J180" s="102"/>
      <c r="K180" s="103"/>
      <c r="L180" s="111"/>
      <c r="M180" s="111"/>
      <c r="N180" s="111"/>
      <c r="O180" s="111"/>
      <c r="P180" s="112" t="str">
        <f>HYPERLINK("https://willkommensteamelmshorn.files.wordpress.com/2015/11/sortieranleitung_pinneberg_2015_albanisch.pdf","x")</f>
        <v>x</v>
      </c>
      <c r="Q180" s="111"/>
      <c r="R180" s="111"/>
      <c r="S180" s="111"/>
      <c r="T180" s="111"/>
      <c r="U180" s="111"/>
      <c r="V180" s="111"/>
      <c r="W180" s="112"/>
      <c r="X180" s="111"/>
      <c r="Y180" s="112"/>
      <c r="Z180" s="112"/>
      <c r="AA180" s="112"/>
      <c r="AB180" s="112"/>
      <c r="AC180" s="112"/>
      <c r="AD180" s="112"/>
      <c r="AE180" s="112"/>
      <c r="AF180" s="112"/>
      <c r="AG180" s="112" t="str">
        <f>HYPERLINK("http://asyl-in-moenchengladbach.de/wp-content/uploads/2015/11/100711-Flyer_alban.pdf","x")</f>
        <v>x</v>
      </c>
      <c r="AH180" s="111"/>
      <c r="AI180" s="111"/>
      <c r="AJ180" s="111"/>
      <c r="AK180" s="111"/>
      <c r="AL180" s="111"/>
      <c r="AM180" s="111"/>
      <c r="AN180" s="111"/>
      <c r="AO180" s="112"/>
      <c r="AP180" s="112"/>
      <c r="AQ180" s="112"/>
      <c r="AR180" s="112"/>
      <c r="AS180" s="112"/>
      <c r="AT180" s="112"/>
      <c r="AU180" s="112"/>
      <c r="AV180" s="113"/>
      <c r="AW180" s="114" t="str">
        <f t="shared" si="55"/>
        <v>x</v>
      </c>
      <c r="AX180" s="114" t="str">
        <f t="shared" si="56"/>
        <v>x</v>
      </c>
      <c r="AY180" s="111"/>
      <c r="AZ180" s="111"/>
      <c r="BA180" s="112" t="str">
        <f t="shared" si="57"/>
        <v>x</v>
      </c>
      <c r="BB180" s="112" t="str">
        <f t="shared" si="58"/>
        <v>x</v>
      </c>
      <c r="BC180" s="111"/>
      <c r="BD180" s="111"/>
      <c r="BE180" s="111"/>
      <c r="BF180" s="111"/>
      <c r="BG180" s="111"/>
      <c r="BH180" s="111"/>
      <c r="BI180" s="112" t="str">
        <f>HYPERLINK("https://www.advanced-online.eu/downloads/RefugeePhrasebookCards_German-Albanian.pdf","x")</f>
        <v>x</v>
      </c>
      <c r="BJ180" s="111"/>
      <c r="BK180" s="111"/>
      <c r="BL180" s="112" t="str">
        <f>HYPERLINK("http://www.bundessprachenamt.de/deutsch/wir_ueber_uns/nachrichten/2015/20151103/Verständigungshilfe_Albanisch_26_11_2015.pdf","x")</f>
        <v>x</v>
      </c>
      <c r="BM180" s="112" t="str">
        <f>HYPERLINK("http://www.frnrw.de/images/Aus_den_Initiativen/Ehrenamtler/2015/Dictionary_x10_print-2.pdf","x")</f>
        <v>x</v>
      </c>
      <c r="BN180" s="111"/>
      <c r="BO180" s="111"/>
      <c r="BP180" s="111"/>
      <c r="BQ180" s="111"/>
      <c r="BR180" s="111"/>
      <c r="BS180" s="112" t="str">
        <f t="shared" si="59"/>
        <v>x</v>
      </c>
      <c r="BT180" s="112"/>
      <c r="BU180" s="111"/>
      <c r="BV180" s="112" t="str">
        <f t="shared" si="60"/>
        <v>x</v>
      </c>
      <c r="BW180" s="112" t="str">
        <f>HYPERLINK("http://www.welcomegrooves.de/wp-content/uploads/2015/10/welcomegrooves_DE-ALBANISCH.pdf","x")</f>
        <v>x</v>
      </c>
      <c r="BX180" s="112"/>
      <c r="BY180" s="112"/>
      <c r="BZ180" s="112" t="str">
        <f>HYPERLINK("http://fluechtlingshilfe-nettetal.de/ausbildung/video-sprachkurse-deutsch-fuer-fluechtlinge/video-sprachkurs-albanisch-deutsch/","x")</f>
        <v>x</v>
      </c>
      <c r="CA180" s="112" t="str">
        <f t="shared" si="61"/>
        <v>x</v>
      </c>
      <c r="CB180" s="112" t="str">
        <f t="shared" si="62"/>
        <v>x</v>
      </c>
      <c r="CC180" s="112" t="str">
        <f t="shared" si="63"/>
        <v>x</v>
      </c>
      <c r="CD180" s="112"/>
      <c r="CE180" s="112"/>
      <c r="CF180" s="111"/>
      <c r="CG180" s="111"/>
      <c r="CH180" s="111"/>
      <c r="CI180" s="111"/>
      <c r="CJ180" s="111"/>
      <c r="CK180" s="112" t="str">
        <f t="shared" si="64"/>
        <v>x</v>
      </c>
      <c r="CL180" s="112"/>
      <c r="CM180" s="112"/>
      <c r="CN180" s="112"/>
      <c r="CO180" s="112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2"/>
      <c r="DA180" s="112" t="str">
        <f>HYPERLINK("http://sichere-orte-schaffen.de/wp-content/uploads/Minibrosch_Fluechtlinge_multilang.pdf","x")</f>
        <v>x</v>
      </c>
      <c r="DB180" s="112"/>
      <c r="DC180" s="115"/>
      <c r="DD180" s="112"/>
      <c r="DE180" s="112"/>
      <c r="DF180" s="112" t="str">
        <f t="shared" si="65"/>
        <v>x</v>
      </c>
      <c r="DG180" s="115" t="str">
        <f t="shared" si="66"/>
        <v>x</v>
      </c>
      <c r="DH180" s="112" t="str">
        <f t="shared" si="67"/>
        <v>x</v>
      </c>
      <c r="DI180" s="112" t="str">
        <f t="shared" si="68"/>
        <v>x</v>
      </c>
      <c r="DJ180" s="112" t="str">
        <f>HYPERLINK("http://www.bibliomedia.ch/de/angebote/dokumente/Glossar_albanisch.pdf","x")</f>
        <v>x</v>
      </c>
      <c r="DK180" s="112"/>
      <c r="DL180" s="112"/>
      <c r="DM180" s="112"/>
      <c r="DN180" s="112"/>
      <c r="DO180" s="112"/>
      <c r="DP180" s="111"/>
      <c r="DQ180" s="111"/>
      <c r="DR180" s="111"/>
      <c r="DS180" s="112" t="str">
        <f>HYPERLINK("http://bildung.koeln.de/materialbibliothek/download.php?idx=00d90bf2e613ea68bb3a6eb10941e749","x")</f>
        <v>x</v>
      </c>
      <c r="DT180" s="112" t="str">
        <f>HYPERLINK("http://bildung.koeln.de/materialbibliothek/download.php?idx=7fe9bcc33373e31f48b8dc613c66ad26","x")</f>
        <v>x</v>
      </c>
      <c r="DU180" s="112"/>
      <c r="DV180" s="111"/>
      <c r="DW180" s="111"/>
      <c r="DX180" s="111"/>
      <c r="DY180" s="111"/>
      <c r="DZ180" s="111"/>
      <c r="EA180" s="111"/>
      <c r="EB180" s="112"/>
      <c r="EC180" s="111"/>
      <c r="ED180" s="111"/>
      <c r="EE180" s="111"/>
      <c r="EF180" s="111"/>
      <c r="EG180" s="111"/>
      <c r="EH180" s="111"/>
      <c r="EI180" s="111"/>
      <c r="EJ180" s="112"/>
      <c r="EK180" s="112"/>
      <c r="EL180" s="111"/>
      <c r="EM180" s="112" t="str">
        <f>HYPERLINK("http://www.kvs-sachsen.de/fileadmin/img/Mitglieder/Asylbewerber/Allg-Informationen/Anlage_1_Albanisch_LEK.pdf","x")</f>
        <v>x</v>
      </c>
      <c r="EN180" s="111"/>
      <c r="EO180" s="111"/>
      <c r="EP180" s="117" t="str">
        <f>HYPERLINK("http://www.medi-bild.de/pdf/anamnese/Welche_Sprache.pdf","x")</f>
        <v>x</v>
      </c>
      <c r="EQ180" s="118"/>
      <c r="ER180" s="112" t="str">
        <f>HYPERLINK("http://www.kvs-sachsen.de/fileadmin/img/Mitglieder/Asylbewerber/Allg-Informationen/Anlagen_2-1_2-2_Albanisch_LEK.pdf","x")</f>
        <v>x</v>
      </c>
      <c r="ES180" s="112"/>
      <c r="ET180" s="112"/>
      <c r="EU180" s="111"/>
      <c r="EV180" s="112" t="str">
        <f>HYPERLINK("http://www.adler-apotheke-hh.de/fileadmin/user_upload/PDF-Dateien/Dosierzettel_mehrsprachig_AUF_0_.pdf","x")</f>
        <v>x</v>
      </c>
      <c r="EW180" s="112" t="str">
        <f t="shared" si="69"/>
        <v>x</v>
      </c>
      <c r="EX180" s="111"/>
      <c r="EY180" s="111"/>
      <c r="EZ180" s="111"/>
      <c r="FA180" s="111"/>
      <c r="FB180" s="111"/>
      <c r="FC180" s="111"/>
      <c r="FD180" s="112" t="str">
        <f t="shared" si="70"/>
        <v>x</v>
      </c>
      <c r="FE180" s="112" t="str">
        <f t="shared" si="75"/>
        <v>x</v>
      </c>
      <c r="FF180" s="112" t="str">
        <f>HYPERLINK("http://www.fuhlenhagen.com/pdf_dateien/uebertzungshilfe_aerzte_mehrsprachig.pdf","x")</f>
        <v>x</v>
      </c>
      <c r="FG180" s="112" t="str">
        <f>HYPERLINK("http://www.tipdoc.de/grafik/asyl/Gesundheitsheft_Asyl.pdf","x")</f>
        <v>x</v>
      </c>
      <c r="FH180" s="111"/>
      <c r="FI180" s="111"/>
      <c r="FJ180" s="112"/>
      <c r="FK180" s="112" t="str">
        <f>HYPERLINK("http://www.rki.de/DE/Content/Infekt/Impfen/Materialien/Downloads-Impfkalender/Impfkalender_Albanisch.pdf?__blob=publicationFile","x")</f>
        <v>x</v>
      </c>
      <c r="FL180" s="112" t="str">
        <f>HYPERLINK("http://www.ethno-medizinisches-zentrum.de/images/PDF-Files/impfwegweiser_albanisch_2013_online.pdf","x")</f>
        <v>x</v>
      </c>
      <c r="FM180" s="112"/>
      <c r="FN180" s="112" t="str">
        <f>HYPERLINK("http://www.rki.de/DE/Content/Infekt/Impfen/Materialien/Glossar-Downloads/glossar-de-albanisch.pdf?__blob=publicationFile","x")</f>
        <v>x</v>
      </c>
      <c r="FO180" s="112"/>
      <c r="FP180" s="112" t="str">
        <f>HYPERLINK("http://www.rki.de/DE/Content/Infekt/Impfen/Materialien/Downloads-MMR/MMR-Impfinfo-albanisch.pdf?__blob=publicationFile","x")</f>
        <v>x</v>
      </c>
      <c r="FQ180" s="111"/>
      <c r="FR180" s="112" t="str">
        <f>HYPERLINK("http://www.rki.de/DE/Content/Infekt/Impfen/Materialien/Downloads_HepA/Aufklaerung_HAV-Impfung_albanisch.pdf?__blob=publicationFile","x")</f>
        <v>x</v>
      </c>
      <c r="FS180" s="112" t="str">
        <f>HYPERLINK("http://www.rki.de/DE/Content/Infekt/Impfen/Materialien/Downloads_Pneumokokken/Aufklaerung_Pneumo-Impfung_Albanisch.pdf?__blob=publicationFile","x")</f>
        <v>x</v>
      </c>
      <c r="FT180" s="112" t="str">
        <f>HYPERLINK("http://www.rki.de/DE/Content/Infekt/Impfen/Materialien/Downloads-DTaPIPVHibHepB/DTaPIPVHibHepB_albanisch.pdf?__blob=publicationFile","x")</f>
        <v>x</v>
      </c>
      <c r="FU180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80" s="112" t="str">
        <f>HYPERLINK("http://www.rki.de/DE/Content/Infekt/Impfen/Materialien/Downloads-Tdap-IPV/Tdap-IPV-albanisch.pdf?__blob=publicationFile","x")</f>
        <v>x</v>
      </c>
      <c r="FW180" s="112" t="str">
        <f>HYPERLINK("http://www.rki.de/DE/Content/Infekt/Impfen/Materialien/Downloads-Influenza_nasal/Influenza_nasal-albanisch.pdf?__blob=publicationFile","x")</f>
        <v>x</v>
      </c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2" t="str">
        <f>HYPERLINK("http://www.rki.de/DE/Content/Infekt/Impfen/Materialien/Downloads-Influenza/Influenza-albanisch.pdf?__blob=publicationFile","x")</f>
        <v>x</v>
      </c>
      <c r="GN180" s="111"/>
      <c r="GO180" s="111"/>
      <c r="GP180" s="112" t="str">
        <f>HYPERLINK("http://www.tipdoc.de/grafik/pdf/kopflaeuse/Kopflaeuse_ALBAN.pdf","x")</f>
        <v>x</v>
      </c>
      <c r="GQ180" s="112"/>
      <c r="GR180" s="112" t="str">
        <f>HYPERLINK("http://www.tipdoc.com/bus/pdf/kraetze/tipdoc_Scabies_ALBAN.pdf","x")</f>
        <v>x</v>
      </c>
      <c r="GS180" s="112" t="str">
        <f>HYPERLINK("http://www.tipdoc.com/bus/pdf/MagenDarmHaende/MagenDarmHaende_ALBAN.pdf","x")</f>
        <v>x</v>
      </c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2" t="str">
        <f t="shared" si="71"/>
        <v>x</v>
      </c>
      <c r="HD180" s="112" t="str">
        <f>HYPERLINK("https://www.zahnaerzte-wl.de/images/_PDF-suche/KZV_ZÄK/ENDSTAND_Ankreuzbogen_Ich_verstehe.pdf","x")</f>
        <v>x</v>
      </c>
      <c r="HE180" s="112" t="str">
        <f>HYPERLINK("https://www.zahnaerzte-wl.de/images/_PDF-suche/KZV_ZÄK/Anschreiben_albanisch.pdf","x")</f>
        <v>x</v>
      </c>
      <c r="HF180" s="112" t="str">
        <f>HYPERLINK("https://www.zahnaerzte-wl.de/images/_PDF-suche/KZV_ZÄK/Fragebogen_albanisch.pdf","x")</f>
        <v>x</v>
      </c>
      <c r="HG180" s="112" t="str">
        <f>HYPERLINK("https://www.zahnaerzte-wl.de/images/_PDF-suche/KZV_ZÄK/Fragebogen_albanisch.pdf","x")</f>
        <v>x</v>
      </c>
      <c r="HH180" s="112"/>
      <c r="HI180" s="112"/>
      <c r="HJ180" s="112"/>
      <c r="HK180" s="112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2" t="str">
        <f t="shared" si="72"/>
        <v>x</v>
      </c>
      <c r="HZ180" s="112" t="str">
        <f t="shared" si="73"/>
        <v>x</v>
      </c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2"/>
      <c r="IL180" s="111"/>
      <c r="IM180" s="111"/>
      <c r="IN180" s="111"/>
      <c r="IO180" s="111"/>
      <c r="IP180" s="111"/>
      <c r="IQ180" s="112"/>
      <c r="IR180" s="112"/>
      <c r="IS180" s="111"/>
      <c r="IT180" s="111"/>
      <c r="IU180" s="111"/>
      <c r="IV180" s="112" t="str">
        <f>HYPERLINK("http://www.asyl.net/fileadmin/user_upload/infoblatt_anhoerung/Infoblatt_2015_alb_fin.pdf","x")</f>
        <v>x</v>
      </c>
      <c r="IW180" s="112"/>
      <c r="IX180" s="112"/>
      <c r="IY180" s="112" t="str">
        <f>HYPERLINK("http://www.bamf.de/SharedDocs/Anlagen/DE/Publikationen/Broschueren/broschuere-eat-a4-sq-albanisch.pdf?__blob=publicationFile","x")</f>
        <v>x</v>
      </c>
      <c r="IZ180" s="111"/>
      <c r="JA180" s="111"/>
      <c r="JB180" s="111"/>
      <c r="JC180" s="112" t="str">
        <f>HYPERLINK("http://www.bamf.de/SharedDocs/Anlagen/DE/Publikationen/Flyer/20140110_ura2-kinderprojekt_alb.pdf?__blob=publicationFile","x")</f>
        <v>x</v>
      </c>
      <c r="JD180" s="111"/>
      <c r="JE180" s="112"/>
      <c r="JF180" s="112"/>
      <c r="JG180" s="111"/>
      <c r="JH180" s="111"/>
      <c r="JI180" s="111"/>
      <c r="JJ180" s="112"/>
      <c r="JK180" s="112"/>
      <c r="JL180" s="112"/>
      <c r="JM180" s="112"/>
      <c r="JN180" s="112"/>
      <c r="JO180" s="112"/>
      <c r="JP180" s="112"/>
      <c r="JQ180" s="112"/>
      <c r="JR180" s="112" t="str">
        <f>HYPERLINK("http://www.ibla-germany.de/merkblaetter.php","x")</f>
        <v>x</v>
      </c>
      <c r="JS180" s="112"/>
      <c r="JT180" s="111"/>
      <c r="JU180" s="111"/>
      <c r="JV180" s="111"/>
      <c r="JW180" s="112"/>
      <c r="JX180" s="112"/>
      <c r="JY180" s="112"/>
      <c r="JZ180" s="112"/>
      <c r="KA180" s="112"/>
      <c r="KB180" s="112" t="str">
        <f>HYPERLINK("http://www.refugeeguide.de/dl/RefugeeGuide_al_929.pdf","x")</f>
        <v>x</v>
      </c>
      <c r="KC180" s="111"/>
      <c r="KD180" s="111"/>
      <c r="KE180" s="112" t="str">
        <f>HYPERLINK("http://www.frauenrechte.de/online/images/downloads/allgemein/TDF_Flyer_Women_Men.pdf","x")</f>
        <v>x</v>
      </c>
      <c r="KF180" s="111"/>
      <c r="KG180" s="112"/>
      <c r="KH180" s="112"/>
      <c r="KI180" s="112"/>
      <c r="KJ180" s="112"/>
      <c r="KK180" s="112"/>
      <c r="KL180" s="112"/>
      <c r="KM180" s="112"/>
      <c r="KN180" s="112"/>
      <c r="KO180" s="112"/>
      <c r="KP180" s="112"/>
      <c r="KQ180" s="112"/>
      <c r="KR180" s="112"/>
      <c r="KS180" s="112"/>
      <c r="KT180" s="112"/>
      <c r="KU180" s="112"/>
      <c r="KV180" s="112"/>
      <c r="KW180" s="112"/>
      <c r="KX180" s="112"/>
      <c r="KY180" s="112"/>
      <c r="KZ180" s="112"/>
      <c r="LA180" s="112"/>
      <c r="LB180" s="112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  <c r="MI180" s="111"/>
    </row>
    <row r="181" spans="1:347" x14ac:dyDescent="0.25">
      <c r="A181" s="102" t="s">
        <v>76</v>
      </c>
      <c r="B181" s="127" t="s">
        <v>30</v>
      </c>
      <c r="C181" s="102"/>
      <c r="D181" s="102"/>
      <c r="E181" s="102"/>
      <c r="F181" s="102"/>
      <c r="G181" s="102"/>
      <c r="H181" s="102"/>
      <c r="I181" s="102"/>
      <c r="J181" s="102"/>
      <c r="K181" s="103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2"/>
      <c r="AP181" s="112"/>
      <c r="AQ181" s="112"/>
      <c r="AR181" s="112"/>
      <c r="AS181" s="112"/>
      <c r="AT181" s="112"/>
      <c r="AU181" s="112"/>
      <c r="AV181" s="113"/>
      <c r="AW181" s="114" t="str">
        <f t="shared" si="55"/>
        <v>x</v>
      </c>
      <c r="AX181" s="114" t="str">
        <f t="shared" si="56"/>
        <v>x</v>
      </c>
      <c r="AY181" s="111"/>
      <c r="AZ181" s="111"/>
      <c r="BA181" s="112" t="str">
        <f t="shared" si="57"/>
        <v>x</v>
      </c>
      <c r="BB181" s="112" t="str">
        <f t="shared" si="58"/>
        <v>x</v>
      </c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2" t="str">
        <f t="shared" si="59"/>
        <v>x</v>
      </c>
      <c r="BT181" s="112"/>
      <c r="BU181" s="111"/>
      <c r="BV181" s="112" t="str">
        <f t="shared" si="60"/>
        <v>x</v>
      </c>
      <c r="BW181" s="112" t="str">
        <f>HYPERLINK("http://www.welcomegrooves.de/wp-content/uploads/2015/11/welcomegrooves_DE-BULGARISCH_V1.pdf","x")</f>
        <v>x</v>
      </c>
      <c r="BX181" s="112"/>
      <c r="BY181" s="112"/>
      <c r="BZ181" s="112"/>
      <c r="CA181" s="112" t="str">
        <f t="shared" si="61"/>
        <v>x</v>
      </c>
      <c r="CB181" s="112" t="str">
        <f t="shared" si="62"/>
        <v>x</v>
      </c>
      <c r="CC181" s="112" t="str">
        <f t="shared" si="63"/>
        <v>x</v>
      </c>
      <c r="CD181" s="112"/>
      <c r="CE181" s="112"/>
      <c r="CF181" s="111"/>
      <c r="CG181" s="111"/>
      <c r="CH181" s="111"/>
      <c r="CI181" s="111"/>
      <c r="CJ181" s="112" t="str">
        <f>HYPERLINK("https://www.hilfetelefon.de/fileadmin/hilfetelefon_de/Materialien/weitere_werbemittel/Klappflyer_Vorder-_und_Rueckseite_opt2.pdf","x")</f>
        <v>x</v>
      </c>
      <c r="CK181" s="112" t="str">
        <f t="shared" si="64"/>
        <v>x</v>
      </c>
      <c r="CL181" s="112"/>
      <c r="CM181" s="112"/>
      <c r="CN181" s="112"/>
      <c r="CO181" s="112"/>
      <c r="CP181" s="112" t="str">
        <f>HYPERLINK("http://www.schwanger-und-viele-fragen.de/bg/","x")</f>
        <v>x</v>
      </c>
      <c r="CQ181" s="112"/>
      <c r="CR181" s="112"/>
      <c r="CS181" s="112"/>
      <c r="CT181" s="112"/>
      <c r="CU181" s="112" t="str">
        <f>HYPERLINK("http://www.profamilia.de/fileadmin/publikationen/Erwachsene/mehrsprachig/Bro_Verhuetung_bul_141016.pdf","x")</f>
        <v>x</v>
      </c>
      <c r="CV181" s="112"/>
      <c r="CW181" s="112"/>
      <c r="CX181" s="112"/>
      <c r="CY181" s="112"/>
      <c r="CZ181" s="112"/>
      <c r="DA181" s="112"/>
      <c r="DB181" s="112"/>
      <c r="DC181" s="115"/>
      <c r="DD181" s="112"/>
      <c r="DE181" s="112"/>
      <c r="DF181" s="112" t="str">
        <f t="shared" si="65"/>
        <v>x</v>
      </c>
      <c r="DG181" s="115" t="str">
        <f t="shared" si="66"/>
        <v>x</v>
      </c>
      <c r="DH181" s="112" t="str">
        <f t="shared" si="67"/>
        <v>x</v>
      </c>
      <c r="DI181" s="112" t="str">
        <f t="shared" si="68"/>
        <v>x</v>
      </c>
      <c r="DJ181" s="112" t="str">
        <f>HYPERLINK("http://www.bibliomedia.ch/de/angebote/dokumente/Glossar_bulgarisch.pdf","x")</f>
        <v>x</v>
      </c>
      <c r="DK181" s="112"/>
      <c r="DL181" s="112"/>
      <c r="DM181" s="112"/>
      <c r="DN181" s="112"/>
      <c r="DO181" s="112"/>
      <c r="DP181" s="111"/>
      <c r="DQ181" s="112" t="str">
        <f>HYPERLINK("http://tipdoc.de/bus/grafik/kinder-tip/SCHULTIP_give_BulgRoSRB.pdf","x")</f>
        <v>x</v>
      </c>
      <c r="DR181" s="111"/>
      <c r="DS181" s="112" t="str">
        <f>HYPERLINK("http://bildung.koeln.de/materialbibliothek/download.php?idx=fa5ec5a51d71668e22b39aad7ce835b7","x")</f>
        <v>x</v>
      </c>
      <c r="DT181" s="112" t="str">
        <f>HYPERLINK("http://bildung.koeln.de/materialbibliothek/download.php?idx=b6156c96f0672121e7a1d19acc23ac96","x")</f>
        <v>x</v>
      </c>
      <c r="DU181" s="112"/>
      <c r="DV181" s="112" t="str">
        <f>HYPERLINK("https://www.bmbf.de/pub/Kausa_Elternratgeber_deutsch_bulgarisch.pdf","x")</f>
        <v>x</v>
      </c>
      <c r="DW181" s="111"/>
      <c r="DX181" s="111"/>
      <c r="DY181" s="111"/>
      <c r="DZ181" s="112" t="str">
        <f>HYPERLINK("http://www.bamf.de/SharedDocs/Anlagen/DE/Publikationen/Flyer/AnerkennungBerufsabschluss/anerkennung-berufsabschluss_bg.pdf?__blob=publicationFile","x")</f>
        <v>x</v>
      </c>
      <c r="EA181" s="112"/>
      <c r="EB181" s="112"/>
      <c r="EC181" s="112"/>
      <c r="ED181" s="111"/>
      <c r="EE181" s="111"/>
      <c r="EF181" s="111"/>
      <c r="EG181" s="111"/>
      <c r="EH181" s="111"/>
      <c r="EI181" s="111"/>
      <c r="EJ181" s="112"/>
      <c r="EK181" s="112"/>
      <c r="EL181" s="111"/>
      <c r="EM181" s="111"/>
      <c r="EN181" s="111"/>
      <c r="EO181" s="111"/>
      <c r="EP181" s="117" t="str">
        <f>HYPERLINK("http://www.medi-bild.de/pdf/anamnese/Welche_Sprache.pdf","x")</f>
        <v>x</v>
      </c>
      <c r="EQ181" s="117" t="str">
        <f>HYPERLINK("http://www.armut-gesundheit.de/fileadmin/redakteur/dokumente/Anamnesebogen%20-%20bulgarischnew.pdf","x")</f>
        <v>x</v>
      </c>
      <c r="ER181" s="111"/>
      <c r="ES181" s="111"/>
      <c r="ET181" s="111"/>
      <c r="EU181" s="111"/>
      <c r="EV181" s="111"/>
      <c r="EW181" s="112" t="str">
        <f t="shared" si="69"/>
        <v>x</v>
      </c>
      <c r="EX181" s="111"/>
      <c r="EY181" s="111"/>
      <c r="EZ181" s="111"/>
      <c r="FA181" s="111"/>
      <c r="FB181" s="111"/>
      <c r="FC181" s="111"/>
      <c r="FD181" s="112" t="str">
        <f t="shared" si="70"/>
        <v>x</v>
      </c>
      <c r="FE181" s="112" t="str">
        <f t="shared" si="75"/>
        <v>x</v>
      </c>
      <c r="FF181" s="111"/>
      <c r="FG181" s="111"/>
      <c r="FH181" s="111"/>
      <c r="FI181" s="111"/>
      <c r="FJ181" s="112"/>
      <c r="FK181" s="112" t="str">
        <f>HYPERLINK("http://www.rki.de/DE/Content/Infekt/Impfen/Materialien/Downloads-Impfkalender/Impfkalender_Bulgarisch.pdf?__blob=publicationFile","x")</f>
        <v>x</v>
      </c>
      <c r="FL181" s="112" t="str">
        <f>HYPERLINK("http://www.ethno-medizinisches-zentrum.de/images/PDF-Files/impfwegweiser_bulgarisch_2013_online.pdf","x")</f>
        <v>x</v>
      </c>
      <c r="FM181" s="112"/>
      <c r="FN181" s="111"/>
      <c r="FO181" s="111"/>
      <c r="FP181" s="112" t="str">
        <f>HYPERLINK("http://www.rki.de/DE/Content/Infekt/Impfen/Materialien/Downloads-MMR/MMR-Impfinfo-bulgarisch.pdf?__blob=publicationFile","x")</f>
        <v>x</v>
      </c>
      <c r="FQ181" s="111"/>
      <c r="FR181" s="112" t="str">
        <f>HYPERLINK("http://www.rki.de/DE/Content/Infekt/Impfen/Materialien/Downloads_HepA/Aufklaerung_HAV-Impfung_bulgarisch.pdf?__blob=publicationFile","x")</f>
        <v>x</v>
      </c>
      <c r="FS181" s="112" t="str">
        <f>HYPERLINK("http://www.rki.de/DE/Content/Infekt/Impfen/Materialien/Downloads_Pneumokokken/Aufklaerung_Pneumo-Impfung_Bulgarisch.pdf?__blob=publicationFile","x")</f>
        <v>x</v>
      </c>
      <c r="FT181" s="112" t="str">
        <f>HYPERLINK("http://www.rki.de/DE/Content/Infekt/Impfen/Materialien/Downloads-DTaPIPVHibHepB/DTaPIPVHibHepB_bulgarisch.pdf?__blob=publicationFile","x")</f>
        <v>x</v>
      </c>
      <c r="FU181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81" s="112" t="str">
        <f>HYPERLINK("http://www.rki.de/DE/Content/Infekt/Impfen/Materialien/Downloads-Tdap-IPV/Tdap-IPV-bulgarisch.pdf?__blob=publicationFile","x")</f>
        <v>x</v>
      </c>
      <c r="FW181" s="112" t="str">
        <f>HYPERLINK("http://www.rki.de/DE/Content/Infekt/Impfen/Materialien/Downloads-Influenza_nasal/Influenza_nasal-bulgarisch.pdf?__blob=publicationFile","x")</f>
        <v>x</v>
      </c>
      <c r="FX181" s="111"/>
      <c r="FY181" s="111"/>
      <c r="FZ181" s="111"/>
      <c r="GA181" s="111"/>
      <c r="GB181" s="111"/>
      <c r="GC181" s="111"/>
      <c r="GD181" s="112" t="str">
        <f>HYPERLINK("http://www.ethno-medizinisches-zentrum.de/images/PDF-Files/lf_diabete_bulgarish.pdf","x")</f>
        <v>x</v>
      </c>
      <c r="GE181" s="111"/>
      <c r="GF181" s="111"/>
      <c r="GG181" s="111"/>
      <c r="GH181" s="111"/>
      <c r="GI181" s="111"/>
      <c r="GJ181" s="111"/>
      <c r="GK181" s="111"/>
      <c r="GL181" s="111"/>
      <c r="GM181" s="112" t="str">
        <f>HYPERLINK("http://www.rki.de/DE/Content/Infekt/Impfen/Materialien/Downloads-Influenza/Influenza-bulgarisch.pdf?__blob=publicationFile","x")</f>
        <v>x</v>
      </c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2" t="str">
        <f t="shared" si="71"/>
        <v>x</v>
      </c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2" t="str">
        <f t="shared" si="72"/>
        <v>x</v>
      </c>
      <c r="HZ181" s="112" t="str">
        <f t="shared" si="73"/>
        <v>x</v>
      </c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2"/>
      <c r="IL181" s="111"/>
      <c r="IM181" s="111"/>
      <c r="IN181" s="112" t="str">
        <f>HYPERLINK("https://www.bamf.de/SharedDocs/Anlagen/DE/Publikationen/Broschueren/willkommen-in-deutschland_bg.pdf?__blob=publicationFile","x")</f>
        <v>x</v>
      </c>
      <c r="IO181" s="112"/>
      <c r="IP181" s="111"/>
      <c r="IQ181" s="112" t="str">
        <f>HYPERLINK("http://www.bamf.de/SharedDocs/Anlagen/DE/Publikationen/Flyer/Lernen-Sie-Deutsch/lernen-sie-deutsch_bg.pdf?__blob=publicationFile","x")</f>
        <v>x</v>
      </c>
      <c r="IR181" s="112"/>
      <c r="IS181" s="111"/>
      <c r="IT181" s="111"/>
      <c r="IU181" s="111"/>
      <c r="IV181" s="112"/>
      <c r="IW181" s="112"/>
      <c r="IX181" s="112"/>
      <c r="IY181" s="112"/>
      <c r="IZ181" s="111"/>
      <c r="JA181" s="111"/>
      <c r="JB181" s="111"/>
      <c r="JC181" s="112"/>
      <c r="JD181" s="111"/>
      <c r="JE181" s="112"/>
      <c r="JF181" s="112"/>
      <c r="JG181" s="112"/>
      <c r="JH181" s="112"/>
      <c r="JI181" s="111"/>
      <c r="JJ181" s="112"/>
      <c r="JK181" s="112"/>
      <c r="JL181" s="112"/>
      <c r="JM181" s="112" t="str">
        <f>HYPERLINK("https://www.arbeitsagentur.de/web/content/DE/Formulare/Detail/index.htm?dfContentId=L6019022DSTBAI485740","x")</f>
        <v>x</v>
      </c>
      <c r="JN181" s="112"/>
      <c r="JO181" s="112"/>
      <c r="JP181" s="112"/>
      <c r="JQ181" s="112"/>
      <c r="JR181" s="112" t="str">
        <f>HYPERLINK("http://www.ibla-germany.de/merkblaetter.php","x")</f>
        <v>x</v>
      </c>
      <c r="JS181" s="112"/>
      <c r="JT181" s="111"/>
      <c r="JU181" s="111"/>
      <c r="JV181" s="111"/>
      <c r="JW181" s="112"/>
      <c r="JX181" s="112"/>
      <c r="JY181" s="111"/>
      <c r="JZ181" s="111"/>
      <c r="KA181" s="111"/>
      <c r="KB181" s="111"/>
      <c r="KC181" s="111"/>
      <c r="KD181" s="111"/>
      <c r="KE181" s="111"/>
      <c r="KF181" s="111"/>
      <c r="KG181" s="111"/>
      <c r="KH181" s="111"/>
      <c r="KI181" s="111"/>
      <c r="KJ181" s="111"/>
      <c r="KK181" s="111"/>
      <c r="KL181" s="111"/>
      <c r="KM181" s="111"/>
      <c r="KN181" s="111"/>
      <c r="KO181" s="111"/>
      <c r="KP181" s="111"/>
      <c r="KQ181" s="111"/>
      <c r="KR181" s="111"/>
      <c r="KS181" s="111"/>
      <c r="KT181" s="111"/>
      <c r="KU181" s="111"/>
      <c r="KV181" s="111"/>
      <c r="KW181" s="111"/>
      <c r="KX181" s="111"/>
      <c r="KY181" s="111"/>
      <c r="KZ181" s="111"/>
      <c r="LA181" s="111"/>
      <c r="LB181" s="111"/>
      <c r="LC181" s="111"/>
      <c r="LD181" s="111"/>
      <c r="LE181" s="111"/>
      <c r="LF181" s="111"/>
      <c r="LG181" s="111"/>
      <c r="LH181" s="111"/>
      <c r="LI181" s="111"/>
      <c r="LJ181" s="111"/>
      <c r="LK181" s="111"/>
      <c r="LL181" s="111"/>
      <c r="LM181" s="111"/>
      <c r="LN181" s="111"/>
      <c r="LO181" s="111"/>
      <c r="LP181" s="111"/>
      <c r="LQ181" s="111"/>
      <c r="LR181" s="111"/>
      <c r="LS181" s="111"/>
      <c r="LT181" s="111"/>
      <c r="LU181" s="111"/>
      <c r="LV181" s="111"/>
      <c r="LW181" s="111"/>
      <c r="LX181" s="111"/>
      <c r="LY181" s="111"/>
      <c r="LZ181" s="111"/>
      <c r="MA181" s="111"/>
      <c r="MB181" s="111"/>
      <c r="MC181" s="111"/>
      <c r="MD181" s="111"/>
      <c r="ME181" s="111"/>
      <c r="MF181" s="111"/>
      <c r="MG181" s="111"/>
      <c r="MH181" s="111"/>
      <c r="MI181" s="111"/>
    </row>
    <row r="182" spans="1:347" x14ac:dyDescent="0.25">
      <c r="A182" s="102" t="s">
        <v>76</v>
      </c>
      <c r="B182" s="127" t="s">
        <v>32</v>
      </c>
      <c r="C182" s="102"/>
      <c r="D182" s="102"/>
      <c r="E182" s="102"/>
      <c r="F182" s="102"/>
      <c r="G182" s="102"/>
      <c r="H182" s="102"/>
      <c r="I182" s="102"/>
      <c r="J182" s="102"/>
      <c r="K182" s="103"/>
      <c r="L182" s="111"/>
      <c r="M182" s="111"/>
      <c r="N182" s="112" t="str">
        <f>HYPERLINK("http://www.ag-fluechtlingshilfe-wetterau.de/uploads/infos/170.pdf","x")</f>
        <v>x</v>
      </c>
      <c r="O182" s="112"/>
      <c r="P182" s="112"/>
      <c r="Q182" s="112"/>
      <c r="R182" s="112"/>
      <c r="S182" s="112"/>
      <c r="T182" s="112"/>
      <c r="U182" s="112"/>
      <c r="V182" s="112"/>
      <c r="W182" s="111"/>
      <c r="X182" s="112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2"/>
      <c r="AP182" s="112"/>
      <c r="AQ182" s="112"/>
      <c r="AR182" s="112"/>
      <c r="AS182" s="112"/>
      <c r="AT182" s="112"/>
      <c r="AU182" s="112"/>
      <c r="AV182" s="113"/>
      <c r="AW182" s="114" t="str">
        <f t="shared" si="55"/>
        <v>x</v>
      </c>
      <c r="AX182" s="114" t="str">
        <f t="shared" si="56"/>
        <v>x</v>
      </c>
      <c r="AY182" s="111"/>
      <c r="AZ182" s="111"/>
      <c r="BA182" s="112" t="str">
        <f t="shared" si="57"/>
        <v>x</v>
      </c>
      <c r="BB182" s="112" t="str">
        <f t="shared" si="58"/>
        <v>x</v>
      </c>
      <c r="BC182" s="111"/>
      <c r="BD182" s="111"/>
      <c r="BE182" s="111"/>
      <c r="BF182" s="111"/>
      <c r="BG182" s="111"/>
      <c r="BH182" s="112" t="str">
        <f>HYPERLINK("http://www.refugeephrasebook.de/pdf/germany150920.pdf","x")</f>
        <v>x</v>
      </c>
      <c r="BI182" s="112" t="str">
        <f>HYPERLINK("https://www.advanced-online.eu/downloads/RefugeePhrasebookCards_German-Bosnian-Croatian-Serbian.pdf","x")</f>
        <v>x</v>
      </c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2" t="str">
        <f t="shared" si="59"/>
        <v>x</v>
      </c>
      <c r="BT182" s="112"/>
      <c r="BU182" s="111"/>
      <c r="BV182" s="112" t="str">
        <f t="shared" si="60"/>
        <v>x</v>
      </c>
      <c r="BW182" s="112"/>
      <c r="BX182" s="112"/>
      <c r="BY182" s="112"/>
      <c r="BZ182" s="112"/>
      <c r="CA182" s="112" t="str">
        <f t="shared" si="61"/>
        <v>x</v>
      </c>
      <c r="CB182" s="112" t="str">
        <f t="shared" si="62"/>
        <v>x</v>
      </c>
      <c r="CC182" s="112" t="str">
        <f t="shared" si="63"/>
        <v>x</v>
      </c>
      <c r="CD182" s="112"/>
      <c r="CE182" s="112"/>
      <c r="CF182" s="111"/>
      <c r="CG182" s="111"/>
      <c r="CH182" s="111"/>
      <c r="CI182" s="111"/>
      <c r="CJ182" s="111"/>
      <c r="CK182" s="112" t="str">
        <f t="shared" si="64"/>
        <v>x</v>
      </c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 t="str">
        <f>HYPERLINK("http://www.profamilia.de/fileadmin/publikationen/Erwachsene/mehrsprachig/verhuetung_kroatisch.pdf","x")</f>
        <v>x</v>
      </c>
      <c r="CV182" s="112"/>
      <c r="CW182" s="112"/>
      <c r="CX182" s="112" t="str">
        <f>HYPERLINK("http://www.profamilia.de/fileadmin/publikationen/Reihe_Koerper_und_Sexualtitaet/Bro_Schwangerschaftsabbruch_HR_ANSICHT.pdf","x")</f>
        <v>x</v>
      </c>
      <c r="CY182" s="111"/>
      <c r="CZ182" s="112"/>
      <c r="DA182" s="112"/>
      <c r="DB182" s="112"/>
      <c r="DC182" s="115"/>
      <c r="DD182" s="112"/>
      <c r="DE182" s="112"/>
      <c r="DF182" s="112" t="str">
        <f t="shared" si="65"/>
        <v>x</v>
      </c>
      <c r="DG182" s="115" t="str">
        <f t="shared" si="66"/>
        <v>x</v>
      </c>
      <c r="DH182" s="112" t="str">
        <f t="shared" si="67"/>
        <v>x</v>
      </c>
      <c r="DI182" s="112" t="str">
        <f t="shared" si="68"/>
        <v>x</v>
      </c>
      <c r="DJ182" s="112" t="str">
        <f>HYPERLINK("http://www.bibliomedia.ch/de/angebote/dokumente/Glossar_kroatisch.pdf","x")</f>
        <v>x</v>
      </c>
      <c r="DK182" s="112"/>
      <c r="DL182" s="112"/>
      <c r="DM182" s="112"/>
      <c r="DN182" s="112"/>
      <c r="DO182" s="112"/>
      <c r="DP182" s="111"/>
      <c r="DQ182" s="111"/>
      <c r="DR182" s="111"/>
      <c r="DS182" s="112" t="str">
        <f>HYPERLINK("http://bildung.koeln.de/materialbibliothek/download.php?idx=0fa72c9e161f25c40f1bb81295fb4f1f","x")</f>
        <v>x</v>
      </c>
      <c r="DT182" s="112" t="str">
        <f>HYPERLINK("http://bildung.koeln.de/materialbibliothek/download.php?idx=3a958a19af2d93b8f387abceab9f62b3","x")</f>
        <v>x</v>
      </c>
      <c r="DU182" s="112"/>
      <c r="DV182" s="112" t="str">
        <f>HYPERLINK("https://www.bmbf.de/pub/Kausa_Elternbroschuere_bosn_kroat_serb.pdf","x")</f>
        <v>x</v>
      </c>
      <c r="DW182" s="111"/>
      <c r="DX182" s="111"/>
      <c r="DY182" s="111"/>
      <c r="DZ182" s="112" t="str">
        <f>HYPERLINK("http://www.bamf.de/SharedDocs/Anlagen/DE/Publikationen/Flyer/AnerkennungBerufsabschluss/anerkennung-berufsabschluss_hr.pdf?__blob=publicationFile","x")</f>
        <v>x</v>
      </c>
      <c r="EA182" s="112" t="str">
        <f>HYPERLINK("http://www.bamf.de/SharedDocs/Anlagen/DE/Publikationen/Flyer/AnerkennungBerufsabschluss/anerkennung-berufsabschluss_ausland_hr.pdf?__blob=publicationFile","x")</f>
        <v>x</v>
      </c>
      <c r="EB182" s="112"/>
      <c r="EC182" s="112"/>
      <c r="ED182" s="111"/>
      <c r="EE182" s="111"/>
      <c r="EF182" s="111"/>
      <c r="EG182" s="111"/>
      <c r="EH182" s="111"/>
      <c r="EI182" s="111"/>
      <c r="EJ182" s="112"/>
      <c r="EK182" s="112"/>
      <c r="EL182" s="111"/>
      <c r="EM182" s="112" t="str">
        <f>HYPERLINK("http://www.kvs-sachsen.de/fileadmin/img/Mitglieder/Asylbewerber/Allg-Informationen/Anlage_1_Kroatisch_LEK.pdf","x")</f>
        <v>x</v>
      </c>
      <c r="EN182" s="111"/>
      <c r="EO182" s="111"/>
      <c r="EP182" s="117"/>
      <c r="EQ182" s="117" t="str">
        <f>HYPERLINK("http://www.armut-gesundheit.de/fileadmin/redakteur/dokumente/Anamnesebogen%20-%20kroatischnew.pdf","x")</f>
        <v>x</v>
      </c>
      <c r="ER182" s="112" t="str">
        <f>HYPERLINK("http://www.kvs-sachsen.de/fileadmin/img/Mitglieder/Asylbewerber/Allg-Informationen/Anlagen_2-1_2-2_Kroatisch_LEK.pdf","x")</f>
        <v>x</v>
      </c>
      <c r="ES182" s="111"/>
      <c r="ET182" s="111"/>
      <c r="EU182" s="111"/>
      <c r="EV182" s="111"/>
      <c r="EW182" s="112" t="str">
        <f t="shared" si="69"/>
        <v>x</v>
      </c>
      <c r="EX182" s="111"/>
      <c r="EY182" s="111"/>
      <c r="EZ182" s="111"/>
      <c r="FA182" s="111"/>
      <c r="FB182" s="111"/>
      <c r="FC182" s="111"/>
      <c r="FD182" s="112" t="str">
        <f t="shared" si="70"/>
        <v>x</v>
      </c>
      <c r="FE182" s="112" t="str">
        <f t="shared" si="75"/>
        <v>x</v>
      </c>
      <c r="FF182" s="111"/>
      <c r="FG182" s="111"/>
      <c r="FH182" s="111"/>
      <c r="FI182" s="111"/>
      <c r="FJ182" s="112"/>
      <c r="FK182" s="112" t="str">
        <f>HYPERLINK("http://www.rki.de/DE/Content/Infekt/Impfen/Materialien/Downloads-Impfkalender/Impfkalender_Kroatisch.pdf;jsessionid=B56E144E4E5DED843A215A7A8F137849.2_cid290?__blob=publicationFile","x")</f>
        <v>x</v>
      </c>
      <c r="FL182" s="111"/>
      <c r="FM182" s="111"/>
      <c r="FN182" s="112" t="str">
        <f>HYPERLINK("http://www.rki.de/DE/Content/Infekt/Impfen/Materialien/Glossar-Downloads/glossar-de-kroatisch.pdf?__blob=publicationFile","x")</f>
        <v>x</v>
      </c>
      <c r="FO182" s="112"/>
      <c r="FP182" s="112" t="str">
        <f>HYPERLINK("http://www.rki.de/DE/Content/Infekt/Impfen/Materialien/Downloads-MMR/MMR-Impfinfo-kroatisch.pdf?__blob=publicationFile","x")</f>
        <v>x</v>
      </c>
      <c r="FQ182" s="111"/>
      <c r="FR182" s="112" t="str">
        <f>HYPERLINK("http://www.rki.de/DE/Content/Infekt/Impfen/Materialien/Downloads_HepA/Aufklaerung_HAV-Impfung_Kroatisch.pdf?__blob=publicationFile","x")</f>
        <v>x</v>
      </c>
      <c r="FS182" s="112" t="str">
        <f>HYPERLINK("http://www.rki.de/DE/Content/Infekt/Impfen/Materialien/Downloads_Pneumokokken/Aufklaerung_Pneumo-Impfung_Kroatisch.pdf?__blob=publicationFile","x")</f>
        <v>x</v>
      </c>
      <c r="FT182" s="112" t="str">
        <f>HYPERLINK("http://www.rki.de/DE/Content/Infekt/Impfen/Materialien/Downloads-DTaPIPVHibHepB/DTaPIPVHibHepB-kroatisch.pdf?__blob=publicationFile","x")</f>
        <v>x</v>
      </c>
      <c r="FU182" s="112" t="str">
        <f>HYPERLINK("http://www.rki.de/DE/Content/Infekt/Impfen/Materialien/Downloads-Varizellen/Varizellen-Impfinfo-kroatisch.pdf;jsessionid=65B697F4EE7EDA8A1ED9E2C4CD6C74EC.2_cid363?__blob=publicationFile","x")</f>
        <v>x</v>
      </c>
      <c r="FV182" s="112" t="str">
        <f>HYPERLINK("http://www.rki.de/DE/Content/Infekt/Impfen/Materialien/Downloads-Tdap-IPV/Tdap-IPV-kroatisch.pdf?__blob=publicationFile","x")</f>
        <v>x</v>
      </c>
      <c r="FW182" s="112" t="str">
        <f>HYPERLINK("http://www.rki.de/DE/Content/Infekt/Impfen/Materialien/Downloads-Influenza_nasal/Influenza_nasal-kroatisch.pdf?__blob=publicationFile","x")</f>
        <v>x</v>
      </c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2" t="str">
        <f>HYPERLINK("http://www.rki.de/DE/Content/Infekt/Impfen/Materialien/Downloads-Influenza/Influenza-kroatisch.pdf?__blob=publicationFile","x")</f>
        <v>x</v>
      </c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2" t="str">
        <f t="shared" si="71"/>
        <v>x</v>
      </c>
      <c r="HD182" s="112" t="str">
        <f>HYPERLINK("https://www.zahnaerzte-wl.de/images/_PDF-suche/KZV_ZÄK/ENDSTAND_Ankreuzbogen_Ich_verstehe.pdf","x")</f>
        <v>x</v>
      </c>
      <c r="HE182" s="112" t="str">
        <f>HYPERLINK("https://www.zahnaerzte-wl.de/images/_PDF-suche/KZV_ZÄK/Anschreiben_Patienten_kroatisch.pdf","x")</f>
        <v>x</v>
      </c>
      <c r="HF182" s="112" t="str">
        <f>HYPERLINK("https://www.zahnaerzte-wl.de/images/_PDF-suche/KZV_ZÄK/Fragebogen_kroatisch.pdf","x")</f>
        <v>x</v>
      </c>
      <c r="HG182" s="112" t="str">
        <f>HYPERLINK("https://www.zahnaerzte-wl.de/images/_PDF-suche/KZV_ZÄK/Patientenerhebungsbogen_kroatisch.pdf","x")</f>
        <v>x</v>
      </c>
      <c r="HH182" s="112"/>
      <c r="HI182" s="112"/>
      <c r="HJ182" s="112"/>
      <c r="HK182" s="112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2" t="str">
        <f t="shared" si="72"/>
        <v>x</v>
      </c>
      <c r="HZ182" s="112" t="str">
        <f t="shared" si="73"/>
        <v>x</v>
      </c>
      <c r="IA182" s="111"/>
      <c r="IB182" s="111"/>
      <c r="IC182" s="111"/>
      <c r="ID182" s="111"/>
      <c r="IE182" s="111"/>
      <c r="IF182" s="111"/>
      <c r="IG182" s="111"/>
      <c r="IH182" s="111"/>
      <c r="II182" s="112" t="str">
        <f>HYPERLINK("http://www.caritas.de/hilfeundberatung/onlineberatung/suchtberatung/haeufiggestelltefragensucht/haeufiggestelltefragen-sucht","x")</f>
        <v>x</v>
      </c>
      <c r="IJ182" s="111"/>
      <c r="IK182" s="112"/>
      <c r="IL182" s="111"/>
      <c r="IM182" s="111"/>
      <c r="IN182" s="111"/>
      <c r="IO182" s="111"/>
      <c r="IP182" s="111"/>
      <c r="IQ182" s="112"/>
      <c r="IR182" s="112"/>
      <c r="IS182" s="111"/>
      <c r="IT182" s="111"/>
      <c r="IU182" s="111"/>
      <c r="IV182" s="112"/>
      <c r="IW182" s="112"/>
      <c r="IX182" s="112"/>
      <c r="IY182" s="112"/>
      <c r="IZ182" s="111"/>
      <c r="JA182" s="111"/>
      <c r="JB182" s="111"/>
      <c r="JC182" s="112"/>
      <c r="JD182" s="111"/>
      <c r="JE182" s="112"/>
      <c r="JF182" s="112"/>
      <c r="JG182" s="112"/>
      <c r="JH182" s="112"/>
      <c r="JI182" s="111"/>
      <c r="JJ182" s="112"/>
      <c r="JK182" s="112"/>
      <c r="JL182" s="112"/>
      <c r="JM182" s="112" t="str">
        <f>HYPERLINK("https://www.arbeitsagentur.de/web/content/DE/Formulare/Detail/index.htm?dfContentId=L6019022DSTBAI485740","x")</f>
        <v>x</v>
      </c>
      <c r="JN182" s="112"/>
      <c r="JO182" s="112"/>
      <c r="JP182" s="112"/>
      <c r="JQ182" s="112"/>
      <c r="JR182" s="112" t="str">
        <f>HYPERLINK("http://www.ibla-germany.de/merkblaetter.php","x")</f>
        <v>x</v>
      </c>
      <c r="JS182" s="112"/>
      <c r="JT182" s="111"/>
      <c r="JU182" s="111"/>
      <c r="JV182" s="111"/>
      <c r="JW182" s="112"/>
      <c r="JX182" s="112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  <c r="MI182" s="112" t="str">
        <f>HYPERLINK("http://www.kindersicherheit.de/pdf/2012_poster_achtunggiftig_8sprachig.pdf","x")</f>
        <v>x</v>
      </c>
    </row>
    <row r="183" spans="1:347" x14ac:dyDescent="0.25">
      <c r="A183" s="102" t="s">
        <v>76</v>
      </c>
      <c r="B183" s="127" t="s">
        <v>6</v>
      </c>
      <c r="C183" s="102"/>
      <c r="D183" s="102"/>
      <c r="E183" s="102"/>
      <c r="F183" s="102"/>
      <c r="G183" s="102"/>
      <c r="H183" s="102"/>
      <c r="I183" s="102"/>
      <c r="J183" s="102"/>
      <c r="K183" s="103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3"/>
      <c r="AW183" s="114" t="str">
        <f t="shared" si="55"/>
        <v>x</v>
      </c>
      <c r="AX183" s="114" t="str">
        <f t="shared" si="56"/>
        <v>x</v>
      </c>
      <c r="AY183" s="111"/>
      <c r="AZ183" s="111"/>
      <c r="BA183" s="112" t="str">
        <f t="shared" si="57"/>
        <v>x</v>
      </c>
      <c r="BB183" s="112" t="str">
        <f t="shared" si="58"/>
        <v>x</v>
      </c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2" t="str">
        <f>HYPERLINK("http://www.bundessprachenamt.de/deutsch/wir_ueber_uns/nachrichten/2015/20151103/Verständigungshilfe_Mazedonisch_03_12_2015.pdf","x")</f>
        <v>x</v>
      </c>
      <c r="BM183" s="111"/>
      <c r="BN183" s="111"/>
      <c r="BO183" s="111"/>
      <c r="BP183" s="111"/>
      <c r="BQ183" s="111"/>
      <c r="BR183" s="111"/>
      <c r="BS183" s="112" t="str">
        <f t="shared" si="59"/>
        <v>x</v>
      </c>
      <c r="BT183" s="112"/>
      <c r="BU183" s="111"/>
      <c r="BV183" s="112" t="str">
        <f t="shared" si="60"/>
        <v>x</v>
      </c>
      <c r="BW183" s="112"/>
      <c r="BX183" s="112"/>
      <c r="BY183" s="112"/>
      <c r="BZ183" s="112"/>
      <c r="CA183" s="112" t="str">
        <f t="shared" si="61"/>
        <v>x</v>
      </c>
      <c r="CB183" s="112" t="str">
        <f t="shared" si="62"/>
        <v>x</v>
      </c>
      <c r="CC183" s="112" t="str">
        <f t="shared" si="63"/>
        <v>x</v>
      </c>
      <c r="CD183" s="112"/>
      <c r="CE183" s="112"/>
      <c r="CF183" s="111"/>
      <c r="CG183" s="111"/>
      <c r="CH183" s="111"/>
      <c r="CI183" s="111"/>
      <c r="CJ183" s="111"/>
      <c r="CK183" s="112" t="str">
        <f t="shared" si="64"/>
        <v>x</v>
      </c>
      <c r="CL183" s="112"/>
      <c r="CM183" s="112"/>
      <c r="CN183" s="112"/>
      <c r="CO183" s="112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2"/>
      <c r="DA183" s="112"/>
      <c r="DB183" s="112"/>
      <c r="DC183" s="115"/>
      <c r="DD183" s="112"/>
      <c r="DE183" s="112"/>
      <c r="DF183" s="112" t="str">
        <f t="shared" si="65"/>
        <v>x</v>
      </c>
      <c r="DG183" s="115" t="str">
        <f t="shared" si="66"/>
        <v>x</v>
      </c>
      <c r="DH183" s="112" t="str">
        <f t="shared" si="67"/>
        <v>x</v>
      </c>
      <c r="DI183" s="112" t="str">
        <f t="shared" si="68"/>
        <v>x</v>
      </c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2" t="str">
        <f>HYPERLINK("http://www.kvs-sachsen.de/fileadmin/img/Mitglieder/Asylbewerber/Allg-Informationen/Anlage_1_Mazedonisch_LEK.pdf","x")</f>
        <v>x</v>
      </c>
      <c r="EN183" s="111"/>
      <c r="EO183" s="111"/>
      <c r="EP183" s="118"/>
      <c r="EQ183" s="118"/>
      <c r="ER183" s="112" t="str">
        <f>HYPERLINK("http://www.kvs-sachsen.de/fileadmin/img/Mitglieder/Asylbewerber/Allg-Informationen/Anlagen_2-1_2-2_Mazedonisch_LEK.pdf","x")</f>
        <v>x</v>
      </c>
      <c r="ES183" s="111"/>
      <c r="ET183" s="111"/>
      <c r="EU183" s="111"/>
      <c r="EV183" s="111"/>
      <c r="EW183" s="112" t="str">
        <f t="shared" si="69"/>
        <v>x</v>
      </c>
      <c r="EX183" s="111"/>
      <c r="EY183" s="111"/>
      <c r="EZ183" s="111"/>
      <c r="FA183" s="111"/>
      <c r="FB183" s="111"/>
      <c r="FC183" s="111"/>
      <c r="FD183" s="112" t="str">
        <f t="shared" si="70"/>
        <v>x</v>
      </c>
      <c r="FE183" s="112" t="str">
        <f t="shared" si="75"/>
        <v>x</v>
      </c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2" t="str">
        <f t="shared" si="71"/>
        <v>x</v>
      </c>
      <c r="HD183" s="112" t="str">
        <f>HYPERLINK("https://www.zahnaerzte-wl.de/images/_PDF-suche/KZV_ZÄK/ENDSTAND_Ankreuzbogen_Ich_verstehe.pdf","x")</f>
        <v>x</v>
      </c>
      <c r="HE183" s="112" t="str">
        <f>HYPERLINK("https://www.zahnaerzte-wl.de/images/_PDF-suche/KZV_ZÄK/Anschreiben_Patienten_mazedonisch.pdf","x")</f>
        <v>x</v>
      </c>
      <c r="HF183" s="112" t="str">
        <f>HYPERLINK("https://www.zahnaerzte-wl.de/images/_PDF-suche/KZV_ZÄK/Fragebogen_mazedonisch.pdf","x")</f>
        <v>x</v>
      </c>
      <c r="HG183" s="112" t="str">
        <f>HYPERLINK("https://www.zahnaerzte-wl.de/images/_PDF-suche/KZV_ZÄK/Patientenerhebungsbogen_mazedonisch.pdf","x")</f>
        <v>x</v>
      </c>
      <c r="HH183" s="112"/>
      <c r="HI183" s="112"/>
      <c r="HJ183" s="112"/>
      <c r="HK183" s="112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2" t="str">
        <f t="shared" si="72"/>
        <v>x</v>
      </c>
      <c r="HZ183" s="112" t="str">
        <f t="shared" si="73"/>
        <v>x</v>
      </c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1"/>
      <c r="IZ183" s="111"/>
      <c r="JA183" s="111"/>
      <c r="JB183" s="111"/>
      <c r="JC183" s="111"/>
      <c r="JD183" s="111"/>
      <c r="JE183" s="111"/>
      <c r="JF183" s="111"/>
      <c r="JG183" s="111"/>
      <c r="JH183" s="111"/>
      <c r="JI183" s="111"/>
      <c r="JJ183" s="111"/>
      <c r="JK183" s="111"/>
      <c r="JL183" s="111"/>
      <c r="JM183" s="111"/>
      <c r="JN183" s="111"/>
      <c r="JO183" s="111"/>
      <c r="JP183" s="111"/>
      <c r="JQ183" s="111"/>
      <c r="JR183" s="111"/>
      <c r="JS183" s="111"/>
      <c r="JT183" s="111"/>
      <c r="JU183" s="111"/>
      <c r="JV183" s="111"/>
      <c r="JW183" s="111"/>
      <c r="JX183" s="111"/>
      <c r="JY183" s="112"/>
      <c r="JZ183" s="112"/>
      <c r="KA183" s="112"/>
      <c r="KB183" s="112" t="str">
        <f>HYPERLINK("http://www.refugeeguide.de/dl/RefugeeGuide_mk_1006.pdf","x")</f>
        <v>x</v>
      </c>
      <c r="KC183" s="111"/>
      <c r="KD183" s="111"/>
      <c r="KE183" s="111"/>
      <c r="KF183" s="111"/>
      <c r="KG183" s="112"/>
      <c r="KH183" s="112"/>
      <c r="KI183" s="112"/>
      <c r="KJ183" s="112"/>
      <c r="KK183" s="112"/>
      <c r="KL183" s="112"/>
      <c r="KM183" s="112"/>
      <c r="KN183" s="112"/>
      <c r="KO183" s="112"/>
      <c r="KP183" s="112"/>
      <c r="KQ183" s="112"/>
      <c r="KR183" s="112"/>
      <c r="KS183" s="112"/>
      <c r="KT183" s="112"/>
      <c r="KU183" s="112"/>
      <c r="KV183" s="112"/>
      <c r="KW183" s="112"/>
      <c r="KX183" s="112"/>
      <c r="KY183" s="112"/>
      <c r="KZ183" s="112"/>
      <c r="LA183" s="112"/>
      <c r="LB183" s="112"/>
      <c r="LC183" s="111"/>
      <c r="LD183" s="111"/>
      <c r="LE183" s="111"/>
      <c r="LF183" s="111"/>
      <c r="LG183" s="111"/>
      <c r="LH183" s="111"/>
      <c r="LI183" s="111"/>
      <c r="LJ183" s="111"/>
      <c r="LK183" s="111"/>
      <c r="LL183" s="111"/>
      <c r="LM183" s="111"/>
      <c r="LN183" s="111"/>
      <c r="LO183" s="111"/>
      <c r="LP183" s="111"/>
      <c r="LQ183" s="111"/>
      <c r="LR183" s="111"/>
      <c r="LS183" s="111"/>
      <c r="LT183" s="111"/>
      <c r="LU183" s="111"/>
      <c r="LV183" s="111"/>
      <c r="LW183" s="111"/>
      <c r="LX183" s="111"/>
      <c r="LY183" s="111"/>
      <c r="LZ183" s="111"/>
      <c r="MA183" s="111"/>
      <c r="MB183" s="111"/>
      <c r="MC183" s="111"/>
      <c r="MD183" s="111"/>
      <c r="ME183" s="111"/>
      <c r="MF183" s="111"/>
      <c r="MG183" s="111"/>
      <c r="MH183" s="111"/>
      <c r="MI183" s="111"/>
    </row>
    <row r="184" spans="1:347" x14ac:dyDescent="0.25">
      <c r="A184" s="102" t="s">
        <v>76</v>
      </c>
      <c r="B184" s="127" t="s">
        <v>152</v>
      </c>
      <c r="C184" s="102"/>
      <c r="D184" s="102"/>
      <c r="E184" s="102"/>
      <c r="F184" s="102"/>
      <c r="G184" s="102"/>
      <c r="H184" s="102"/>
      <c r="I184" s="102"/>
      <c r="J184" s="102"/>
      <c r="K184" s="103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3"/>
      <c r="AW184" s="114" t="str">
        <f t="shared" si="55"/>
        <v>x</v>
      </c>
      <c r="AX184" s="114" t="str">
        <f t="shared" si="56"/>
        <v>x</v>
      </c>
      <c r="AY184" s="111"/>
      <c r="AZ184" s="111"/>
      <c r="BA184" s="112" t="str">
        <f t="shared" si="57"/>
        <v>x</v>
      </c>
      <c r="BB184" s="112" t="str">
        <f t="shared" si="58"/>
        <v>x</v>
      </c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2" t="str">
        <f t="shared" si="59"/>
        <v>x</v>
      </c>
      <c r="BT184" s="112"/>
      <c r="BU184" s="111"/>
      <c r="BV184" s="112" t="str">
        <f t="shared" si="60"/>
        <v>x</v>
      </c>
      <c r="BW184" s="112"/>
      <c r="BX184" s="112"/>
      <c r="BY184" s="112"/>
      <c r="BZ184" s="112"/>
      <c r="CA184" s="112" t="str">
        <f t="shared" si="61"/>
        <v>x</v>
      </c>
      <c r="CB184" s="112" t="str">
        <f t="shared" si="62"/>
        <v>x</v>
      </c>
      <c r="CC184" s="112" t="str">
        <f t="shared" si="63"/>
        <v>x</v>
      </c>
      <c r="CD184" s="112"/>
      <c r="CE184" s="112"/>
      <c r="CF184" s="111"/>
      <c r="CG184" s="111"/>
      <c r="CH184" s="111"/>
      <c r="CI184" s="111"/>
      <c r="CJ184" s="111"/>
      <c r="CK184" s="112" t="str">
        <f t="shared" si="64"/>
        <v>x</v>
      </c>
      <c r="CL184" s="112"/>
      <c r="CM184" s="112"/>
      <c r="CN184" s="112"/>
      <c r="CO184" s="112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2"/>
      <c r="DA184" s="112"/>
      <c r="DB184" s="112"/>
      <c r="DC184" s="115"/>
      <c r="DD184" s="112"/>
      <c r="DE184" s="112"/>
      <c r="DF184" s="112" t="str">
        <f t="shared" si="65"/>
        <v>x</v>
      </c>
      <c r="DG184" s="115" t="str">
        <f t="shared" si="66"/>
        <v>x</v>
      </c>
      <c r="DH184" s="112" t="str">
        <f t="shared" si="67"/>
        <v>x</v>
      </c>
      <c r="DI184" s="112" t="str">
        <f t="shared" si="68"/>
        <v>x</v>
      </c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8"/>
      <c r="EQ184" s="118"/>
      <c r="ER184" s="111"/>
      <c r="ES184" s="111"/>
      <c r="ET184" s="111"/>
      <c r="EU184" s="111"/>
      <c r="EV184" s="111"/>
      <c r="EW184" s="112" t="str">
        <f t="shared" si="69"/>
        <v>x</v>
      </c>
      <c r="EX184" s="111"/>
      <c r="EY184" s="111"/>
      <c r="EZ184" s="111"/>
      <c r="FA184" s="111"/>
      <c r="FB184" s="111"/>
      <c r="FC184" s="111"/>
      <c r="FD184" s="112" t="str">
        <f t="shared" si="70"/>
        <v>x</v>
      </c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2" t="str">
        <f t="shared" si="71"/>
        <v>x</v>
      </c>
      <c r="HD184" s="112" t="str">
        <f>HYPERLINK("https://www.zahnaerzte-wl.de/images/_PDF-suche/KZV_ZÄK/ENDSTAND_Ankreuzbogen_Ich_verstehe.pdf","x")</f>
        <v>x</v>
      </c>
      <c r="HE184" s="112" t="str">
        <f>HYPERLINK("https://www.zahnaerzte-wl.de/images/_PDF-suche/KZV_ZÄK/Anschreiben_Patienten_montenegrisch.pdf","x")</f>
        <v>x</v>
      </c>
      <c r="HF184" s="112" t="str">
        <f>HYPERLINK("https://www.zahnaerzte-wl.de/images/_PDF-suche/KZV_ZÄK/Fragebogen_montenegrisch.pdf","x")</f>
        <v>x</v>
      </c>
      <c r="HG184" s="112" t="str">
        <f>HYPERLINK("https://www.zahnaerzte-wl.de/images/_PDF-suche/KZV_ZÄK/Patientenerhebungsbogen_montenegrisch.pdf","x")</f>
        <v>x</v>
      </c>
      <c r="HH184" s="112"/>
      <c r="HI184" s="112"/>
      <c r="HJ184" s="112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2" t="str">
        <f t="shared" si="72"/>
        <v>x</v>
      </c>
      <c r="HZ184" s="112" t="str">
        <f t="shared" si="73"/>
        <v>x</v>
      </c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1"/>
      <c r="IZ184" s="111"/>
      <c r="JA184" s="111"/>
      <c r="JB184" s="111"/>
      <c r="JC184" s="111"/>
      <c r="JD184" s="111"/>
      <c r="JE184" s="111"/>
      <c r="JF184" s="111"/>
      <c r="JG184" s="111"/>
      <c r="JH184" s="111"/>
      <c r="JI184" s="111"/>
      <c r="JJ184" s="111"/>
      <c r="JK184" s="111"/>
      <c r="JL184" s="111"/>
      <c r="JM184" s="111"/>
      <c r="JN184" s="111"/>
      <c r="JO184" s="111"/>
      <c r="JP184" s="111"/>
      <c r="JQ184" s="111"/>
      <c r="JR184" s="111"/>
      <c r="JS184" s="111"/>
      <c r="JT184" s="111"/>
      <c r="JU184" s="111"/>
      <c r="JV184" s="111"/>
      <c r="JW184" s="111"/>
      <c r="JX184" s="111"/>
      <c r="JY184" s="111"/>
      <c r="JZ184" s="111"/>
      <c r="KA184" s="111"/>
      <c r="KB184" s="111"/>
      <c r="KC184" s="111"/>
      <c r="KD184" s="111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1"/>
      <c r="MD184" s="111"/>
      <c r="ME184" s="111"/>
      <c r="MF184" s="111"/>
      <c r="MG184" s="111"/>
      <c r="MH184" s="111"/>
      <c r="MI184" s="111"/>
    </row>
    <row r="185" spans="1:347" x14ac:dyDescent="0.25">
      <c r="A185" s="102" t="s">
        <v>76</v>
      </c>
      <c r="B185" s="127" t="s">
        <v>18</v>
      </c>
      <c r="C185" s="102"/>
      <c r="D185" s="102"/>
      <c r="E185" s="102"/>
      <c r="F185" s="102"/>
      <c r="G185" s="102"/>
      <c r="H185" s="102"/>
      <c r="I185" s="102"/>
      <c r="J185" s="102"/>
      <c r="K185" s="103"/>
      <c r="L185" s="111"/>
      <c r="M185" s="111"/>
      <c r="N185" s="111"/>
      <c r="O185" s="111"/>
      <c r="P185" s="112" t="str">
        <f>HYPERLINK("https://willkommensteamelmshorn.files.wordpress.com/2015/11/sortieranleitung_pinneberg_2015_rumacc88nisch.pdf","x")</f>
        <v>x</v>
      </c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2"/>
      <c r="AP185" s="112"/>
      <c r="AQ185" s="112"/>
      <c r="AR185" s="112"/>
      <c r="AS185" s="112"/>
      <c r="AT185" s="112"/>
      <c r="AU185" s="112"/>
      <c r="AV185" s="113"/>
      <c r="AW185" s="114" t="str">
        <f t="shared" si="55"/>
        <v>x</v>
      </c>
      <c r="AX185" s="114" t="str">
        <f t="shared" si="56"/>
        <v>x</v>
      </c>
      <c r="AY185" s="111"/>
      <c r="AZ185" s="111"/>
      <c r="BA185" s="112" t="str">
        <f t="shared" si="57"/>
        <v>x</v>
      </c>
      <c r="BB185" s="112" t="str">
        <f t="shared" si="58"/>
        <v>x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2" t="str">
        <f>HYPERLINK("http://www.frnrw.de/images/Aus_den_Initiativen/Ehrenamtler/2015/Dictionary_x10_print-2.pdf","x")</f>
        <v>x</v>
      </c>
      <c r="BN185" s="111"/>
      <c r="BO185" s="111"/>
      <c r="BP185" s="111"/>
      <c r="BQ185" s="111"/>
      <c r="BR185" s="111"/>
      <c r="BS185" s="112" t="str">
        <f t="shared" si="59"/>
        <v>x</v>
      </c>
      <c r="BT185" s="112"/>
      <c r="BU185" s="111"/>
      <c r="BV185" s="112" t="str">
        <f t="shared" si="60"/>
        <v>x</v>
      </c>
      <c r="BW185" s="112" t="str">
        <f>HYPERLINK("http://www.welcomegrooves.de/wp-content/uploads/2015/10/welcomegrooves_DE-RUMAENISCH.pdf","x")</f>
        <v>x</v>
      </c>
      <c r="BX185" s="112"/>
      <c r="BY185" s="112"/>
      <c r="BZ185" s="112"/>
      <c r="CA185" s="112" t="str">
        <f t="shared" si="61"/>
        <v>x</v>
      </c>
      <c r="CB185" s="112" t="str">
        <f t="shared" si="62"/>
        <v>x</v>
      </c>
      <c r="CC185" s="112" t="str">
        <f t="shared" si="63"/>
        <v>x</v>
      </c>
      <c r="CD185" s="112"/>
      <c r="CE185" s="112"/>
      <c r="CF185" s="111"/>
      <c r="CG185" s="111"/>
      <c r="CH185" s="112"/>
      <c r="CI185" s="112" t="str">
        <f>HYPERLINK("https://www.hilfetelefon.de/fileadmin/hilfetelefon_de/Materialien/Flyer/Infoflyer_Hilfetelefon_Gewalt_gegen_Frauen141105_b2.pdf","x")</f>
        <v>x</v>
      </c>
      <c r="CJ185" s="112" t="str">
        <f>HYPERLINK("https://www.hilfetelefon.de/fileadmin/hilfetelefon_de/Materialien/weitere_werbemittel/Klappflyer_Vorder-_und_Rueckseite_opt2.pdf","x")</f>
        <v>x</v>
      </c>
      <c r="CK185" s="112" t="str">
        <f t="shared" si="64"/>
        <v>x</v>
      </c>
      <c r="CL185" s="112" t="str">
        <f>HYPERLINK("http://www.frauenberatungsstelle.de/pdf/Migrantinnen-beraten-Migrantinnen.pdf","x")</f>
        <v>x</v>
      </c>
      <c r="CM185" s="112"/>
      <c r="CN185" s="112"/>
      <c r="CO185" s="112"/>
      <c r="CP185" s="112" t="str">
        <f>HYPERLINK("http://www.schwanger-und-viele-fragen.de/ro/","x")</f>
        <v>x</v>
      </c>
      <c r="CQ185" s="112"/>
      <c r="CR185" s="112"/>
      <c r="CS185" s="112"/>
      <c r="CT185" s="112"/>
      <c r="CU185" s="112" t="str">
        <f>HYPERLINK("http://www.profamilia.de/fileadmin/publikationen/Erwachsene/mehrsprachig/Bro_Verhuetung_rum_141016.pdf","x")</f>
        <v>x</v>
      </c>
      <c r="CV185" s="112"/>
      <c r="CW185" s="112"/>
      <c r="CX185" s="112"/>
      <c r="CY185" s="112"/>
      <c r="CZ185" s="112"/>
      <c r="DA185" s="112"/>
      <c r="DB185" s="112"/>
      <c r="DC185" s="115"/>
      <c r="DD185" s="112"/>
      <c r="DE185" s="112"/>
      <c r="DF185" s="112" t="str">
        <f t="shared" si="65"/>
        <v>x</v>
      </c>
      <c r="DG185" s="115" t="str">
        <f t="shared" si="66"/>
        <v>x</v>
      </c>
      <c r="DH185" s="112" t="str">
        <f t="shared" si="67"/>
        <v>x</v>
      </c>
      <c r="DI185" s="112" t="str">
        <f t="shared" si="68"/>
        <v>x</v>
      </c>
      <c r="DJ185" s="112"/>
      <c r="DK185" s="112"/>
      <c r="DL185" s="112"/>
      <c r="DM185" s="112"/>
      <c r="DN185" s="112"/>
      <c r="DO185" s="112"/>
      <c r="DP185" s="111"/>
      <c r="DQ185" s="112" t="str">
        <f>HYPERLINK("http://tipdoc.de/bus/grafik/kinder-tip/SCHULTIP_give_BulgRoSRB.pdf","x")</f>
        <v>x</v>
      </c>
      <c r="DR185" s="112" t="str">
        <f>HYPERLINK("https://broschueren.nordrheinwestfalendirekt.de/broschuerenservice/msw/ro-das-schulsystem-in-nordrhein-westfalen-einfach-und-schnell-erklaert/1904","x")</f>
        <v>x</v>
      </c>
      <c r="DS185" s="112" t="str">
        <f>HYPERLINK("http://bildung.koeln.de/materialbibliothek/download.php?idx=02e5214477df5fdc5798bedc8e8fd9ad","x")</f>
        <v>x</v>
      </c>
      <c r="DT185" s="112" t="str">
        <f>HYPERLINK("http://bildung.koeln.de/materialbibliothek/download.php?idx=640f7d9e84c1690234be794b70c7776c","x")</f>
        <v>x</v>
      </c>
      <c r="DU185" s="112"/>
      <c r="DV185" s="112" t="str">
        <f>HYPERLINK("https://www.bmbf.de/pub/Kausa_Elternratgeber_deutsch_rumaenisch.pdf","x")</f>
        <v>x</v>
      </c>
      <c r="DW185" s="111"/>
      <c r="DX185" s="111"/>
      <c r="DY185" s="111"/>
      <c r="DZ185" s="111"/>
      <c r="EA185" s="112" t="str">
        <f>HYPERLINK("http://www.bamf.de/SharedDocs/Anlagen/DE/Publikationen/Flyer/AnerkennungBerufsabschluss/anerkennung-berufsabschluss_ausland_ro.pdf?__blob=publicationFile","x")</f>
        <v>x</v>
      </c>
      <c r="EB185" s="112"/>
      <c r="EC185" s="112"/>
      <c r="ED185" s="111"/>
      <c r="EE185" s="111"/>
      <c r="EF185" s="111"/>
      <c r="EG185" s="111"/>
      <c r="EH185" s="111"/>
      <c r="EI185" s="111"/>
      <c r="EJ185" s="112"/>
      <c r="EK185" s="112"/>
      <c r="EL185" s="111"/>
      <c r="EM185" s="112" t="str">
        <f>HYPERLINK("http://www.kvs-sachsen.de/fileadmin/img/Mitglieder/Asylbewerber/Allg-Informationen/Anlage_1__Rumaenisch_LEK.pdf","x")</f>
        <v>x</v>
      </c>
      <c r="EN185" s="111"/>
      <c r="EO185" s="111"/>
      <c r="EP185" s="117" t="str">
        <f>HYPERLINK("http://www.medi-bild.de/pdf/anamnese/Welche_Sprache.pdf","x")</f>
        <v>x</v>
      </c>
      <c r="EQ185" s="117" t="str">
        <f>HYPERLINK("http://www.armut-gesundheit.de/fileadmin/redakteur/dokumente/Anamnesebogen%20-%20rum%C3%A4nischnew.pdf","x")</f>
        <v>x</v>
      </c>
      <c r="ER185" s="112" t="str">
        <f>HYPERLINK("http://www.kvs-sachsen.de/fileadmin/img/Mitglieder/Asylbewerber/Allg-Informationen/Anlagen_2-1_2-2_Rumaenisch_LEK.pdf","x")</f>
        <v>x</v>
      </c>
      <c r="ES185" s="111"/>
      <c r="ET185" s="111"/>
      <c r="EU185" s="111"/>
      <c r="EV185" s="111"/>
      <c r="EW185" s="112" t="str">
        <f t="shared" si="69"/>
        <v>x</v>
      </c>
      <c r="EX185" s="111"/>
      <c r="EY185" s="111"/>
      <c r="EZ185" s="111"/>
      <c r="FA185" s="111"/>
      <c r="FB185" s="111"/>
      <c r="FC185" s="111"/>
      <c r="FD185" s="112" t="str">
        <f t="shared" si="70"/>
        <v>x</v>
      </c>
      <c r="FE185" s="112" t="str">
        <f>HYPERLINK("http://sghanstedt.elbnetz.com/ueber-uns/","x")</f>
        <v>x</v>
      </c>
      <c r="FF185" s="111"/>
      <c r="FG185" s="112" t="str">
        <f>HYPERLINK("http://www.tipdoc.de/grafik/asyl/Gesundheitsheft_Asyl.pdf","x")</f>
        <v>x</v>
      </c>
      <c r="FH185" s="111"/>
      <c r="FI185" s="111"/>
      <c r="FJ185" s="112"/>
      <c r="FK185" s="112" t="str">
        <f>HYPERLINK("http://www.rki.de/DE/Content/Infekt/Impfen/Materialien/Downloads-Impfkalender/Impfkalender_Rumaenisch.pdf?__blob=publicationFile","x")</f>
        <v>x</v>
      </c>
      <c r="FL185" s="112" t="str">
        <f>HYPERLINK("http://www.ethno-medizinisches-zentrum.de/images/PDF-Files/impfwegweiser_rumanisch_2013_online.pdf","x")</f>
        <v>x</v>
      </c>
      <c r="FM185" s="112"/>
      <c r="FN185" s="112" t="str">
        <f>HYPERLINK("http://www.rki.de/DE/Content/Infekt/Impfen/Materialien/Glossar-Downloads/glossar-de-rumaenisch.pdf?__blob=publicationFile","x")</f>
        <v>x</v>
      </c>
      <c r="FO185" s="112"/>
      <c r="FP185" s="112" t="str">
        <f>HYPERLINK("http://www.rki.de/DE/Content/Infekt/Impfen/Materialien/Downloads-MMR/MMR-Impfinfo-rumaenisch.pdf?__blob=publicationFile","x")</f>
        <v>x</v>
      </c>
      <c r="FQ185" s="111"/>
      <c r="FR185" s="112" t="str">
        <f>HYPERLINK("http://www.rki.de/DE/Content/Infekt/Impfen/Materialien/Downloads_HepA/Aufklaerung_HAV-Impfung_Rumaenisch.pdf?__blob=publicationFile","x")</f>
        <v>x</v>
      </c>
      <c r="FS185" s="112" t="str">
        <f>HYPERLINK("http://www.rki.de/DE/Content/Infekt/Impfen/Materialien/Downloads_Pneumokokken/Aufklaerung_Pneumo-Impfung_Rumaenisch.pdf?__blob=publicationFile","x")</f>
        <v>x</v>
      </c>
      <c r="FT185" s="112" t="str">
        <f>HYPERLINK("http://www.rki.de/DE/Content/Infekt/Impfen/Materialien/Downloads-DTaPIPVHibHepB/DTaPIPVHibHepB-rumaenisch.pdf?__blob=publicationFile","x")</f>
        <v>x</v>
      </c>
      <c r="FU185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85" s="112" t="str">
        <f>HYPERLINK("http://www.rki.de/DE/Content/Infekt/Impfen/Materialien/Downloads-Tdap-IPV/Tdap-IPV-rumaenisch.pdf?__blob=publicationFile","x")</f>
        <v>x</v>
      </c>
      <c r="FW185" s="112" t="str">
        <f>HYPERLINK("http://www.rki.de/DE/Content/Infekt/Impfen/Materialien/Downloads-Influenza_nasal/Influenza_nasal-rumaenisch.pdf?__blob=publicationFile","x")</f>
        <v>x</v>
      </c>
      <c r="FX185" s="111"/>
      <c r="FY185" s="111"/>
      <c r="FZ185" s="111"/>
      <c r="GA185" s="111"/>
      <c r="GB185" s="111"/>
      <c r="GC185" s="111"/>
      <c r="GD185" s="112" t="str">
        <f>HYPERLINK("http://www.ethno-medizinisches-zentrum.de/images/PDF-Files/lf_diabete_rumanish.pdf","x")</f>
        <v>x</v>
      </c>
      <c r="GE185" s="111"/>
      <c r="GF185" s="111"/>
      <c r="GG185" s="111"/>
      <c r="GH185" s="111"/>
      <c r="GI185" s="111"/>
      <c r="GJ185" s="111"/>
      <c r="GK185" s="111"/>
      <c r="GL185" s="111"/>
      <c r="GM185" s="112" t="str">
        <f>HYPERLINK("http://www.rki.de/DE/Content/Infekt/Impfen/Materialien/Downloads-Influenza/Influenza-rumaenisch.pdf?__blob=publicationFile","x")</f>
        <v>x</v>
      </c>
      <c r="GN185" s="111"/>
      <c r="GO185" s="111"/>
      <c r="GP185" s="112" t="str">
        <f>HYPERLINK("http://www.tipdoc.de/grafik/pdf/kopflaeuse/Kopflaeuse_RUMAEN.pdf","x")</f>
        <v>x</v>
      </c>
      <c r="GQ185" s="112"/>
      <c r="GR185" s="112" t="str">
        <f>HYPERLINK("http://www.tipdoc.com/bus/pdf/kraetze/tipdoc_Scabies_RUMAEN.pdf","x")</f>
        <v>x</v>
      </c>
      <c r="GS185" s="112" t="str">
        <f>HYPERLINK("http://www.tipdoc.com/bus/pdf/MagenDarmHaende/MagenDarmHaende_RUMAEN.pdf","x")</f>
        <v>x</v>
      </c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2" t="str">
        <f t="shared" si="71"/>
        <v>x</v>
      </c>
      <c r="HD185" s="111"/>
      <c r="HE185" s="111"/>
      <c r="HF185" s="111"/>
      <c r="HG185" s="111"/>
      <c r="HH185" s="111"/>
      <c r="HI185" s="111"/>
      <c r="HJ185" s="111"/>
      <c r="HK185" s="112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2" t="str">
        <f t="shared" si="72"/>
        <v>x</v>
      </c>
      <c r="HZ185" s="112" t="str">
        <f t="shared" si="73"/>
        <v>x</v>
      </c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2"/>
      <c r="IL185" s="111"/>
      <c r="IM185" s="111"/>
      <c r="IN185" s="112" t="str">
        <f>HYPERLINK("https://www.bamf.de/SharedDocs/Anlagen/DE/Publikationen/Broschueren/willkommen-in-deutschland_ro.pdf?__blob=publicationFile","x")</f>
        <v>x</v>
      </c>
      <c r="IO185" s="112"/>
      <c r="IP185" s="111"/>
      <c r="IQ185" s="112" t="str">
        <f>HYPERLINK("http://www.bamf.de/SharedDocs/Anlagen/DE/Publikationen/Flyer/Lernen-Sie-Deutsch/lernen-sie-deutsch_ro.pdf?__blob=publicationFile","x")</f>
        <v>x</v>
      </c>
      <c r="IR185" s="112"/>
      <c r="IS185" s="111"/>
      <c r="IT185" s="111"/>
      <c r="IU185" s="111"/>
      <c r="IV185" s="112"/>
      <c r="IW185" s="112"/>
      <c r="IX185" s="112"/>
      <c r="IY185" s="112"/>
      <c r="IZ185" s="111"/>
      <c r="JA185" s="111"/>
      <c r="JB185" s="111"/>
      <c r="JC185" s="112"/>
      <c r="JD185" s="111"/>
      <c r="JE185" s="112"/>
      <c r="JF185" s="112"/>
      <c r="JG185" s="112"/>
      <c r="JH185" s="112"/>
      <c r="JI185" s="111"/>
      <c r="JJ185" s="112"/>
      <c r="JK185" s="112"/>
      <c r="JL185" s="112"/>
      <c r="JM185" s="112" t="str">
        <f>HYPERLINK("https://www.arbeitsagentur.de/web/content/DE/Formulare/Detail/index.htm?dfContentId=L6019022DSTBAI485740","x")</f>
        <v>x</v>
      </c>
      <c r="JN185" s="112"/>
      <c r="JO185" s="112"/>
      <c r="JP185" s="112"/>
      <c r="JQ185" s="112"/>
      <c r="JR185" s="112" t="str">
        <f>HYPERLINK("http://www.ibla-germany.de/merkblaetter.php","x")</f>
        <v>x</v>
      </c>
      <c r="JS185" s="112"/>
      <c r="JT185" s="111"/>
      <c r="JU185" s="111"/>
      <c r="JV185" s="111"/>
      <c r="JW185" s="112"/>
      <c r="JX185" s="112"/>
      <c r="JY185" s="111"/>
      <c r="JZ185" s="111"/>
      <c r="KA185" s="111"/>
      <c r="KB185" s="111"/>
      <c r="KC185" s="111"/>
      <c r="KD185" s="111"/>
      <c r="KE185" s="111"/>
      <c r="KF185" s="111"/>
      <c r="KG185" s="111"/>
      <c r="KH185" s="111"/>
      <c r="KI185" s="111"/>
      <c r="KJ185" s="111"/>
      <c r="KK185" s="111"/>
      <c r="KL185" s="111"/>
      <c r="KM185" s="111"/>
      <c r="KN185" s="111"/>
      <c r="KO185" s="111"/>
      <c r="KP185" s="111"/>
      <c r="KQ185" s="111"/>
      <c r="KR185" s="111"/>
      <c r="KS185" s="111"/>
      <c r="KT185" s="111"/>
      <c r="KU185" s="111"/>
      <c r="KV185" s="111"/>
      <c r="KW185" s="111"/>
      <c r="KX185" s="111"/>
      <c r="KY185" s="111"/>
      <c r="KZ185" s="111"/>
      <c r="LA185" s="111"/>
      <c r="LB185" s="111"/>
      <c r="LC185" s="111"/>
      <c r="LD185" s="111"/>
      <c r="LE185" s="111"/>
      <c r="LF185" s="111"/>
      <c r="LG185" s="111"/>
      <c r="LH185" s="111"/>
      <c r="LI185" s="111"/>
      <c r="LJ185" s="111"/>
      <c r="LK185" s="111"/>
      <c r="LL185" s="111"/>
      <c r="LM185" s="111"/>
      <c r="LN185" s="111"/>
      <c r="LO185" s="111"/>
      <c r="LP185" s="111"/>
      <c r="LQ185" s="111"/>
      <c r="LR185" s="111"/>
      <c r="LS185" s="111"/>
      <c r="LT185" s="111"/>
      <c r="LU185" s="111"/>
      <c r="LV185" s="111"/>
      <c r="LW185" s="111"/>
      <c r="LX185" s="111"/>
      <c r="LY185" s="111"/>
      <c r="LZ185" s="111"/>
      <c r="MA185" s="111"/>
      <c r="MB185" s="111"/>
      <c r="MC185" s="111"/>
      <c r="MD185" s="111"/>
      <c r="ME185" s="111"/>
      <c r="MF185" s="111"/>
      <c r="MG185" s="111"/>
      <c r="MH185" s="111"/>
      <c r="MI185" s="111"/>
    </row>
    <row r="186" spans="1:347" x14ac:dyDescent="0.25">
      <c r="A186" s="102" t="s">
        <v>76</v>
      </c>
      <c r="B186" s="127" t="s">
        <v>9</v>
      </c>
      <c r="C186" s="102"/>
      <c r="D186" s="102"/>
      <c r="E186" s="102"/>
      <c r="F186" s="102"/>
      <c r="G186" s="102"/>
      <c r="H186" s="102"/>
      <c r="I186" s="102"/>
      <c r="J186" s="102"/>
      <c r="K186" s="103"/>
      <c r="L186" s="111"/>
      <c r="M186" s="111"/>
      <c r="N186" s="112" t="str">
        <f>HYPERLINK("http://www.ag-fluechtlingshilfe-wetterau.de/uploads/infos/170.pdf","x")</f>
        <v>x</v>
      </c>
      <c r="O186" s="112"/>
      <c r="P186" s="112" t="str">
        <f>HYPERLINK("http://www.awb-ahrweiler.de/admin/data/ddownload/Abfall%20Sonderhinweise-Serbisch%202015.pdf","x")</f>
        <v>x</v>
      </c>
      <c r="Q186" s="112"/>
      <c r="R186" s="112"/>
      <c r="S186" s="112"/>
      <c r="T186" s="112"/>
      <c r="U186" s="112"/>
      <c r="V186" s="112"/>
      <c r="W186" s="111"/>
      <c r="X186" s="112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 t="str">
        <f>HYPERLINK("http://sghanstedt.elbnetz.com/ueber-uns/","x")</f>
        <v>x</v>
      </c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3"/>
      <c r="AW186" s="114" t="str">
        <f t="shared" si="55"/>
        <v>x</v>
      </c>
      <c r="AX186" s="114" t="str">
        <f t="shared" si="56"/>
        <v>x</v>
      </c>
      <c r="AY186" s="111"/>
      <c r="AZ186" s="111"/>
      <c r="BA186" s="112" t="str">
        <f t="shared" si="57"/>
        <v>x</v>
      </c>
      <c r="BB186" s="112" t="str">
        <f t="shared" si="58"/>
        <v>x</v>
      </c>
      <c r="BC186" s="111"/>
      <c r="BD186" s="111"/>
      <c r="BE186" s="111"/>
      <c r="BF186" s="111"/>
      <c r="BG186" s="111"/>
      <c r="BH186" s="112" t="str">
        <f>HYPERLINK("http://www.refugeephrasebook.de/pdf/germany150920.pdf","x")</f>
        <v>x</v>
      </c>
      <c r="BI186" s="112" t="str">
        <f>HYPERLINK("https://www.advanced-online.eu/downloads/RefugeePhrasebookCards_German-Bosnian-Croatian-Serbian.pdf","x")</f>
        <v>x</v>
      </c>
      <c r="BJ186" s="111"/>
      <c r="BK186" s="111"/>
      <c r="BL186" s="112" t="str">
        <f>HYPERLINK("http://www.bundessprachenamt.de/deutsch/wir_ueber_uns/nachrichten/2015/20151103/Verständigungshilfe_Serbisch_07_12_2015.pdf","x")</f>
        <v>x</v>
      </c>
      <c r="BM186" s="112" t="str">
        <f>HYPERLINK("http://www.frnrw.de/images/Aus_den_Initiativen/Ehrenamtler/2015/Dictionary_x10_print-2.pdf","x")</f>
        <v>x</v>
      </c>
      <c r="BN186" s="111"/>
      <c r="BO186" s="111"/>
      <c r="BP186" s="111"/>
      <c r="BQ186" s="111"/>
      <c r="BR186" s="111"/>
      <c r="BS186" s="112" t="str">
        <f t="shared" si="59"/>
        <v>x</v>
      </c>
      <c r="BT186" s="112"/>
      <c r="BU186" s="111"/>
      <c r="BV186" s="112" t="str">
        <f t="shared" si="60"/>
        <v>x</v>
      </c>
      <c r="BW186" s="112" t="str">
        <f>HYPERLINK("http://www.welcomegrooves.de/wp-content/uploads/2015/10/welcomegrooves_DE-BOSNISCH-SERBISCH_latein.pdf","x")</f>
        <v>x</v>
      </c>
      <c r="BX186" s="112"/>
      <c r="BY186" s="112"/>
      <c r="BZ186" s="112"/>
      <c r="CA186" s="112" t="str">
        <f t="shared" si="61"/>
        <v>x</v>
      </c>
      <c r="CB186" s="112" t="str">
        <f t="shared" si="62"/>
        <v>x</v>
      </c>
      <c r="CC186" s="112" t="str">
        <f t="shared" si="63"/>
        <v>x</v>
      </c>
      <c r="CD186" s="112"/>
      <c r="CE186" s="112"/>
      <c r="CF186" s="111"/>
      <c r="CG186" s="112" t="str">
        <f>HYPERLINK("http://www.braunschweig.de/leben/frauen/hilfe/Ohne-Gewalt-leben.pdf","x")</f>
        <v>x</v>
      </c>
      <c r="CH186" s="112" t="str">
        <f>HYPERLINK("http://mifkjf.rlp.de/fileadmin/mifkjf/Frauen/Gewalt_gegen_Frauen/Downloads/Broschueren_Flyer/Flyer_Gewalt_serbisch.pdf","x")</f>
        <v>x</v>
      </c>
      <c r="CI186" s="112"/>
      <c r="CJ186" s="112" t="str">
        <f>HYPERLINK("https://www.hilfetelefon.de/fileadmin/hilfetelefon_de/Materialien/weitere_werbemittel/Klappflyer_Vorder-_und_Rueckseite_opt2.pdf","x")</f>
        <v>x</v>
      </c>
      <c r="CK186" s="112" t="str">
        <f t="shared" si="64"/>
        <v>x</v>
      </c>
      <c r="CL186" s="112"/>
      <c r="CM186" s="112"/>
      <c r="CN186" s="112"/>
      <c r="CO186" s="112"/>
      <c r="CP186" s="112" t="str">
        <f>HYPERLINK("http://www.schwanger-und-viele-fragen.de/sr/","x")</f>
        <v>x</v>
      </c>
      <c r="CQ186" s="112"/>
      <c r="CR186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186" s="112"/>
      <c r="CT186" s="112"/>
      <c r="CU186" s="112"/>
      <c r="CV186" s="112"/>
      <c r="CW186" s="112"/>
      <c r="CX186" s="112"/>
      <c r="CY186" s="112"/>
      <c r="CZ186" s="112"/>
      <c r="DA186" s="112" t="str">
        <f>HYPERLINK("http://sichere-orte-schaffen.de/wp-content/uploads/Minibrosch_Fluechtlinge_multilang.pdf","x")</f>
        <v>x</v>
      </c>
      <c r="DB186" s="112"/>
      <c r="DC186" s="115"/>
      <c r="DD186" s="112"/>
      <c r="DE186" s="112"/>
      <c r="DF186" s="112" t="str">
        <f t="shared" si="65"/>
        <v>x</v>
      </c>
      <c r="DG186" s="115" t="str">
        <f t="shared" si="66"/>
        <v>x</v>
      </c>
      <c r="DH186" s="112" t="str">
        <f t="shared" si="67"/>
        <v>x</v>
      </c>
      <c r="DI186" s="112" t="str">
        <f t="shared" si="68"/>
        <v>x</v>
      </c>
      <c r="DJ186" s="112" t="str">
        <f>HYPERLINK("http://www.bibliomedia.ch/de/angebote/dokumente/Glossar_serbisch.pdf","x")</f>
        <v>x</v>
      </c>
      <c r="DK186" s="112"/>
      <c r="DL186" s="112" t="str">
        <f>HYPERLINK("http://www.carlsen.de/sites/default/files/Walter-ebook_serbisch_klein.pdf","x")</f>
        <v>x</v>
      </c>
      <c r="DM186" s="112"/>
      <c r="DN186" s="112"/>
      <c r="DO186" s="112"/>
      <c r="DP186" s="111"/>
      <c r="DQ186" s="112" t="str">
        <f>HYPERLINK("http://tipdoc.de/bus/grafik/kinder-tip/SCHULTIP_give_BulgRoSRB.pdf","x")</f>
        <v>x</v>
      </c>
      <c r="DR186" s="111"/>
      <c r="DS186" s="112" t="str">
        <f>HYPERLINK("http://bildung.koeln.de/materialbibliothek/download.php?idx=f09a11728f4654f447ae3a08d82e9a14","x")</f>
        <v>x</v>
      </c>
      <c r="DT186" s="112" t="str">
        <f>HYPERLINK("http://bildung.koeln.de/materialbibliothek/download.php?idx=710a401fffc6b79562005c71273ff463","x")</f>
        <v>x</v>
      </c>
      <c r="DU186" s="111"/>
      <c r="DV186" s="112" t="str">
        <f>HYPERLINK("https://www.bmbf.de/pub/Kausa_Elternbroschuere_bosn_kroat_serb.pdf","x")</f>
        <v>x</v>
      </c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2" t="str">
        <f>HYPERLINK("http://fluechtlingsrat-bw.de/files/Dateien/Dokumente/Materialbestellung/2014-12-flyer%20arbeitserlaubnis%20SRB%20WEB.pdf","x")</f>
        <v>x</v>
      </c>
      <c r="EL186" s="111"/>
      <c r="EM186" s="112" t="str">
        <f>HYPERLINK("http://www.kvs-sachsen.de/fileadmin/img/Mitglieder/Asylbewerber/Allg-Informationen/Anlage_1_Serbisch_LEK.pdf","x")</f>
        <v>x</v>
      </c>
      <c r="EN186" s="112" t="str">
        <f>HYPERLINK("http://www.medizin-hilft-fluechtlingen.de/images/Dokumente/gSch/gSch_ser.pdf","x")</f>
        <v>x</v>
      </c>
      <c r="EO186" s="112"/>
      <c r="EP186" s="117" t="str">
        <f>HYPERLINK("http://www.medi-bild.de/pdf/anamnese/Welche_Sprache.pdf","x")</f>
        <v>x</v>
      </c>
      <c r="EQ186" s="117" t="str">
        <f>HYPERLINK("http://www.medknowledge.de/migration/tipdoc/anamnesebogen/tipdoc_Anamnese_serb.pdf","x")</f>
        <v>x</v>
      </c>
      <c r="ER186" s="112" t="str">
        <f>HYPERLINK("http://www.kvs-sachsen.de/fileadmin/img/Mitglieder/Asylbewerber/Allg-Informationen/Anlagen_2-1_2-2_Serbisch_LEK.pdf","x")</f>
        <v>x</v>
      </c>
      <c r="ES186" s="111"/>
      <c r="ET186" s="111"/>
      <c r="EU186" s="112" t="str">
        <f>HYPERLINK("http://www.medizin-hilft-fluechtlingen.de/images/Dokumente/ein/ein_ser.pdf","x")</f>
        <v>x</v>
      </c>
      <c r="EV186" s="112"/>
      <c r="EW186" s="112" t="str">
        <f t="shared" si="69"/>
        <v>x</v>
      </c>
      <c r="EX186" s="111"/>
      <c r="EY186" s="111"/>
      <c r="EZ186" s="111"/>
      <c r="FA186" s="111"/>
      <c r="FB186" s="111"/>
      <c r="FC186" s="111"/>
      <c r="FD186" s="112" t="str">
        <f t="shared" si="70"/>
        <v>x</v>
      </c>
      <c r="FE186" s="112" t="str">
        <f>HYPERLINK("http://sghanstedt.elbnetz.com/ueber-uns/","x")</f>
        <v>x</v>
      </c>
      <c r="FF186" s="111"/>
      <c r="FG186" s="112" t="str">
        <f>HYPERLINK("http://www.tipdoc.de/grafik/asyl/Gesundheitsheft_Asyl.pdf","x")</f>
        <v>x</v>
      </c>
      <c r="FH186" s="111"/>
      <c r="FI186" s="111"/>
      <c r="FJ186" s="112"/>
      <c r="FK186" s="112" t="str">
        <f>HYPERLINK("http://www.rki.de/DE/Content/Infekt/Impfen/Materialien/Downloads-Impfkalender/Impfkalender_Serbisch.pdf?__blob=publicationFile","x")</f>
        <v>x</v>
      </c>
      <c r="FL186" s="112" t="str">
        <f>HYPERLINK("http://www.ethno-medizinisches-zentrum.de/images/PDF-Files/impfwegweiser_serbokroatisch_2013_online.pdf","x")</f>
        <v>x</v>
      </c>
      <c r="FM186" s="112"/>
      <c r="FN186" s="112" t="str">
        <f>HYPERLINK("http://www.rki.de/DE/Content/Infekt/Impfen/Materialien/Glossar-Downloads/glossar-de-serbisch.pdf?__blob=publicationFile","x")</f>
        <v>x</v>
      </c>
      <c r="FO186" s="112"/>
      <c r="FP186" s="112" t="str">
        <f>HYPERLINK("http://www.rki.de/DE/Content/Infekt/Impfen/Materialien/Downloads-MMR/MMR-Impfinfo-serbisch.pdf?__blob=publicationFile","x")</f>
        <v>x</v>
      </c>
      <c r="FQ186" s="111"/>
      <c r="FR186" s="112" t="str">
        <f>HYPERLINK("http://www.rki.de/DE/Content/Infekt/Impfen/Materialien/Downloads_HepA/Aufklaerung_HAV-Impfung_Serbisch.pdf?__blob=publicationFile","x")</f>
        <v>x</v>
      </c>
      <c r="FS186" s="112" t="str">
        <f>HYPERLINK("http://www.rki.de/DE/Content/Infekt/Impfen/Materialien/Downloads_Pneumokokken/Aufklaerung_Pneumo-Impfung_Serbisch.pdf?__blob=publicationFile","x")</f>
        <v>x</v>
      </c>
      <c r="FT186" s="112" t="str">
        <f>HYPERLINK("http://www.rki.de/DE/Content/Infekt/Impfen/Materialien/Downloads-DTaPIPVHibHepB/DTaPIPVHibHepB-serbisch.pdf?__blob=publicationFile","x")</f>
        <v>x</v>
      </c>
      <c r="FU186" s="112" t="str">
        <f>HYPERLINK("http://www.rki.de/DE/Content/Infekt/Impfen/Materialien/Downloads-Varizellen/Varizellen-Impfinfo-serbisch.pdf;jsessionid=65B697F4EE7EDA8A1ED9E2C4CD6C74EC.2_cid363?__blob=publicationFile","x")</f>
        <v>x</v>
      </c>
      <c r="FV186" s="112" t="str">
        <f>HYPERLINK("http://www.rki.de/DE/Content/Infekt/Impfen/Materialien/Downloads-Tdap-IPV/Tdap-IPV-serbisch.pdf?__blob=publicationFile","x")</f>
        <v>x</v>
      </c>
      <c r="FW186" s="112" t="str">
        <f>HYPERLINK("http://www.rki.de/DE/Content/Infekt/Impfen/Materialien/Downloads-Influenza_nasal/Influenza_nasal-serbisch.pdf?__blob=publicationFile","x")</f>
        <v>x</v>
      </c>
      <c r="FX186" s="111"/>
      <c r="FY186" s="111"/>
      <c r="FZ186" s="111"/>
      <c r="GA186" s="111"/>
      <c r="GB186" s="111"/>
      <c r="GC186" s="111"/>
      <c r="GD186" s="112" t="str">
        <f>HYPERLINK("http://www.ethno-medizinisches-zentrum.de/images/PDF-Files/lf_diabete_serbokroatisch.pdf","x")</f>
        <v>x</v>
      </c>
      <c r="GE186" s="111"/>
      <c r="GF186" s="111"/>
      <c r="GG186" s="111"/>
      <c r="GH186" s="112"/>
      <c r="GI186" s="111"/>
      <c r="GJ186" s="111"/>
      <c r="GK186" s="112" t="str">
        <f>HYPERLINK("http://www.tipdoc.de/bus/pdf/hiv/HIV%20SRF_Webseite.pdf","x")</f>
        <v>x</v>
      </c>
      <c r="GL186" s="111"/>
      <c r="GM186" s="112" t="str">
        <f>HYPERLINK("http://www.rki.de/DE/Content/Infekt/Impfen/Materialien/Downloads-Influenza/Influenza-serbisch.pdf?__blob=publicationFile","x")</f>
        <v>x</v>
      </c>
      <c r="GN186" s="111"/>
      <c r="GO186" s="111"/>
      <c r="GP186" s="112" t="str">
        <f>HYPERLINK("http://www.tipdoc.de/grafik/pdf/kopflaeuse/Kopflaeuse_SERB.pdf","x")</f>
        <v>x</v>
      </c>
      <c r="GQ186" s="112"/>
      <c r="GR186" s="112" t="str">
        <f>HYPERLINK("http://www.tipdoc.com/bus/pdf/kraetze/tipdoc_Scabies_SERB.pdf","x")</f>
        <v>x</v>
      </c>
      <c r="GS186" s="112" t="str">
        <f>HYPERLINK("http://www.tipdoc.com/bus/pdf/MagenDarmHaende/MagenDarmHaende_SERB.pdf","x")</f>
        <v>x</v>
      </c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2" t="str">
        <f t="shared" si="71"/>
        <v>x</v>
      </c>
      <c r="HD186" s="111"/>
      <c r="HE186" s="111"/>
      <c r="HF186" s="111"/>
      <c r="HG186" s="111"/>
      <c r="HH186" s="111"/>
      <c r="HI186" s="111"/>
      <c r="HJ186" s="111"/>
      <c r="HK186" s="112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2" t="str">
        <f>HYPERLINK("http://www.bkk-psychisch-gesund.de/fileadmin/user_upload/Dokumente/Versicherte/Broschueren/Wegweiser_Psychotherapie_serbokroatisch.pdf","x")</f>
        <v>x</v>
      </c>
      <c r="HY186" s="112" t="str">
        <f t="shared" si="72"/>
        <v>x</v>
      </c>
      <c r="HZ186" s="112" t="str">
        <f t="shared" si="73"/>
        <v>x</v>
      </c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2" t="str">
        <f>HYPERLINK("http://www.berlin.de/labo/willkommen-in-berlin/service/downloads/artikel.273193.php","x")</f>
        <v>x</v>
      </c>
      <c r="IY186" s="112" t="str">
        <f>HYPERLINK("http://www.bamf.de/SharedDocs/Anlagen/DE/Publikationen/Broschueren/broschuere-eat-a4-sr-serbisch.pdf?__blob=publicationFile","x")</f>
        <v>x</v>
      </c>
      <c r="IZ186" s="111"/>
      <c r="JA186" s="111"/>
      <c r="JB186" s="111"/>
      <c r="JC186" s="112" t="str">
        <f>HYPERLINK("http://www.bamf.de/SharedDocs/Anlagen/DE/Publikationen/Flyer/20140110_ura2-kinderprojekt_serb.pdf?__blob=publicationFile","x")</f>
        <v>x</v>
      </c>
      <c r="JD186" s="111"/>
      <c r="JE186" s="111"/>
      <c r="JF186" s="111"/>
      <c r="JG186" s="111"/>
      <c r="JH186" s="111"/>
      <c r="JI186" s="111"/>
      <c r="JJ186" s="111"/>
      <c r="JK186" s="111"/>
      <c r="JL186" s="111"/>
      <c r="JM186" s="112" t="str">
        <f>HYPERLINK("https://www.arbeitsagentur.de/web/content/DE/Formulare/Detail/index.htm?dfContentId=L6019022DSTBAI485740","x")</f>
        <v>x</v>
      </c>
      <c r="JN186" s="111"/>
      <c r="JO186" s="111"/>
      <c r="JP186" s="111"/>
      <c r="JQ186" s="111"/>
      <c r="JR186" s="112" t="str">
        <f>HYPERLINK("http://www.ibla-germany.de/merkblaetter.php","x")</f>
        <v>x</v>
      </c>
      <c r="JS186" s="111"/>
      <c r="JT186" s="111"/>
      <c r="JU186" s="111"/>
      <c r="JV186" s="111"/>
      <c r="JW186" s="112"/>
      <c r="JX186" s="111"/>
      <c r="JY186" s="112"/>
      <c r="JZ186" s="112"/>
      <c r="KA186" s="112"/>
      <c r="KB186" s="112" t="str">
        <f>HYPERLINK("http://www.refugeeguide.de/dl/RefugeeGuide_sl_1005.pdf","x")</f>
        <v>x</v>
      </c>
      <c r="KC186" s="111"/>
      <c r="KD186" s="111"/>
      <c r="KE186" s="111"/>
      <c r="KF186" s="111"/>
      <c r="KG186" s="112"/>
      <c r="KH186" s="112"/>
      <c r="KI186" s="112"/>
      <c r="KJ186" s="112"/>
      <c r="KK186" s="112"/>
      <c r="KL186" s="112"/>
      <c r="KM186" s="112"/>
      <c r="KN186" s="112"/>
      <c r="KO186" s="112"/>
      <c r="KP186" s="112"/>
      <c r="KQ186" s="112"/>
      <c r="KR186" s="112"/>
      <c r="KS186" s="112"/>
      <c r="KT186" s="112"/>
      <c r="KU186" s="112"/>
      <c r="KV186" s="112"/>
      <c r="KW186" s="112"/>
      <c r="KX186" s="112"/>
      <c r="KY186" s="112"/>
      <c r="KZ186" s="112"/>
      <c r="LA186" s="112"/>
      <c r="LB186" s="112"/>
      <c r="LC186" s="111"/>
      <c r="LD186" s="111"/>
      <c r="LE186" s="111"/>
      <c r="LF186" s="111"/>
      <c r="LG186" s="111"/>
      <c r="LH186" s="111"/>
      <c r="LI186" s="111"/>
      <c r="LJ186" s="111"/>
      <c r="LK186" s="111"/>
      <c r="LL186" s="111"/>
      <c r="LM186" s="111"/>
      <c r="LN186" s="111"/>
      <c r="LO186" s="111"/>
      <c r="LP186" s="111"/>
      <c r="LQ186" s="111"/>
      <c r="LR186" s="111"/>
      <c r="LS186" s="111"/>
      <c r="LT186" s="111"/>
      <c r="LU186" s="111"/>
      <c r="LV186" s="111"/>
      <c r="LW186" s="111"/>
      <c r="LX186" s="111"/>
      <c r="LY186" s="111"/>
      <c r="LZ186" s="111"/>
      <c r="MA186" s="111"/>
      <c r="MB186" s="111"/>
      <c r="MC186" s="111"/>
      <c r="MD186" s="111"/>
      <c r="ME186" s="111"/>
      <c r="MF186" s="111"/>
      <c r="MG186" s="111"/>
      <c r="MH186" s="111"/>
      <c r="MI186" s="111"/>
    </row>
    <row r="187" spans="1:347" x14ac:dyDescent="0.25">
      <c r="A187" s="102" t="s">
        <v>76</v>
      </c>
      <c r="B187" s="127" t="s">
        <v>8</v>
      </c>
      <c r="C187" s="102"/>
      <c r="D187" s="102"/>
      <c r="E187" s="102"/>
      <c r="F187" s="102"/>
      <c r="G187" s="102"/>
      <c r="H187" s="102"/>
      <c r="I187" s="102"/>
      <c r="J187" s="102"/>
      <c r="K187" s="103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3"/>
      <c r="AW187" s="114" t="str">
        <f t="shared" si="55"/>
        <v>x</v>
      </c>
      <c r="AX187" s="114" t="str">
        <f t="shared" si="56"/>
        <v>x</v>
      </c>
      <c r="AY187" s="111"/>
      <c r="AZ187" s="111"/>
      <c r="BA187" s="112" t="str">
        <f t="shared" si="57"/>
        <v>x</v>
      </c>
      <c r="BB187" s="112" t="str">
        <f t="shared" si="58"/>
        <v>x</v>
      </c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2" t="str">
        <f t="shared" si="59"/>
        <v>x</v>
      </c>
      <c r="BT187" s="112"/>
      <c r="BU187" s="111"/>
      <c r="BV187" s="112" t="str">
        <f t="shared" si="60"/>
        <v>x</v>
      </c>
      <c r="BW187" s="112" t="str">
        <f>HYPERLINK("http://www.welcomegrooves.de/wp-content/uploads/2015/10/welcomegrooves_DE-SERBISCH-KYRILLISCH.pdf","x")</f>
        <v>x</v>
      </c>
      <c r="BX187" s="112"/>
      <c r="BY187" s="112"/>
      <c r="BZ187" s="112"/>
      <c r="CA187" s="112" t="str">
        <f t="shared" si="61"/>
        <v>x</v>
      </c>
      <c r="CB187" s="112" t="str">
        <f t="shared" si="62"/>
        <v>x</v>
      </c>
      <c r="CC187" s="112" t="str">
        <f t="shared" si="63"/>
        <v>x</v>
      </c>
      <c r="CD187" s="112"/>
      <c r="CE187" s="112"/>
      <c r="CF187" s="111"/>
      <c r="CG187" s="111"/>
      <c r="CH187" s="111"/>
      <c r="CI187" s="111"/>
      <c r="CJ187" s="111"/>
      <c r="CK187" s="112" t="str">
        <f t="shared" si="64"/>
        <v>x</v>
      </c>
      <c r="CL187" s="112"/>
      <c r="CM187" s="112"/>
      <c r="CN187" s="112"/>
      <c r="CO187" s="112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2"/>
      <c r="DA187" s="112"/>
      <c r="DB187" s="112"/>
      <c r="DC187" s="115"/>
      <c r="DD187" s="112"/>
      <c r="DE187" s="112"/>
      <c r="DF187" s="112" t="str">
        <f t="shared" si="65"/>
        <v>x</v>
      </c>
      <c r="DG187" s="115" t="str">
        <f t="shared" si="66"/>
        <v>x</v>
      </c>
      <c r="DH187" s="112" t="str">
        <f t="shared" si="67"/>
        <v>x</v>
      </c>
      <c r="DI187" s="112" t="str">
        <f t="shared" si="68"/>
        <v>x</v>
      </c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8"/>
      <c r="EQ187" s="118"/>
      <c r="ER187" s="111"/>
      <c r="ES187" s="111"/>
      <c r="ET187" s="111"/>
      <c r="EU187" s="111"/>
      <c r="EV187" s="111"/>
      <c r="EW187" s="112" t="str">
        <f t="shared" si="69"/>
        <v>x</v>
      </c>
      <c r="EX187" s="111"/>
      <c r="EY187" s="111"/>
      <c r="EZ187" s="111"/>
      <c r="FA187" s="111"/>
      <c r="FB187" s="111"/>
      <c r="FC187" s="111"/>
      <c r="FD187" s="112" t="str">
        <f t="shared" si="70"/>
        <v>x</v>
      </c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2" t="str">
        <f t="shared" si="71"/>
        <v>x</v>
      </c>
      <c r="HD187" s="112" t="str">
        <f>HYPERLINK("https://www.zahnaerzte-wl.de/images/_PDF-suche/KZV_ZÄK/ENDSTAND_Ankreuzbogen_Ich_verstehe.pdf","x")</f>
        <v>x</v>
      </c>
      <c r="HE187" s="112" t="str">
        <f>HYPERLINK("https://www.zahnaerzte-wl.de/images/_PDF-suche/KZV_ZÄK/Anschreiben_Patienten_serbisch.pdf","x")</f>
        <v>x</v>
      </c>
      <c r="HF187" s="112" t="str">
        <f>HYPERLINK("https://www.zahnaerzte-wl.de/images/_PDF-suche/KZV_ZÄK/Fragebogen_serbisch.pdf","x")</f>
        <v>x</v>
      </c>
      <c r="HG187" s="112" t="str">
        <f>HYPERLINK("https://www.zahnaerzte-wl.de/images/_PDF-suche/KZV_ZÄK/Patientenerhebungsbogen_serbisch.pdf","x")</f>
        <v>x</v>
      </c>
      <c r="HH187" s="112"/>
      <c r="HI187" s="112"/>
      <c r="HJ187" s="112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2" t="str">
        <f t="shared" si="72"/>
        <v>x</v>
      </c>
      <c r="HZ187" s="112" t="str">
        <f t="shared" si="73"/>
        <v>x</v>
      </c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  <c r="IY187" s="111"/>
      <c r="IZ187" s="111"/>
      <c r="JA187" s="111"/>
      <c r="JB187" s="111"/>
      <c r="JC187" s="111"/>
      <c r="JD187" s="111"/>
      <c r="JE187" s="111"/>
      <c r="JF187" s="111"/>
      <c r="JG187" s="111"/>
      <c r="JH187" s="111"/>
      <c r="JI187" s="111"/>
      <c r="JJ187" s="111"/>
      <c r="JK187" s="111"/>
      <c r="JL187" s="111"/>
      <c r="JM187" s="111"/>
      <c r="JN187" s="111"/>
      <c r="JO187" s="111"/>
      <c r="JP187" s="111"/>
      <c r="JQ187" s="111"/>
      <c r="JR187" s="111"/>
      <c r="JS187" s="111"/>
      <c r="JT187" s="111"/>
      <c r="JU187" s="111"/>
      <c r="JV187" s="111"/>
      <c r="JW187" s="111"/>
      <c r="JX187" s="111"/>
      <c r="JY187" s="112"/>
      <c r="JZ187" s="112"/>
      <c r="KA187" s="112"/>
      <c r="KB187" s="112" t="str">
        <f>HYPERLINK("http://www.refugeeguide.de/dl/RefugeeGuide_sk_1005.pdf","x")</f>
        <v>x</v>
      </c>
      <c r="KC187" s="111"/>
      <c r="KD187" s="111"/>
      <c r="KE187" s="112" t="str">
        <f>HYPERLINK("http://www.frauenrechte.de/online/images/downloads/allgemein/TDF_Flyer_Women_Men.pdf","x")</f>
        <v>x</v>
      </c>
      <c r="KF187" s="111"/>
      <c r="KG187" s="112"/>
      <c r="KH187" s="112"/>
      <c r="KI187" s="112"/>
      <c r="KJ187" s="112"/>
      <c r="KK187" s="112"/>
      <c r="KL187" s="112"/>
      <c r="KM187" s="112"/>
      <c r="KN187" s="112"/>
      <c r="KO187" s="112"/>
      <c r="KP187" s="112"/>
      <c r="KQ187" s="112"/>
      <c r="KR187" s="112"/>
      <c r="KS187" s="112"/>
      <c r="KT187" s="112"/>
      <c r="KU187" s="112"/>
      <c r="KV187" s="112"/>
      <c r="KW187" s="112"/>
      <c r="KX187" s="112"/>
      <c r="KY187" s="112"/>
      <c r="KZ187" s="112"/>
      <c r="LA187" s="112"/>
      <c r="LB187" s="112"/>
      <c r="LC187" s="111"/>
      <c r="LD187" s="111"/>
      <c r="LE187" s="111"/>
      <c r="LF187" s="111"/>
      <c r="LG187" s="111"/>
      <c r="LH187" s="111"/>
      <c r="LI187" s="111"/>
      <c r="LJ187" s="111"/>
      <c r="LK187" s="111"/>
      <c r="LL187" s="111"/>
      <c r="LM187" s="111"/>
      <c r="LN187" s="111"/>
      <c r="LO187" s="111"/>
      <c r="LP187" s="111"/>
      <c r="LQ187" s="111"/>
      <c r="LR187" s="111"/>
      <c r="LS187" s="111"/>
      <c r="LT187" s="111"/>
      <c r="LU187" s="111"/>
      <c r="LV187" s="111"/>
      <c r="LW187" s="111"/>
      <c r="LX187" s="111"/>
      <c r="LY187" s="111"/>
      <c r="LZ187" s="111"/>
      <c r="MA187" s="111"/>
      <c r="MB187" s="111"/>
      <c r="MC187" s="111"/>
      <c r="MD187" s="111"/>
      <c r="ME187" s="111"/>
      <c r="MF187" s="111"/>
      <c r="MG187" s="111"/>
      <c r="MH187" s="111"/>
      <c r="MI187" s="111"/>
    </row>
    <row r="188" spans="1:347" x14ac:dyDescent="0.25">
      <c r="A188" s="102" t="s">
        <v>76</v>
      </c>
      <c r="B188" s="127" t="s">
        <v>478</v>
      </c>
      <c r="C188" s="102"/>
      <c r="D188" s="102"/>
      <c r="E188" s="102"/>
      <c r="F188" s="102"/>
      <c r="G188" s="102"/>
      <c r="H188" s="102"/>
      <c r="I188" s="102"/>
      <c r="J188" s="102"/>
      <c r="K188" s="103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3"/>
      <c r="AW188" s="114" t="str">
        <f t="shared" si="55"/>
        <v>x</v>
      </c>
      <c r="AX188" s="114" t="str">
        <f t="shared" si="56"/>
        <v>x</v>
      </c>
      <c r="AY188" s="111"/>
      <c r="AZ188" s="111"/>
      <c r="BA188" s="112" t="str">
        <f t="shared" si="57"/>
        <v>x</v>
      </c>
      <c r="BB188" s="112" t="str">
        <f t="shared" si="58"/>
        <v>x</v>
      </c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2" t="str">
        <f t="shared" si="59"/>
        <v>x</v>
      </c>
      <c r="BT188" s="112"/>
      <c r="BU188" s="111"/>
      <c r="BV188" s="112" t="str">
        <f t="shared" si="60"/>
        <v>x</v>
      </c>
      <c r="BW188" s="112"/>
      <c r="BX188" s="112"/>
      <c r="BY188" s="112"/>
      <c r="BZ188" s="112"/>
      <c r="CA188" s="112" t="str">
        <f t="shared" si="61"/>
        <v>x</v>
      </c>
      <c r="CB188" s="112" t="str">
        <f t="shared" si="62"/>
        <v>x</v>
      </c>
      <c r="CC188" s="112" t="str">
        <f t="shared" si="63"/>
        <v>x</v>
      </c>
      <c r="CD188" s="112"/>
      <c r="CE188" s="112"/>
      <c r="CF188" s="111"/>
      <c r="CG188" s="111"/>
      <c r="CH188" s="111"/>
      <c r="CI188" s="111"/>
      <c r="CJ188" s="111"/>
      <c r="CK188" s="112" t="str">
        <f t="shared" si="64"/>
        <v>x</v>
      </c>
      <c r="CL188" s="112"/>
      <c r="CM188" s="112"/>
      <c r="CN188" s="112"/>
      <c r="CO188" s="112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2"/>
      <c r="DA188" s="112"/>
      <c r="DB188" s="112"/>
      <c r="DC188" s="115"/>
      <c r="DD188" s="112"/>
      <c r="DE188" s="112"/>
      <c r="DF188" s="112" t="str">
        <f t="shared" si="65"/>
        <v>x</v>
      </c>
      <c r="DG188" s="115" t="str">
        <f t="shared" si="66"/>
        <v>x</v>
      </c>
      <c r="DH188" s="112" t="str">
        <f t="shared" si="67"/>
        <v>x</v>
      </c>
      <c r="DI188" s="112" t="str">
        <f t="shared" si="68"/>
        <v>x</v>
      </c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8"/>
      <c r="EQ188" s="118"/>
      <c r="ER188" s="111"/>
      <c r="ES188" s="111"/>
      <c r="ET188" s="111"/>
      <c r="EU188" s="111"/>
      <c r="EV188" s="111"/>
      <c r="EW188" s="112" t="str">
        <f t="shared" si="69"/>
        <v>x</v>
      </c>
      <c r="EX188" s="111"/>
      <c r="EY188" s="111"/>
      <c r="EZ188" s="111"/>
      <c r="FA188" s="111"/>
      <c r="FB188" s="111"/>
      <c r="FC188" s="111"/>
      <c r="FD188" s="112" t="str">
        <f t="shared" si="70"/>
        <v>x</v>
      </c>
      <c r="FE188" s="112" t="str">
        <f>HYPERLINK("http://sghanstedt.elbnetz.com/ueber-uns/","x")</f>
        <v>x</v>
      </c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2" t="str">
        <f t="shared" si="71"/>
        <v>x</v>
      </c>
      <c r="HD188" s="112"/>
      <c r="HE188" s="112"/>
      <c r="HF188" s="112"/>
      <c r="HG188" s="112"/>
      <c r="HH188" s="112"/>
      <c r="HI188" s="112"/>
      <c r="HJ188" s="112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2" t="str">
        <f t="shared" si="72"/>
        <v>x</v>
      </c>
      <c r="HZ188" s="112" t="str">
        <f t="shared" si="73"/>
        <v>x</v>
      </c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1"/>
      <c r="IZ188" s="111"/>
      <c r="JA188" s="111"/>
      <c r="JB188" s="111"/>
      <c r="JC188" s="111"/>
      <c r="JD188" s="111"/>
      <c r="JE188" s="111"/>
      <c r="JF188" s="111"/>
      <c r="JG188" s="111"/>
      <c r="JH188" s="111"/>
      <c r="JI188" s="111"/>
      <c r="JJ188" s="111"/>
      <c r="JK188" s="111"/>
      <c r="JL188" s="111"/>
      <c r="JM188" s="111"/>
      <c r="JN188" s="111"/>
      <c r="JO188" s="111"/>
      <c r="JP188" s="111"/>
      <c r="JQ188" s="111"/>
      <c r="JR188" s="112" t="str">
        <f>HYPERLINK("http://www.ibla-germany.de/merkblaetter.php","x")</f>
        <v>x</v>
      </c>
      <c r="JS188" s="111"/>
      <c r="JT188" s="111"/>
      <c r="JU188" s="111"/>
      <c r="JV188" s="111"/>
      <c r="JW188" s="111"/>
      <c r="JX188" s="111"/>
      <c r="JY188" s="112"/>
      <c r="JZ188" s="112"/>
      <c r="KA188" s="112"/>
      <c r="KB188" s="112"/>
      <c r="KC188" s="111"/>
      <c r="KD188" s="111"/>
      <c r="KE188" s="111"/>
      <c r="KF188" s="111"/>
      <c r="KG188" s="112"/>
      <c r="KH188" s="112"/>
      <c r="KI188" s="112"/>
      <c r="KJ188" s="112"/>
      <c r="KK188" s="112"/>
      <c r="KL188" s="112"/>
      <c r="KM188" s="112"/>
      <c r="KN188" s="112"/>
      <c r="KO188" s="112"/>
      <c r="KP188" s="112"/>
      <c r="KQ188" s="112"/>
      <c r="KR188" s="112"/>
      <c r="KS188" s="112"/>
      <c r="KT188" s="112"/>
      <c r="KU188" s="112"/>
      <c r="KV188" s="112"/>
      <c r="KW188" s="112"/>
      <c r="KX188" s="112"/>
      <c r="KY188" s="112"/>
      <c r="KZ188" s="112"/>
      <c r="LA188" s="112"/>
      <c r="LB188" s="112"/>
      <c r="LC188" s="111"/>
      <c r="LD188" s="111"/>
      <c r="LE188" s="111"/>
      <c r="LF188" s="111"/>
      <c r="LG188" s="111"/>
      <c r="LH188" s="111"/>
      <c r="LI188" s="111"/>
      <c r="LJ188" s="111"/>
      <c r="LK188" s="111"/>
      <c r="LL188" s="111"/>
      <c r="LM188" s="111"/>
      <c r="LN188" s="111"/>
      <c r="LO188" s="111"/>
      <c r="LP188" s="111"/>
      <c r="LQ188" s="111"/>
      <c r="LR188" s="111"/>
      <c r="LS188" s="111"/>
      <c r="LT188" s="111"/>
      <c r="LU188" s="111"/>
      <c r="LV188" s="111"/>
      <c r="LW188" s="111"/>
      <c r="LX188" s="111"/>
      <c r="LY188" s="111"/>
      <c r="LZ188" s="111"/>
      <c r="MA188" s="111"/>
      <c r="MB188" s="111"/>
      <c r="MC188" s="111"/>
      <c r="MD188" s="111"/>
      <c r="ME188" s="111"/>
      <c r="MF188" s="111"/>
      <c r="MG188" s="111"/>
      <c r="MH188" s="111"/>
      <c r="MI188" s="111"/>
    </row>
    <row r="189" spans="1:347" x14ac:dyDescent="0.25">
      <c r="A189" s="102" t="s">
        <v>76</v>
      </c>
      <c r="B189" s="127" t="s">
        <v>479</v>
      </c>
      <c r="C189" s="102"/>
      <c r="D189" s="102"/>
      <c r="E189" s="102"/>
      <c r="F189" s="102"/>
      <c r="G189" s="102"/>
      <c r="H189" s="102"/>
      <c r="I189" s="102"/>
      <c r="J189" s="102"/>
      <c r="K189" s="103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3"/>
      <c r="AW189" s="114" t="str">
        <f t="shared" si="55"/>
        <v>x</v>
      </c>
      <c r="AX189" s="114" t="str">
        <f t="shared" si="56"/>
        <v>x</v>
      </c>
      <c r="AY189" s="111"/>
      <c r="AZ189" s="111"/>
      <c r="BA189" s="112" t="str">
        <f t="shared" si="57"/>
        <v>x</v>
      </c>
      <c r="BB189" s="112" t="str">
        <f t="shared" si="58"/>
        <v>x</v>
      </c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2" t="str">
        <f t="shared" si="59"/>
        <v>x</v>
      </c>
      <c r="BT189" s="112"/>
      <c r="BU189" s="111"/>
      <c r="BV189" s="112" t="str">
        <f t="shared" si="60"/>
        <v>x</v>
      </c>
      <c r="BW189" s="112"/>
      <c r="BX189" s="112"/>
      <c r="BY189" s="112"/>
      <c r="BZ189" s="112"/>
      <c r="CA189" s="112" t="str">
        <f t="shared" si="61"/>
        <v>x</v>
      </c>
      <c r="CB189" s="112" t="str">
        <f t="shared" si="62"/>
        <v>x</v>
      </c>
      <c r="CC189" s="112" t="str">
        <f t="shared" si="63"/>
        <v>x</v>
      </c>
      <c r="CD189" s="112"/>
      <c r="CE189" s="112"/>
      <c r="CF189" s="111"/>
      <c r="CG189" s="111"/>
      <c r="CH189" s="111"/>
      <c r="CI189" s="111"/>
      <c r="CJ189" s="111"/>
      <c r="CK189" s="112" t="str">
        <f t="shared" si="64"/>
        <v>x</v>
      </c>
      <c r="CL189" s="112"/>
      <c r="CM189" s="112"/>
      <c r="CN189" s="112"/>
      <c r="CO189" s="112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2"/>
      <c r="DA189" s="112"/>
      <c r="DB189" s="112"/>
      <c r="DC189" s="115"/>
      <c r="DD189" s="112"/>
      <c r="DE189" s="112"/>
      <c r="DF189" s="112" t="str">
        <f t="shared" si="65"/>
        <v>x</v>
      </c>
      <c r="DG189" s="115" t="str">
        <f t="shared" si="66"/>
        <v>x</v>
      </c>
      <c r="DH189" s="112" t="str">
        <f t="shared" si="67"/>
        <v>x</v>
      </c>
      <c r="DI189" s="112" t="str">
        <f t="shared" si="68"/>
        <v>x</v>
      </c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8"/>
      <c r="EQ189" s="118"/>
      <c r="ER189" s="111"/>
      <c r="ES189" s="111"/>
      <c r="ET189" s="111"/>
      <c r="EU189" s="111"/>
      <c r="EV189" s="111"/>
      <c r="EW189" s="112" t="str">
        <f t="shared" si="69"/>
        <v>x</v>
      </c>
      <c r="EX189" s="111"/>
      <c r="EY189" s="111"/>
      <c r="EZ189" s="111"/>
      <c r="FA189" s="111"/>
      <c r="FB189" s="111"/>
      <c r="FC189" s="111"/>
      <c r="FD189" s="112" t="str">
        <f t="shared" si="70"/>
        <v>x</v>
      </c>
      <c r="FE189" s="112" t="str">
        <f>HYPERLINK("http://sghanstedt.elbnetz.com/ueber-uns/","x")</f>
        <v>x</v>
      </c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2" t="str">
        <f t="shared" si="71"/>
        <v>x</v>
      </c>
      <c r="HD189" s="112"/>
      <c r="HE189" s="112"/>
      <c r="HF189" s="112"/>
      <c r="HG189" s="112"/>
      <c r="HH189" s="112"/>
      <c r="HI189" s="112"/>
      <c r="HJ189" s="112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2" t="str">
        <f t="shared" si="72"/>
        <v>x</v>
      </c>
      <c r="HZ189" s="112" t="str">
        <f t="shared" si="73"/>
        <v>x</v>
      </c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1"/>
      <c r="IZ189" s="111"/>
      <c r="JA189" s="111"/>
      <c r="JB189" s="111"/>
      <c r="JC189" s="111"/>
      <c r="JD189" s="111"/>
      <c r="JE189" s="111"/>
      <c r="JF189" s="111"/>
      <c r="JG189" s="111"/>
      <c r="JH189" s="111"/>
      <c r="JI189" s="111"/>
      <c r="JJ189" s="111"/>
      <c r="JK189" s="111"/>
      <c r="JL189" s="111"/>
      <c r="JM189" s="111"/>
      <c r="JN189" s="111"/>
      <c r="JO189" s="111"/>
      <c r="JP189" s="111"/>
      <c r="JQ189" s="111"/>
      <c r="JR189" s="112" t="str">
        <f>HYPERLINK("http://www.ibla-germany.de/merkblaetter.php","x")</f>
        <v>x</v>
      </c>
      <c r="JS189" s="111"/>
      <c r="JT189" s="111"/>
      <c r="JU189" s="111"/>
      <c r="JV189" s="111"/>
      <c r="JW189" s="111"/>
      <c r="JX189" s="111"/>
      <c r="JY189" s="112"/>
      <c r="JZ189" s="112"/>
      <c r="KA189" s="112"/>
      <c r="KB189" s="112"/>
      <c r="KC189" s="111"/>
      <c r="KD189" s="111"/>
      <c r="KE189" s="111"/>
      <c r="KF189" s="111"/>
      <c r="KG189" s="112"/>
      <c r="KH189" s="112"/>
      <c r="KI189" s="112"/>
      <c r="KJ189" s="112"/>
      <c r="KK189" s="112"/>
      <c r="KL189" s="112"/>
      <c r="KM189" s="112"/>
      <c r="KN189" s="112"/>
      <c r="KO189" s="112"/>
      <c r="KP189" s="112"/>
      <c r="KQ189" s="112"/>
      <c r="KR189" s="112"/>
      <c r="KS189" s="112"/>
      <c r="KT189" s="112"/>
      <c r="KU189" s="112"/>
      <c r="KV189" s="112"/>
      <c r="KW189" s="112"/>
      <c r="KX189" s="112"/>
      <c r="KY189" s="112"/>
      <c r="KZ189" s="112"/>
      <c r="LA189" s="112"/>
      <c r="LB189" s="112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  <c r="MI189" s="111"/>
    </row>
    <row r="190" spans="1:347" x14ac:dyDescent="0.25">
      <c r="A190" s="102" t="s">
        <v>76</v>
      </c>
      <c r="B190" s="127" t="s">
        <v>130</v>
      </c>
      <c r="C190" s="102"/>
      <c r="D190" s="102"/>
      <c r="E190" s="102"/>
      <c r="F190" s="102"/>
      <c r="G190" s="102"/>
      <c r="H190" s="102"/>
      <c r="I190" s="102"/>
      <c r="J190" s="102"/>
      <c r="K190" s="103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3"/>
      <c r="AW190" s="114" t="str">
        <f t="shared" si="55"/>
        <v>x</v>
      </c>
      <c r="AX190" s="114" t="str">
        <f t="shared" si="56"/>
        <v>x</v>
      </c>
      <c r="AY190" s="111"/>
      <c r="AZ190" s="111"/>
      <c r="BA190" s="112" t="str">
        <f t="shared" si="57"/>
        <v>x</v>
      </c>
      <c r="BB190" s="112" t="str">
        <f t="shared" si="58"/>
        <v>x</v>
      </c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2" t="str">
        <f t="shared" si="59"/>
        <v>x</v>
      </c>
      <c r="BT190" s="112"/>
      <c r="BU190" s="111"/>
      <c r="BV190" s="112" t="str">
        <f t="shared" si="60"/>
        <v>x</v>
      </c>
      <c r="BW190" s="112"/>
      <c r="BX190" s="112"/>
      <c r="BY190" s="112"/>
      <c r="BZ190" s="112"/>
      <c r="CA190" s="112" t="str">
        <f t="shared" si="61"/>
        <v>x</v>
      </c>
      <c r="CB190" s="112" t="str">
        <f t="shared" si="62"/>
        <v>x</v>
      </c>
      <c r="CC190" s="112" t="str">
        <f t="shared" si="63"/>
        <v>x</v>
      </c>
      <c r="CD190" s="112"/>
      <c r="CE190" s="112"/>
      <c r="CF190" s="111"/>
      <c r="CG190" s="111"/>
      <c r="CH190" s="111"/>
      <c r="CI190" s="111"/>
      <c r="CJ190" s="111"/>
      <c r="CK190" s="112" t="str">
        <f t="shared" si="64"/>
        <v>x</v>
      </c>
      <c r="CL190" s="112"/>
      <c r="CM190" s="112"/>
      <c r="CN190" s="112"/>
      <c r="CO190" s="112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2"/>
      <c r="DA190" s="112"/>
      <c r="DB190" s="112"/>
      <c r="DC190" s="115"/>
      <c r="DD190" s="112"/>
      <c r="DE190" s="112"/>
      <c r="DF190" s="112" t="str">
        <f t="shared" si="65"/>
        <v>x</v>
      </c>
      <c r="DG190" s="115" t="str">
        <f t="shared" si="66"/>
        <v>x</v>
      </c>
      <c r="DH190" s="112" t="str">
        <f t="shared" si="67"/>
        <v>x</v>
      </c>
      <c r="DI190" s="112" t="str">
        <f t="shared" si="68"/>
        <v>x</v>
      </c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7"/>
      <c r="EQ190" s="117" t="str">
        <f>HYPERLINK("http://www.armut-gesundheit.de/fileadmin/redakteur/dokumente/Anamnesebogen%20-%20ungarischnew.pdf","x")</f>
        <v>x</v>
      </c>
      <c r="ER190" s="111"/>
      <c r="ES190" s="111"/>
      <c r="ET190" s="111"/>
      <c r="EU190" s="111"/>
      <c r="EV190" s="111"/>
      <c r="EW190" s="112" t="str">
        <f t="shared" si="69"/>
        <v>x</v>
      </c>
      <c r="EX190" s="111"/>
      <c r="EY190" s="111"/>
      <c r="EZ190" s="111"/>
      <c r="FA190" s="111"/>
      <c r="FB190" s="111"/>
      <c r="FC190" s="111"/>
      <c r="FD190" s="112" t="str">
        <f t="shared" si="70"/>
        <v>x</v>
      </c>
      <c r="FE190" s="112" t="str">
        <f>HYPERLINK("http://sghanstedt.elbnetz.com/ueber-uns/","x")</f>
        <v>x</v>
      </c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1"/>
      <c r="FX190" s="111"/>
      <c r="FY190" s="111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2" t="str">
        <f t="shared" si="71"/>
        <v>x</v>
      </c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2" t="str">
        <f t="shared" si="72"/>
        <v>x</v>
      </c>
      <c r="HZ190" s="112" t="str">
        <f t="shared" si="73"/>
        <v>x</v>
      </c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1"/>
      <c r="IZ190" s="111"/>
      <c r="JA190" s="111"/>
      <c r="JB190" s="111"/>
      <c r="JC190" s="111"/>
      <c r="JD190" s="111"/>
      <c r="JE190" s="111"/>
      <c r="JF190" s="111"/>
      <c r="JG190" s="111"/>
      <c r="JH190" s="111"/>
      <c r="JI190" s="111"/>
      <c r="JJ190" s="111"/>
      <c r="JK190" s="111"/>
      <c r="JL190" s="111"/>
      <c r="JM190" s="111"/>
      <c r="JN190" s="111"/>
      <c r="JO190" s="111"/>
      <c r="JP190" s="111"/>
      <c r="JQ190" s="111"/>
      <c r="JR190" s="112" t="str">
        <f>HYPERLINK("http://www.ibla-germany.de/merkblaetter.php","x")</f>
        <v>x</v>
      </c>
      <c r="JS190" s="111"/>
      <c r="JT190" s="111"/>
      <c r="JU190" s="111"/>
      <c r="JV190" s="111"/>
      <c r="JW190" s="111"/>
      <c r="JX190" s="111"/>
      <c r="JY190" s="111"/>
      <c r="JZ190" s="111"/>
      <c r="KA190" s="111"/>
      <c r="KB190" s="111"/>
      <c r="KC190" s="111"/>
      <c r="KD190" s="111"/>
      <c r="KE190" s="111"/>
      <c r="KF190" s="111"/>
      <c r="KG190" s="111"/>
      <c r="KH190" s="111"/>
      <c r="KI190" s="111"/>
      <c r="KJ190" s="111"/>
      <c r="KK190" s="111"/>
      <c r="KL190" s="111"/>
      <c r="KM190" s="111"/>
      <c r="KN190" s="111"/>
      <c r="KO190" s="111"/>
      <c r="KP190" s="111"/>
      <c r="KQ190" s="111"/>
      <c r="KR190" s="111"/>
      <c r="KS190" s="111"/>
      <c r="KT190" s="111"/>
      <c r="KU190" s="111"/>
      <c r="KV190" s="111"/>
      <c r="KW190" s="111"/>
      <c r="KX190" s="111"/>
      <c r="KY190" s="111"/>
      <c r="KZ190" s="111"/>
      <c r="LA190" s="111"/>
      <c r="LB190" s="111"/>
      <c r="LC190" s="111"/>
      <c r="LD190" s="111"/>
      <c r="LE190" s="111"/>
      <c r="LF190" s="111"/>
      <c r="LG190" s="111"/>
      <c r="LH190" s="111"/>
      <c r="LI190" s="111"/>
      <c r="LJ190" s="111"/>
      <c r="LK190" s="111"/>
      <c r="LL190" s="111"/>
      <c r="LM190" s="111"/>
      <c r="LN190" s="111"/>
      <c r="LO190" s="111"/>
      <c r="LP190" s="111"/>
      <c r="LQ190" s="111"/>
      <c r="LR190" s="111"/>
      <c r="LS190" s="111"/>
      <c r="LT190" s="111"/>
      <c r="LU190" s="111"/>
      <c r="LV190" s="111"/>
      <c r="LW190" s="111"/>
      <c r="LX190" s="111"/>
      <c r="LY190" s="111"/>
      <c r="LZ190" s="111"/>
      <c r="MA190" s="111"/>
      <c r="MB190" s="111"/>
      <c r="MC190" s="111"/>
      <c r="MD190" s="111"/>
      <c r="ME190" s="111"/>
      <c r="MF190" s="111"/>
      <c r="MG190" s="111"/>
      <c r="MH190" s="111"/>
      <c r="MI190" s="111"/>
    </row>
    <row r="191" spans="1:347" x14ac:dyDescent="0.25">
      <c r="A191" s="102" t="s">
        <v>76</v>
      </c>
      <c r="B191" s="127" t="s">
        <v>472</v>
      </c>
      <c r="C191" s="102"/>
      <c r="D191" s="102"/>
      <c r="E191" s="102"/>
      <c r="F191" s="102"/>
      <c r="G191" s="102"/>
      <c r="H191" s="102"/>
      <c r="I191" s="102"/>
      <c r="J191" s="102"/>
      <c r="K191" s="103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2" t="str">
        <f>HYPERLINK("https://www.vrsinfo.de/fileadmin/Dateien/downloadcenter/Folder_MobilPassTicket_Refugees01012016.pdf","x")</f>
        <v>x</v>
      </c>
      <c r="AL191" s="112" t="str">
        <f>HYPERLINK("https://www.vrsinfo.de/fileadmin/Dateien/downloadcenter/Willkommen_im_VRS2016_Druck.pdf","x")</f>
        <v>x</v>
      </c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3"/>
      <c r="AW191" s="114" t="str">
        <f t="shared" si="55"/>
        <v>x</v>
      </c>
      <c r="AX191" s="114" t="str">
        <f t="shared" si="56"/>
        <v>x</v>
      </c>
      <c r="AY191" s="111"/>
      <c r="AZ191" s="111"/>
      <c r="BA191" s="112" t="str">
        <f t="shared" si="57"/>
        <v>x</v>
      </c>
      <c r="BB191" s="112" t="str">
        <f t="shared" si="58"/>
        <v>x</v>
      </c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2" t="str">
        <f t="shared" si="59"/>
        <v>x</v>
      </c>
      <c r="BT191" s="112"/>
      <c r="BU191" s="111"/>
      <c r="BV191" s="112" t="str">
        <f t="shared" si="60"/>
        <v>x</v>
      </c>
      <c r="BW191" s="112"/>
      <c r="BX191" s="112"/>
      <c r="BY191" s="112"/>
      <c r="BZ191" s="112"/>
      <c r="CA191" s="112" t="str">
        <f t="shared" si="61"/>
        <v>x</v>
      </c>
      <c r="CB191" s="112" t="str">
        <f t="shared" si="62"/>
        <v>x</v>
      </c>
      <c r="CC191" s="112" t="str">
        <f t="shared" si="63"/>
        <v>x</v>
      </c>
      <c r="CD191" s="112"/>
      <c r="CE191" s="112"/>
      <c r="CF191" s="111"/>
      <c r="CG191" s="111"/>
      <c r="CH191" s="111"/>
      <c r="CI191" s="111"/>
      <c r="CJ191" s="111"/>
      <c r="CK191" s="112" t="str">
        <f t="shared" si="64"/>
        <v>x</v>
      </c>
      <c r="CL191" s="112"/>
      <c r="CM191" s="112"/>
      <c r="CN191" s="112"/>
      <c r="CO191" s="112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2"/>
      <c r="DA191" s="112"/>
      <c r="DB191" s="112"/>
      <c r="DC191" s="115"/>
      <c r="DD191" s="112"/>
      <c r="DE191" s="112"/>
      <c r="DF191" s="112" t="str">
        <f t="shared" si="65"/>
        <v>x</v>
      </c>
      <c r="DG191" s="115" t="str">
        <f t="shared" si="66"/>
        <v>x</v>
      </c>
      <c r="DH191" s="112" t="str">
        <f t="shared" si="67"/>
        <v>x</v>
      </c>
      <c r="DI191" s="112" t="str">
        <f t="shared" si="68"/>
        <v>x</v>
      </c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8"/>
      <c r="EQ191" s="118"/>
      <c r="ER191" s="111"/>
      <c r="ES191" s="111"/>
      <c r="ET191" s="111"/>
      <c r="EU191" s="111"/>
      <c r="EV191" s="111"/>
      <c r="EW191" s="112" t="str">
        <f t="shared" si="69"/>
        <v>x</v>
      </c>
      <c r="EX191" s="111"/>
      <c r="EY191" s="111"/>
      <c r="EZ191" s="111"/>
      <c r="FA191" s="111"/>
      <c r="FB191" s="111"/>
      <c r="FC191" s="111"/>
      <c r="FD191" s="112" t="str">
        <f t="shared" si="70"/>
        <v>x</v>
      </c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2" t="str">
        <f t="shared" si="71"/>
        <v>x</v>
      </c>
      <c r="HD191" s="112"/>
      <c r="HE191" s="112"/>
      <c r="HF191" s="112"/>
      <c r="HG191" s="112"/>
      <c r="HH191" s="112"/>
      <c r="HI191" s="112"/>
      <c r="HJ191" s="112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2" t="str">
        <f t="shared" si="72"/>
        <v>x</v>
      </c>
      <c r="HZ191" s="112" t="str">
        <f t="shared" si="73"/>
        <v>x</v>
      </c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1"/>
      <c r="IZ191" s="111"/>
      <c r="JA191" s="111"/>
      <c r="JB191" s="111"/>
      <c r="JC191" s="111"/>
      <c r="JD191" s="111"/>
      <c r="JE191" s="111"/>
      <c r="JF191" s="111"/>
      <c r="JG191" s="111"/>
      <c r="JH191" s="111"/>
      <c r="JI191" s="111"/>
      <c r="JJ191" s="111"/>
      <c r="JK191" s="111"/>
      <c r="JL191" s="111"/>
      <c r="JM191" s="111"/>
      <c r="JN191" s="111"/>
      <c r="JO191" s="111"/>
      <c r="JP191" s="111"/>
      <c r="JQ191" s="111"/>
      <c r="JR191" s="111"/>
      <c r="JS191" s="111"/>
      <c r="JT191" s="111"/>
      <c r="JU191" s="111"/>
      <c r="JV191" s="111"/>
      <c r="JW191" s="111"/>
      <c r="JX191" s="111"/>
      <c r="JY191" s="111"/>
      <c r="JZ191" s="111"/>
      <c r="KA191" s="111"/>
      <c r="KB191" s="111"/>
      <c r="KC191" s="111"/>
      <c r="KD191" s="111"/>
      <c r="KE191" s="111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  <c r="MI191" s="111"/>
    </row>
    <row r="192" spans="1:347" x14ac:dyDescent="0.25">
      <c r="A192" s="102" t="s">
        <v>393</v>
      </c>
      <c r="B192" s="127" t="s">
        <v>4</v>
      </c>
      <c r="C192" s="102"/>
      <c r="D192" s="102"/>
      <c r="E192" s="102"/>
      <c r="F192" s="102"/>
      <c r="G192" s="102"/>
      <c r="H192" s="102"/>
      <c r="I192" s="102"/>
      <c r="J192" s="102"/>
      <c r="K192" s="103"/>
      <c r="L192" s="111"/>
      <c r="M192" s="111"/>
      <c r="N192" s="112" t="str">
        <f>HYPERLINK("http://www.ag-fluechtlingshilfe-wetterau.de/uploads/infos/170.pdf","x")</f>
        <v>x</v>
      </c>
      <c r="O192" s="112" t="str">
        <f>HYPERLINK("http://www.ag-fluechtlingshilfe-wetterau.de/uploads/infos/220.pdf","x")</f>
        <v>x</v>
      </c>
      <c r="P192" s="112" t="str">
        <f>HYPERLINK("http://www.awb-ahrweiler.de/admin/data/ddownload/Abfall%20Sonderhinweise-englisch_2014.pdf","x")</f>
        <v>x</v>
      </c>
      <c r="Q192" s="112" t="str">
        <f>HYPERLINK("http://www.ag-fluechtlingshilfe-wetterau.de/uploads/infos/221.pdf","x")</f>
        <v>x</v>
      </c>
      <c r="R192" s="112" t="str">
        <f>HYPERLINK("http://www.konto.org/download/merkblatt-basiskonto-asylbewerber-english.pdf","x")</f>
        <v>x</v>
      </c>
      <c r="S192" s="112"/>
      <c r="T192" s="112" t="str">
        <f>HYPERLINK("https://antworten.sparkasse.de/wp-content/uploads/2015/10/English.pdf","x")</f>
        <v>x</v>
      </c>
      <c r="U192" s="112" t="str">
        <f>HYPERLINK("http://www.ag-fluechtlingshilfe-wetterau.de/uploads/infos/191.pdf","x")</f>
        <v>x</v>
      </c>
      <c r="V192" s="112"/>
      <c r="W192" s="112"/>
      <c r="X19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9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92" s="112"/>
      <c r="AA192" s="112"/>
      <c r="AB192" s="112"/>
      <c r="AC192" s="112" t="str">
        <f>HYPERLINK("http://www.vzhh.de/vzhh/409638/vzhh_refugees_telephone_internet.pdf","x")</f>
        <v>x</v>
      </c>
      <c r="AD192" s="112" t="str">
        <f>HYPERLINK("http://www.vzhh.de/vzhh/410647/vzhh_refugees_rundfunk.pdf","x")</f>
        <v>x</v>
      </c>
      <c r="AE192" s="112" t="str">
        <f>HYPERLINK("http://www.vzhh.de/vzhh/411476/vzhh_refugees_rundfunk_befreiung.pdf","x")</f>
        <v>x</v>
      </c>
      <c r="AF192" s="112" t="str">
        <f>HYPERLINK("http://www.kub-berlin.org/formularprojekt/de/englisch-antraege-und-anlagen-uebersetzungshilfen/","x")</f>
        <v>x</v>
      </c>
      <c r="AG192" s="112" t="str">
        <f>HYPERLINK("http://asyl-in-moenchengladbach.de/wp-content/uploads/2015/11/100711-Flyer_GB.pdf","x")</f>
        <v>x</v>
      </c>
      <c r="AH192" s="112" t="str">
        <f>HYPERLINK("http://sghanstedt.elbnetz.com/ueber-uns/","x")</f>
        <v>x</v>
      </c>
      <c r="AI192" s="112" t="str">
        <f>HYPERLINK("https://www.adac.de/sp/stiftung/_mmm/pdf/SGE_FOL_Verkehrssicherheit_Fl%C3%BCchtlinge_A3_01_16_Internet_250277.pdf","x")</f>
        <v>x</v>
      </c>
      <c r="AJ192" s="112" t="str">
        <f>HYPERLINK("http://www.stadt-koeln.de/mediaasset/content/kvb_kinderleicht_und_spielend_einfach__englisch_.pdf","x")</f>
        <v>x</v>
      </c>
      <c r="AK192" s="112" t="str">
        <f>HYPERLINK("https://www.vrsinfo.de/fileadmin/Dateien/downloadcenter/Folder_MobilPassTicket_Refugees01012016.pdf","x")</f>
        <v>x</v>
      </c>
      <c r="AL192" s="112" t="str">
        <f>HYPERLINK("https://www.vrsinfo.de/fileadmin/Dateien/downloadcenter/Willkommen_im_VRS2016_Druck.pdf","x")</f>
        <v>x</v>
      </c>
      <c r="AM192" s="112"/>
      <c r="AN192" s="112" t="str">
        <f>HYPERLINK("https://www.deutschebahn.com/file/de/2191748/eYdgZpqGpp5sMJ2KMKtg2r8aE4Q/10123812/data/infos_fuer_fluechtlinge.pdf","x")</f>
        <v>x</v>
      </c>
      <c r="AO192" s="112"/>
      <c r="AP192" s="112"/>
      <c r="AQ192" s="112"/>
      <c r="AR192" s="112"/>
      <c r="AS192" s="112"/>
      <c r="AT192" s="112"/>
      <c r="AU192" s="112" t="str">
        <f>HYPERLINK("http://www.stadt-koeln.de/mediaasset/content/festkomitee_flyer_2016_d_gb.pdf","x")</f>
        <v>x</v>
      </c>
      <c r="AV192" s="113"/>
      <c r="AW192" s="114" t="str">
        <f t="shared" si="55"/>
        <v>x</v>
      </c>
      <c r="AX192" s="114" t="str">
        <f t="shared" si="56"/>
        <v>x</v>
      </c>
      <c r="AY192" s="112" t="str">
        <f>HYPERLINK("http://fi-lohmar-siegburg.de/data/documents/Findefix_arabisch-Bildwoerterbuch.pdf","x")</f>
        <v>x</v>
      </c>
      <c r="AZ192" s="111"/>
      <c r="BA192" s="112" t="str">
        <f t="shared" si="57"/>
        <v>x</v>
      </c>
      <c r="BB192" s="112" t="str">
        <f t="shared" si="58"/>
        <v>x</v>
      </c>
      <c r="BC192" s="111"/>
      <c r="BD192" s="111"/>
      <c r="BE192" s="112" t="str">
        <f>HYPERLINK("http://fi-lohmar-siegburg.de/data/documents/communicationboard-arabic-english.pdf","x")</f>
        <v>x</v>
      </c>
      <c r="BF192" s="112"/>
      <c r="BG192" s="111"/>
      <c r="BH192" s="112" t="str">
        <f>HYPERLINK("http://www.refugeephrasebook.de/pdf/germany150920.pdf","x")</f>
        <v>x</v>
      </c>
      <c r="BI192" s="112" t="str">
        <f>HYPERLINK("https://www.advanced-online.eu/downloads/RefugeePhrasebookCards_German-English.pdf","x")</f>
        <v>x</v>
      </c>
      <c r="BJ192" s="112" t="str">
        <f>HYPERLINK("http://www.klett-sprachen.de/download/8638/W100255_Refugees_Welcome_Wortschatz.pdf","x")</f>
        <v>x</v>
      </c>
      <c r="BK192" s="111"/>
      <c r="BL192" s="112" t="str">
        <f>HYPERLINK("http://www.bundessprachenamt.de/deutsch/wir_ueber_uns/nachrichten/2015/20151103/Verständigungshilfe_Englisch_26_11_2015.pdf","x")</f>
        <v>x</v>
      </c>
      <c r="BM192" s="112" t="str">
        <f>HYPERLINK("http://www.frnrw.de/images/Aus_den_Initiativen/Ehrenamtler/2015/Dictionary_x10_print-2.pdf","x")</f>
        <v>x</v>
      </c>
      <c r="BN192" s="112" t="str">
        <f>HYPERLINK("http://www.medbox.org/toolboxes/kleines-worterbuch-little-dictionary-deutsch-englisch-arabisch/preview","x")</f>
        <v>x</v>
      </c>
      <c r="BO192" s="112" t="str">
        <f>HYPERLINK("http://mylanguages.org/dari_phrases.php","x")</f>
        <v>x</v>
      </c>
      <c r="BP192" s="111"/>
      <c r="BQ192" s="111"/>
      <c r="BR192" s="111"/>
      <c r="BS192" s="112" t="str">
        <f t="shared" si="59"/>
        <v>x</v>
      </c>
      <c r="BT192" s="112"/>
      <c r="BU192" s="111"/>
      <c r="BV192" s="112" t="str">
        <f t="shared" si="60"/>
        <v>x</v>
      </c>
      <c r="BW192" s="112" t="str">
        <f>HYPERLINK("http://www.welcomegrooves.de/wp-content/uploads/2015/10/welcomegrooves_DE-ENGLISH1.pdf","x")</f>
        <v>x</v>
      </c>
      <c r="BX192" s="112"/>
      <c r="BY192" s="112"/>
      <c r="BZ192" s="112"/>
      <c r="CA192" s="112" t="str">
        <f t="shared" si="61"/>
        <v>x</v>
      </c>
      <c r="CB192" s="112" t="str">
        <f t="shared" si="62"/>
        <v>x</v>
      </c>
      <c r="CC192" s="112" t="str">
        <f t="shared" si="63"/>
        <v>x</v>
      </c>
      <c r="CD192" s="112"/>
      <c r="CE192" s="112"/>
      <c r="CF192" s="111"/>
      <c r="CG192" s="112" t="str">
        <f>HYPERLINK("http://www.braunschweig.de/leben/frauen/hilfe/Ohne-Gewalt-leben.pdf","x")</f>
        <v>x</v>
      </c>
      <c r="CH192" s="112" t="str">
        <f>HYPERLINK("http://mifkjf.rlp.de/fileadmin/mifkjf/Frauen/Gewalt_gegen_Frauen/Downloads/Broschueren_Flyer/Flyer_Gewalt_englisch.pdf","x")</f>
        <v>x</v>
      </c>
      <c r="CI192" s="112" t="str">
        <f>HYPERLINK("https://www.hilfetelefon.de/fileadmin/hilfetelefon_de/Materialien/Flyer/Infoflyer_Hilfetelefon_Gewalt_gegen_Frauen141105_b2.pdf","x")</f>
        <v>x</v>
      </c>
      <c r="CJ192" s="112" t="str">
        <f>HYPERLINK("https://www.hilfetelefon.de/fileadmin/hilfetelefon_de/Materialien/weitere_werbemittel/Klappflyer_Vorder-_und_Rueckseite_opt2.pdf","x")</f>
        <v>x</v>
      </c>
      <c r="CK192" s="112" t="str">
        <f t="shared" si="64"/>
        <v>x</v>
      </c>
      <c r="CL192" s="112" t="str">
        <f>HYPERLINK("http://www.frauenberatungsstelle.de/pdf/Migrantinnen-beraten-Migrantinnen.pdf","x")</f>
        <v>x</v>
      </c>
      <c r="CM192" s="112" t="str">
        <f>HYPERLINK("http://www.frauenleben.org/spezielle_beratungsangebote/sexualisierte_gewalt.htm","x")</f>
        <v>x</v>
      </c>
      <c r="CN192" s="112"/>
      <c r="CO192" s="112"/>
      <c r="CP192" s="112" t="str">
        <f>HYPERLINK("http://www.schwanger-und-viele-fragen.de/en/","x")</f>
        <v>x</v>
      </c>
      <c r="CQ192" s="112"/>
      <c r="CR19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92" s="112" t="str">
        <f>HYPERLINK("http://en.beststart.org/for_parents/are-you-looking-resources-languages-other-english-and-french","x")</f>
        <v>x</v>
      </c>
      <c r="CT192" s="112"/>
      <c r="CU192" s="112" t="str">
        <f>HYPERLINK("http://www.profamilia.de/fileadmin/publikationen/Erwachsene/mehrsprachig/Bro_Verhuetung_engl_2013.pdf","x")</f>
        <v>x</v>
      </c>
      <c r="CV192" s="112" t="str">
        <f>HYPERLINK("http://www.profamilia.de/fileadmin/publikationen/Erwachsene/mehrsprachig/Bro_Pille_danach_Faltblatt_140122_RZ.pdf","x")</f>
        <v>x</v>
      </c>
      <c r="CW192" s="112" t="str">
        <f>HYPERLINK("http://www.profamilia.de/fileadmin/publikationen/Reihe_Verhuetungsmethoden/Einleger_englisch.pdf","x")</f>
        <v>x</v>
      </c>
      <c r="CX192" s="112" t="str">
        <f>HYPERLINK("http://www.profamilia.de/fileadmin/publikationen/Reihe_Koerper_und_Sexualtitaet/Schwangerschaftsabbruch_englisch_2010.pdf","x")</f>
        <v>x</v>
      </c>
      <c r="CY192" s="112" t="str">
        <f>HYPERLINK("http://www.caritas-schwarzwald-alb-donau.de/68854.html","x")</f>
        <v>x</v>
      </c>
      <c r="CZ192" s="112" t="str">
        <f>HYPERLINK("http://www.dgfpi.de/tl_files/download/medien/unwissen-macht-en.pdf","x")</f>
        <v>x</v>
      </c>
      <c r="DA192" s="112"/>
      <c r="DB192" s="112"/>
      <c r="DC192" s="115" t="str">
        <f>HYPERLINK("http://www.kindersicherheit.de/pdf/2013_BAG_Tomi_and_Mila_Deutsch_English.pdf","x")</f>
        <v>x</v>
      </c>
      <c r="DD192" s="112"/>
      <c r="DE192" s="112"/>
      <c r="DF192" s="112" t="str">
        <f t="shared" si="65"/>
        <v>x</v>
      </c>
      <c r="DG192" s="115" t="str">
        <f t="shared" si="66"/>
        <v>x</v>
      </c>
      <c r="DH192" s="112" t="str">
        <f t="shared" si="67"/>
        <v>x</v>
      </c>
      <c r="DI192" s="112" t="str">
        <f t="shared" si="68"/>
        <v>x</v>
      </c>
      <c r="DJ192" s="112"/>
      <c r="DK192" s="112"/>
      <c r="DL192" s="112"/>
      <c r="DM192" s="112"/>
      <c r="DN192" s="112"/>
      <c r="DO192" s="112" t="str">
        <f>HYPERLINK("http://www.wdrmaus.de/sachgeschichten/maus-international/","x")</f>
        <v>x</v>
      </c>
      <c r="DP192" s="111"/>
      <c r="DQ192" s="111"/>
      <c r="DR192" s="112" t="str">
        <f>HYPERLINK("https://broschueren.nordrheinwestfalendirekt.de/broschuerenservice/msw/eng-das-schulsystem-in-nordrhein-westfalen-einfach-und-schnell-erklaert/1902","x")</f>
        <v>x</v>
      </c>
      <c r="DS192" s="112" t="str">
        <f>HYPERLINK("http://bildung.koeln.de/materialbibliothek/download.php?idx=8e2a9f658e9fa830ce17dc18f0fb0268","x")</f>
        <v>x</v>
      </c>
      <c r="DT192" s="112" t="str">
        <f>HYPERLINK("http://bildung.koeln.de/materialbibliothek/download.php?idx=90aff7e7259385cadb46c517317f1446","x")</f>
        <v>x</v>
      </c>
      <c r="DU192" s="112"/>
      <c r="DV192" s="112" t="str">
        <f>HYPERLINK("https://www.bmbf.de/pub/Kausa_Elternbroschuere_englisch.pdf","x")</f>
        <v>x</v>
      </c>
      <c r="DW192" s="112"/>
      <c r="DX192" s="112" t="str">
        <f>HYPERLINK("http://www.wissenschaft.nrw.de/studium/informieren/informationen-fuer-fluechtlinge-die-in-nrw-studieren-moechten/","x")</f>
        <v>x</v>
      </c>
      <c r="DY192" s="112" t="str">
        <f>HYPERLINK("http://www.bamf.de/SharedDocs/Anlagen/DE/Publikationen/Flyer/AnerkennungBerufsabschluss/berufliche_anerkennung_akademische-heilberufe_en.pdf?__blob=publicationFile","x")</f>
        <v>x</v>
      </c>
      <c r="DZ192" s="112" t="str">
        <f>HYPERLINK("http://www.bamf.de/SharedDocs/Anlagen/EN/Publikationen/Flyer/AnerkennungBerufsabschluss/anerkennung-berufsabschluss.pdf?__blob=publicationFile","x")</f>
        <v>x</v>
      </c>
      <c r="EA192" s="112" t="str">
        <f>HYPERLINK("http://www.bamf.de/SharedDocs/Anlagen/EN/Publikationen/Flyer/AnerkennungBerufsabschluss/anerkennung-berufsabschluss_ausland.pdf?__blob=publicationFile","x")</f>
        <v>x</v>
      </c>
      <c r="EB192" s="112" t="str">
        <f>HYPERLINK("http://www.bamf.de/SharedDocs/Anlagen/EN/Publikationen/Broschueren/willkommen-in-deutschland-info-blaue-karte-eu_en.pdf?__blob=publicationFile","x")</f>
        <v>x</v>
      </c>
      <c r="EC192" s="112" t="str">
        <f>HYPERLINK("http://www.bamf.de/SharedDocs/Anlagen/EN/Publikationen/Flyer/Berufsbezsprachf-ESF-BAMF/berufsbezsprachf-esf-bamf.pdf?__blob=publicationFile","x")</f>
        <v>x</v>
      </c>
      <c r="ED192" s="111"/>
      <c r="EE192" s="111"/>
      <c r="EF192" s="111"/>
      <c r="EG192" s="111"/>
      <c r="EH192" s="111"/>
      <c r="EI192" s="111"/>
      <c r="EJ192" s="112"/>
      <c r="EK192" s="112" t="str">
        <f>HYPERLINK("http://fluechtlingsrat-bw.de/files/Dateien/Dokumente/Materialbestellung/2014-12-flyer%20arbeitserlaubnis%20EN%20WEB.pdf","x")</f>
        <v>x</v>
      </c>
      <c r="EL192" s="112" t="str">
        <f>HYPERLINK("http://www.aponet.de/englisch/20151019-fuer-den-notfall-wichtige-rufnummern-im-ueberblick.html","x")</f>
        <v>x</v>
      </c>
      <c r="EM192" s="112" t="str">
        <f>HYPERLINK("http://www.kvs-sachsen.de/fileadmin/img/Mitglieder/Asylbewerber/Allg-Informationen/Anlage_1_Englisch_LEK.pdf","x")</f>
        <v>x</v>
      </c>
      <c r="EN192" s="112" t="str">
        <f>HYPERLINK("http://www.medizin-hilft-fluechtlingen.de/images/Dokumente/gSch/gSch_eng.pdf","x")</f>
        <v>x</v>
      </c>
      <c r="EO192" s="112" t="str">
        <f>HYPERLINK("http://www.aponet.de/englisch/medical-care-for-asylum-seekers.html","x")</f>
        <v>x</v>
      </c>
      <c r="EP192" s="117" t="str">
        <f>HYPERLINK("http://www.medi-bild.de/pdf/anamnese/Welche_Sprache.pdf","x")</f>
        <v>x</v>
      </c>
      <c r="EQ192" s="117" t="str">
        <f>HYPERLINK("http://www.armut-gesundheit.de/fileadmin/redakteur/dokumente/Anamnesebogen%20-%20englischnew.pdf","x")</f>
        <v>x</v>
      </c>
      <c r="ER192" s="112" t="str">
        <f>HYPERLINK("http://www.kvs-sachsen.de/fileadmin/img/Mitglieder/Asylbewerber/Allg-Informationen/Anlagen_2-1_2-2_Englisch_LEK.pdf","x")</f>
        <v>x</v>
      </c>
      <c r="ES192" s="111"/>
      <c r="ET192" s="111"/>
      <c r="EU192" s="112" t="str">
        <f>HYPERLINK("http://www.medizin-hilft-fluechtlingen.de/images/Dokumente/ein/ein_engl.pdf","x")</f>
        <v>x</v>
      </c>
      <c r="EV192" s="112" t="str">
        <f>HYPERLINK("http://www.adler-apotheke-hh.de/fileadmin/user_upload/PDF-Dateien/Dosierzettel_mehrsprachig_AUF_0_.pdf","x")</f>
        <v>x</v>
      </c>
      <c r="EW192" s="112" t="str">
        <f t="shared" si="69"/>
        <v>x</v>
      </c>
      <c r="EX192" s="112" t="str">
        <f>HYPERLINK("http://www.rki.de/DE/Content/Infekt/IfSG/Belehrungsbogen/belehrungsbogen_eltern_englisch.pdf?__blob=publicationFile","x")</f>
        <v>x</v>
      </c>
      <c r="EY192" s="112" t="str">
        <f>HYPERLINK("http://www.bzga.de/infomaterialien/?sid=236","x")</f>
        <v>x</v>
      </c>
      <c r="EZ192" s="112" t="str">
        <f>HYPERLINK("https://www.mh-hannover.de/fileadmin/mhh/bilder/aktuelles_presse/pressestelle/bilder/Pilzvergif_English.pdf","x")</f>
        <v>x</v>
      </c>
      <c r="FA192" s="112"/>
      <c r="FB192" s="112" t="str">
        <f>HYPERLINK("http://static.apotheken-umschau.de/media/gp/article_506373/bildwoerterbuch.pdf","x")</f>
        <v>x</v>
      </c>
      <c r="FC192" s="112" t="str">
        <f>HYPERLINK("https://www.studentenwerke.de/sites/default/files/gesundheitswoerterbuch.pdf","x")</f>
        <v>x</v>
      </c>
      <c r="FD192" s="112" t="str">
        <f t="shared" si="70"/>
        <v>x</v>
      </c>
      <c r="FE192" s="112" t="str">
        <f>HYPERLINK("http://sghanstedt.elbnetz.com/ueber-uns/","x")</f>
        <v>x</v>
      </c>
      <c r="FF192" s="112" t="str">
        <f>HYPERLINK("http://www.fuhlenhagen.com/pdf_dateien/uebertzungshilfe_aerzte_mehrsprachig.pdf","x")</f>
        <v>x</v>
      </c>
      <c r="FG192" s="112" t="str">
        <f>HYPERLINK("http://www.tipdoc.de/grafik/asyl/Gesundheitsheft_Asyl.pdf","x")</f>
        <v>x</v>
      </c>
      <c r="FH192" s="111"/>
      <c r="FI192" s="111"/>
      <c r="FJ192" s="112" t="str">
        <f>HYPERLINK("http://www.bundesgesundheitsministerium.de/fileadmin/dateien/Publikationen/Gesundheit/Broschueren/Ratgeber_Asylsuchende/Ratgeber_Asylsuchende_engl.pdf","x")</f>
        <v>x</v>
      </c>
      <c r="FK192" s="112" t="str">
        <f>HYPERLINK("http://www.rki.de/DE/Content/Infekt/Impfen/Materialien/Downloads-Impfkalender/Impfkalender_Englisch.pdf?__blob=publicationFile","x")</f>
        <v>x</v>
      </c>
      <c r="FL192" s="112" t="str">
        <f>HYPERLINK("http://www.ethno-medizinisches-zentrum.de/images/PDF-Files/impfwegweiser_englisch_2013_online.pdf","x")</f>
        <v>x</v>
      </c>
      <c r="FM192" s="112"/>
      <c r="FN192" s="112" t="str">
        <f>HYPERLINK("http://www.rki.de/DE/Content/Infekt/Impfen/Materialien/Glossar-Downloads/glossar-de-englisch.pdf?__blob=publicationFile","x")</f>
        <v>x</v>
      </c>
      <c r="FO192" s="112" t="str">
        <f>HYPERLINK("http://www.euro.who.int/__data/assets/pdf_file/0005/160754/VPDs_Signs-symptoms-complications.pdf?ua=1","x")</f>
        <v>x</v>
      </c>
      <c r="FP192" s="112" t="str">
        <f>HYPERLINK("http://www.rki.de/DE/Content/Infekt/Impfen/Materialien/Downloads-MMR/MMR-Impfinfo-englisch.pdf?__blob=publicationFile","x")</f>
        <v>x</v>
      </c>
      <c r="FQ192" s="112" t="str">
        <f>HYPERLINK("http://www.rki.de/DE/Content/InfAZ/P/Polio/Ausbruch_Syrien/Informationsblatt_Polio_Englisch.pdf?__blob=publicationFile","x")</f>
        <v>x</v>
      </c>
      <c r="FR192" s="112" t="str">
        <f>HYPERLINK("http://www.rki.de/DE/Content/Infekt/Impfen/Materialien/Downloads_HepA/Aufklaerung_HAV-Impfung_Englisch.pdf?__blob=publicationFile","x")</f>
        <v>x</v>
      </c>
      <c r="FS192" s="112" t="str">
        <f>HYPERLINK("http://www.rki.de/DE/Content/Infekt/Impfen/Materialien/Downloads_Pneumokokken/Aufklaerung_Pneumo-Impfung_Englisch.pdf?__blob=publicationFile","x")</f>
        <v>x</v>
      </c>
      <c r="FT192" s="112" t="str">
        <f>HYPERLINK("http://www.rki.de/DE/Content/Infekt/Impfen/Materialien/Downloads-DTaPIPVHibHepB/DTaPIPVHibHepB-englisch.pdf?__blob=publicationFile","x")</f>
        <v>x</v>
      </c>
      <c r="FU19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92" s="112" t="str">
        <f>HYPERLINK("http://www.rki.de/DE/Content/Infekt/Impfen/Materialien/Downloads-Tdap-IPV/Tdap-IPV-englisch.pdf?__blob=publicationFile","x")</f>
        <v>x</v>
      </c>
      <c r="FW192" s="112" t="str">
        <f>HYPERLINK("http://www.rki.de/DE/Content/Infekt/Impfen/Materialien/Downloads-Influenza_nasal/Influenza_nasal-englisch.pdf?__blob=publicationFile","x")</f>
        <v>x</v>
      </c>
      <c r="FX192" s="111"/>
      <c r="FY192" s="112"/>
      <c r="FZ192" s="112"/>
      <c r="GA192" s="111"/>
      <c r="GB192" s="111"/>
      <c r="GC192" s="111"/>
      <c r="GD192" s="112" t="str">
        <f>HYPERLINK("http://www.ethno-medizinisches-zentrum.de/images/PDF-Files/lf_diabete_englisch.pdf","x")</f>
        <v>x</v>
      </c>
      <c r="GE192" s="111"/>
      <c r="GF192" s="111"/>
      <c r="GG192" s="111"/>
      <c r="GH192" s="112"/>
      <c r="GI192" s="111"/>
      <c r="GJ192" s="111"/>
      <c r="GK192" s="112" t="str">
        <f>HYPERLINK("http://www.tipdoc.de/bus/pdf/hiv/HIV%20ESP_Webseite.pdf","x")</f>
        <v>x</v>
      </c>
      <c r="GL192" s="111"/>
      <c r="GM192" s="112" t="str">
        <f>HYPERLINK("http://www.rki.de/DE/Content/Infekt/Impfen/Materialien/Downloads-Influenza/Influenza-englisch.pdf?__blob=publicationFile","x")</f>
        <v>x</v>
      </c>
      <c r="GN192" s="111"/>
      <c r="GO192" s="112" t="str">
        <f>HYPERLINK("http://www.aponet.de/englisch/20151111-so-unterscheiden-sich-grippe-und-erkaeltung.html","x")</f>
        <v>x</v>
      </c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2" t="str">
        <f t="shared" si="71"/>
        <v>x</v>
      </c>
      <c r="HD192" s="112" t="str">
        <f>HYPERLINK("https://www.zahnaerzte-wl.de/images/_PDF-suche/KZV_ZÄK/ENDSTAND_Ankreuzbogen_Ich_verstehe.pdf","x")</f>
        <v>x</v>
      </c>
      <c r="HE192" s="112" t="str">
        <f>HYPERLINK("https://www.zahnaerzte-wl.de/images/_PDF-suche/KZV_ZÄK/Anschreiben_Patienten_englisch.pdf","x")</f>
        <v>x</v>
      </c>
      <c r="HF192" s="112" t="str">
        <f>HYPERLINK("https://www.zahnaerzte-wl.de/images/_PDF-suche/KZV_ZÄK/Fragebogen_englisch.pdf","x")</f>
        <v>x</v>
      </c>
      <c r="HG192" s="112" t="str">
        <f>HYPERLINK("https://www.zahnaerzte-wl.de/images/_PDF-suche/KZV_ZÄK/Patientenerhebungsbogen_englisch.pdf","x")</f>
        <v>x</v>
      </c>
      <c r="HH192" s="112"/>
      <c r="HI192" s="112" t="str">
        <f>HYPERLINK("http://www.bvkm.de/fileadmin/web_data/Behinderung_und_Migration_englisch_2014.pdf","x")</f>
        <v>x</v>
      </c>
      <c r="HJ192" s="112"/>
      <c r="HK192" s="112" t="str">
        <f>HYPERLINK("http://www.psychenet.de/en/mental-health/knowledge/depression.html","x")</f>
        <v>x</v>
      </c>
      <c r="HL192" s="111"/>
      <c r="HM192" s="112" t="str">
        <f>HYPERLINK("http://www.psychenet.de/en/mental-health/knowledge/psychoses.html","x")</f>
        <v>x</v>
      </c>
      <c r="HN192" s="112" t="str">
        <f>HYPERLINK("http://www.psychenet.de/en/mental-health/knowledge/somatoform-disorders.html","x")</f>
        <v>x</v>
      </c>
      <c r="HO192" s="112" t="str">
        <f>HYPERLINK("http://www.psychenet.de/en/mental-health/knowledge/anorexia.html","x")</f>
        <v>x</v>
      </c>
      <c r="HP192" s="112" t="str">
        <f>HYPERLINK("http://www.psychenet.de/en/mental-health/knowledge/bulimia.html","x")</f>
        <v>x</v>
      </c>
      <c r="HQ192" s="112" t="str">
        <f>HYPERLINK("http://www.psychenet.de/en/mental-health/knowledge/bipolar-disorder.html","x")</f>
        <v>x</v>
      </c>
      <c r="HR192" s="112" t="str">
        <f>HYPERLINK("http://www.psychenet.de/en/mental-health/knowledge/panic-and-agoraphobia.html","x")</f>
        <v>x</v>
      </c>
      <c r="HS192" s="112" t="str">
        <f>HYPERLINK("http://www.psychenet.de/en/mental-health/knowledge/social-phobia.html","x")</f>
        <v>x</v>
      </c>
      <c r="HT192" s="112" t="str">
        <f>HYPERLINK("http://www.psychenet.de/en/mental-health/knowledge/generalized-anxiety-disorder.html","x")</f>
        <v>x</v>
      </c>
      <c r="HU192" s="112"/>
      <c r="HV192" s="112" t="str">
        <f>HYPERLINK("http://www.psychenet.de/en/mental-health/knowledge/information-and-support.html","x")</f>
        <v>x</v>
      </c>
      <c r="HW192" s="112"/>
      <c r="HX192" s="112" t="str">
        <f>HYPERLINK("http://www.bkk-psychisch-gesund.de/fileadmin/user_upload/Dokumente/Versicherte/Broschueren/Wegweiser_Psychotherapie_englisch.pdf","x")</f>
        <v>x</v>
      </c>
      <c r="HY192" s="112" t="str">
        <f t="shared" si="72"/>
        <v>x</v>
      </c>
      <c r="HZ192" s="112" t="str">
        <f t="shared" si="73"/>
        <v>x</v>
      </c>
      <c r="IA192" s="112" t="str">
        <f>HYPERLINK("http://peacefulheart.se/wp-content/uploads/2012/02/TTT_English_2013.pdf","x")</f>
        <v>x</v>
      </c>
      <c r="IB192" s="112"/>
      <c r="IC192" s="112"/>
      <c r="ID192" s="112" t="str">
        <f>HYPERLINK("http://www.susannestein.de/VIA-online/trauma-picture-book.pdf","x")</f>
        <v>x</v>
      </c>
      <c r="IE192" s="112" t="str">
        <f>HYPERLINK("http://www.psychenet.de/en/mental-health/knowledge/alcohol-in-adolescence.html","x")</f>
        <v>x</v>
      </c>
      <c r="IF192" s="112"/>
      <c r="IG192" s="112"/>
      <c r="IH192" s="111"/>
      <c r="II192" s="112" t="str">
        <f>HYPERLINK("http://www.caritas.de/hilfeundberatung/onlineberatung/suchtberatung/haeufiggestelltefragensucht/haeufiggestelltefragen-sucht","x")</f>
        <v>x</v>
      </c>
      <c r="IJ192" s="112" t="str">
        <f>HYPERLINK("http://www.dhs.de/fileadmin/user_upload/pdf/Broschueren/Ein_Angebot_an_alle-Englisch.pdf","x")</f>
        <v>x</v>
      </c>
      <c r="IK192" s="112" t="str">
        <f>HYPERLINK("http://www.bamf.de/SharedDocs/Anlagen/EN/Publikationen/Flyer/Lassen-Sie-Sich-Beraten/lassen-sie-sich-beraten.pdf?__blob=publicationFile","x")</f>
        <v>x</v>
      </c>
      <c r="IL192" s="115" t="str">
        <f>HYPERLINK("http://www.bamf.de/SharedDocs/Anlagen/EN/Publikationen/Flyer/flyer-erstorientierung-asylsuchende.pdf?__blob=publicationFile","x")</f>
        <v>x</v>
      </c>
      <c r="IM192" s="112" t="str">
        <f>HYPERLINK("http://www.frnrw.de/index.php/inhaltliche-themen/arbeitshilfen/item/3710-erstinfos-fuer-asylsuchende","x")</f>
        <v>x</v>
      </c>
      <c r="IN192" s="112" t="str">
        <f>HYPERLINK("http://www.bamf.de/SharedDocs/Anlagen/EN/Publikationen/Broschueren/willkommen-in-deutschland.pdf;jsessionid=2D72CB108E4AC02BBB9659E7D9A589B2.1_cid368?__blob=publicationFile","x")</f>
        <v>x</v>
      </c>
      <c r="IO192" s="112"/>
      <c r="IP192" s="112"/>
      <c r="IQ192" s="112" t="str">
        <f>HYPERLINK("http://www.bamf.de/SharedDocs/Anlagen/EN/Publikationen/Flyer/Lernen-Sie-Deutsch/lernen-sie-deutsch.pdf?__blob=publicationFile","x")</f>
        <v>x</v>
      </c>
      <c r="IR192" s="112" t="str">
        <f>HYPERLINK("http://www.asyl.net/fileadmin/user_upload/redaktion/Dokumente/Arbeitshilfen/150910_Wie_l%C3%A4uft_ein_Asylverfahren_ab_%C3%9Cberblickstext_Englisch.pdf","x")</f>
        <v>x</v>
      </c>
      <c r="IS192" s="111"/>
      <c r="IT192" s="112" t="str">
        <f>HYPERLINK("http://www.bamf.de/SharedDocs/Anlagen/EN/Publikationen/Flyer/ablauf-asylverfahren.pdf;jsessionid=DBD4307960D761935FCC3E0325D459A1.1_cid294?__blob=publicationFile","x")</f>
        <v>x</v>
      </c>
      <c r="IU192" s="111"/>
      <c r="IV192" s="112" t="str">
        <f>HYPERLINK("http://www.asyl.net/fileadmin/user_upload/infoblatt_anhoerung/Infoblatt_2015_en_fin.pdf","x")</f>
        <v>x</v>
      </c>
      <c r="IW192" s="112"/>
      <c r="IX192" s="112" t="str">
        <f>HYPERLINK("http://www.berlin.de/labo/willkommen-in-berlin/service/downloads/artikel.273193.php","x")</f>
        <v>x</v>
      </c>
      <c r="IY192" s="112" t="str">
        <f>HYPERLINK("http://www.bamf.de/SharedDocs/Anlagen/EN/Publikationen/Broschueren/broschuere-eat-a4.pdf?__blob=publicationFile","x")</f>
        <v>x</v>
      </c>
      <c r="IZ192" s="111"/>
      <c r="JA192" s="112" t="str">
        <f>HYPERLINK("http://fluechtlingsrat-bw.de/informationen-fuer-fluechtlinge.html","x")</f>
        <v>x</v>
      </c>
      <c r="JB192" s="111"/>
      <c r="JC192" s="112" t="str">
        <f>HYPERLINK("http://www.bamf.de/SharedDocs/Anlagen/EN/Publikationen/Flyer/20150223_ura2_en.pdf?__blob=publicationFile","x")</f>
        <v>x</v>
      </c>
      <c r="JD192" s="111"/>
      <c r="JE192" s="112"/>
      <c r="JF192" s="112"/>
      <c r="JG192" s="112" t="str">
        <f>HYPERLINK("http://www.bamf.de/SharedDocs/Anlagen/EN/Publikationen/Flyer/Ehegattennachzug/ehegattennachzug.pdf?__blob=publicationFile","x")</f>
        <v>x</v>
      </c>
      <c r="JH192" s="112" t="str">
        <f>HYPERLINK("https://familyreunion-syria.diplo.de/webportal/index.html#start","x")</f>
        <v>x</v>
      </c>
      <c r="JI192" s="112" t="str">
        <f>HYPERLINK("http://ec.europa.eu/dgs/home-affairs/what-we-do/networks/european_migration_network/docs/emn-glossary-en-version.pdf","x")</f>
        <v>x</v>
      </c>
      <c r="JJ192" s="112"/>
      <c r="JK192" s="112" t="str">
        <f>HYPERLINK("https://www.arbeitsagentur.de/web/wcm/idc/groups/public/documents/webdatei/mdaw/mjgz/~edisp/l6019022dstbai784628.pdf?_ba.sid=L6019022DSTBAI784625","x")</f>
        <v>x</v>
      </c>
      <c r="JL192" s="112" t="str">
        <f>HYPERLINK("http://www.kub-berlin.org/formularprojekt/de/englisch-antraege-und-anlagen-uebersetzungshilfen/","x")</f>
        <v>x</v>
      </c>
      <c r="JM192" s="112" t="str">
        <f>HYPERLINK("https://www.arbeitsagentur.de/web/content/DE/Formulare/Detail/index.htm?dfContentId=L6019022DSTBAI485740","x")</f>
        <v>x</v>
      </c>
      <c r="JN192" s="112"/>
      <c r="JO192" s="112"/>
      <c r="JP192" s="112"/>
      <c r="JQ192" s="112"/>
      <c r="JR192" s="112" t="str">
        <f t="shared" ref="JR192:JR198" si="77">HYPERLINK("http://www.ibla-germany.de/merkblaetter.php","x")</f>
        <v>x</v>
      </c>
      <c r="JS192" s="112"/>
      <c r="JT192" s="112" t="str">
        <f>HYPERLINK("http://www.b-umf.de/images/willkommen/willkommensbroschureenglisch-web.pdf","x")</f>
        <v>x</v>
      </c>
      <c r="JU192" s="111"/>
      <c r="JV192" s="111"/>
      <c r="JW192" s="112"/>
      <c r="JX192" s="112" t="str">
        <f>HYPERLINK("https://www.arbeitsagentur.de/web/wcm/idc/groups/public/documents/webdatei/mdaw/mjgz/~edisp/l6019022dstbai784636.pdf?_ba.sid=L6019022DSTBAI784633","x")</f>
        <v>x</v>
      </c>
      <c r="JY192" s="112"/>
      <c r="JZ192" s="112"/>
      <c r="KA192" s="112"/>
      <c r="KB192" s="112" t="str">
        <f>HYPERLINK("http://www.refugeeguide.de/dl/RefugeeGuide_en_925.pdf","x")</f>
        <v>x</v>
      </c>
      <c r="KC192" s="112" t="str">
        <f>HYPERLINK("http://www.gesetze-im-internet.de/englisch_gg/basic_law_for_the_federal_republic_of_germany.pdf","x")</f>
        <v>x</v>
      </c>
      <c r="KD192" s="112" t="str">
        <f>HYPERLINK("http://www.wedel.de/fileadmin/user_upload/media/pdf/Rathaus_und_Politik/20160118_PM_Broschuere.pdf","x")</f>
        <v>x</v>
      </c>
      <c r="KE192" s="112" t="str">
        <f>HYPERLINK("http://www.frauenrechte.de/online/images/downloads/allgemein/TDF_Flyer_Women_Men.pdf","x")</f>
        <v>x</v>
      </c>
      <c r="KF192" s="112" t="str">
        <f>HYPERLINK("http://sab.landtag.sachsen.de/dokumente/landtagskurier/Grundwerte-A5-international_web_08012016.pdf","x")</f>
        <v>x</v>
      </c>
      <c r="KG192" s="112"/>
      <c r="KH192" s="112"/>
      <c r="KI192" s="112"/>
      <c r="KJ192" s="112"/>
      <c r="KK192" s="112"/>
      <c r="KL192" s="112"/>
      <c r="KM192" s="112"/>
      <c r="KN192" s="112"/>
      <c r="KO192" s="112"/>
      <c r="KP192" s="112"/>
      <c r="KQ192" s="112"/>
      <c r="KR192" s="112"/>
      <c r="KS192" s="112"/>
      <c r="KT192" s="112"/>
      <c r="KU192" s="112"/>
      <c r="KV192" s="112"/>
      <c r="KW192" s="112"/>
      <c r="KX192" s="112"/>
      <c r="KY192" s="112"/>
      <c r="KZ192" s="112"/>
      <c r="LA192" s="112"/>
      <c r="LB192" s="112"/>
      <c r="LC192" s="111"/>
      <c r="LD192" s="112"/>
      <c r="LE192" s="112"/>
      <c r="LF192" s="112"/>
      <c r="LG192" s="112"/>
      <c r="LH192" s="112"/>
      <c r="LI192" s="112"/>
      <c r="LJ192" s="112"/>
      <c r="LK192" s="112"/>
      <c r="LL192" s="112"/>
      <c r="LM192" s="112"/>
      <c r="LN192" s="112"/>
      <c r="LO192" s="112"/>
      <c r="LP192" s="112"/>
      <c r="LQ192" s="112"/>
      <c r="LR192" s="112"/>
      <c r="LS192" s="112"/>
      <c r="LT192" s="112"/>
      <c r="LU192" s="112"/>
      <c r="LV192" s="112"/>
      <c r="LW192" s="112"/>
      <c r="LX192" s="112"/>
      <c r="LY192" s="112"/>
      <c r="LZ192" s="112"/>
      <c r="MA192" s="112"/>
      <c r="MB192" s="112"/>
      <c r="MC192" s="111"/>
      <c r="MD192" s="112" t="str">
        <f>HYPERLINK("http://www.rki.de/DE/Content/Infekt/IfSG/Belehrungsbogen/belehrungsbogen_lebensmittel_englisch.pdf?__blob=publicationFile","x")</f>
        <v>x</v>
      </c>
      <c r="ME192" s="112"/>
      <c r="MF192" s="112" t="str">
        <f>HYPERLINK("http://www.gdv.de/wp-content/uploads/2016/01/Information_Brandschutz_Fluechtlingsheim_-Sicherheit_mehrsprachig.pdf","x")</f>
        <v>x</v>
      </c>
      <c r="MG192" s="112" t="str">
        <f>HYPERLINK("http://www.gdv.de/wp-content/uploads/2016/01/Information_Verhalten-im-Brandfall_mehrsprachig.pdf","x")</f>
        <v>x</v>
      </c>
      <c r="MH192" s="112" t="str">
        <f>HYPERLINK("http://www.aha-region.de/fileadmin/Download/pdf/aha_Plakat_Muelltrennung_en.pdf","x")</f>
        <v>x</v>
      </c>
      <c r="MI192" s="112" t="str">
        <f>HYPERLINK("http://www.kindersicherheit.de/pdf/2012_poster_achtunggiftig_8sprachig.pdf","x")</f>
        <v>x</v>
      </c>
    </row>
    <row r="193" spans="1:347" x14ac:dyDescent="0.25">
      <c r="A193" s="102" t="s">
        <v>394</v>
      </c>
      <c r="B193" s="127" t="s">
        <v>4</v>
      </c>
      <c r="C193" s="102"/>
      <c r="D193" s="102"/>
      <c r="E193" s="102"/>
      <c r="F193" s="102"/>
      <c r="G193" s="102"/>
      <c r="H193" s="102"/>
      <c r="I193" s="102"/>
      <c r="J193" s="102"/>
      <c r="K193" s="103"/>
      <c r="L193" s="111"/>
      <c r="M193" s="111"/>
      <c r="N193" s="112" t="str">
        <f>HYPERLINK("http://www.ag-fluechtlingshilfe-wetterau.de/uploads/infos/170.pdf","x")</f>
        <v>x</v>
      </c>
      <c r="O193" s="112" t="str">
        <f>HYPERLINK("http://www.ag-fluechtlingshilfe-wetterau.de/uploads/infos/220.pdf","x")</f>
        <v>x</v>
      </c>
      <c r="P193" s="112" t="str">
        <f>HYPERLINK("http://www.awb-ahrweiler.de/admin/data/ddownload/Abfall%20Sonderhinweise-englisch_2014.pdf","x")</f>
        <v>x</v>
      </c>
      <c r="Q193" s="112" t="str">
        <f>HYPERLINK("http://www.ag-fluechtlingshilfe-wetterau.de/uploads/infos/221.pdf","x")</f>
        <v>x</v>
      </c>
      <c r="R193" s="112" t="str">
        <f>HYPERLINK("http://www.konto.org/download/merkblatt-basiskonto-asylbewerber-english.pdf","x")</f>
        <v>x</v>
      </c>
      <c r="S193" s="112"/>
      <c r="T193" s="112" t="str">
        <f>HYPERLINK("https://antworten.sparkasse.de/wp-content/uploads/2015/10/English.pdf","x")</f>
        <v>x</v>
      </c>
      <c r="U193" s="112" t="str">
        <f>HYPERLINK("http://www.ag-fluechtlingshilfe-wetterau.de/uploads/infos/191.pdf","x")</f>
        <v>x</v>
      </c>
      <c r="V193" s="112"/>
      <c r="W193" s="112"/>
      <c r="X19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9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93" s="112"/>
      <c r="AA193" s="112"/>
      <c r="AB193" s="112"/>
      <c r="AC193" s="112" t="str">
        <f>HYPERLINK("http://www.vzhh.de/vzhh/409638/vzhh_refugees_telephone_internet.pdf","x")</f>
        <v>x</v>
      </c>
      <c r="AD193" s="112" t="str">
        <f>HYPERLINK("http://www.vzhh.de/vzhh/410647/vzhh_refugees_rundfunk.pdf","x")</f>
        <v>x</v>
      </c>
      <c r="AE193" s="112" t="str">
        <f>HYPERLINK("http://www.vzhh.de/vzhh/411476/vzhh_refugees_rundfunk_befreiung.pdf","x")</f>
        <v>x</v>
      </c>
      <c r="AF193" s="112" t="str">
        <f>HYPERLINK("http://www.kub-berlin.org/formularprojekt/de/englisch-antraege-und-anlagen-uebersetzungshilfen/","x")</f>
        <v>x</v>
      </c>
      <c r="AG193" s="112" t="str">
        <f>HYPERLINK("http://asyl-in-moenchengladbach.de/wp-content/uploads/2015/11/100711-Flyer_GB.pdf","x")</f>
        <v>x</v>
      </c>
      <c r="AH193" s="112" t="str">
        <f>HYPERLINK("http://sghanstedt.elbnetz.com/ueber-uns/","x")</f>
        <v>x</v>
      </c>
      <c r="AI193" s="112" t="str">
        <f>HYPERLINK("https://www.adac.de/sp/stiftung/_mmm/pdf/SGE_FOL_Verkehrssicherheit_Fl%C3%BCchtlinge_A3_01_16_Internet_250277.pdf","x")</f>
        <v>x</v>
      </c>
      <c r="AJ193" s="112" t="str">
        <f>HYPERLINK("http://www.stadt-koeln.de/mediaasset/content/kvb_kinderleicht_und_spielend_einfach__englisch_.pdf","x")</f>
        <v>x</v>
      </c>
      <c r="AK193" s="112" t="str">
        <f>HYPERLINK("https://www.vrsinfo.de/fileadmin/Dateien/downloadcenter/Folder_MobilPassTicket_Refugees01012016.pdf","x")</f>
        <v>x</v>
      </c>
      <c r="AL193" s="112" t="str">
        <f>HYPERLINK("https://www.vrsinfo.de/fileadmin/Dateien/downloadcenter/Willkommen_im_VRS2016_Druck.pdf","x")</f>
        <v>x</v>
      </c>
      <c r="AM193" s="112"/>
      <c r="AN193" s="112" t="str">
        <f>HYPERLINK("https://www.deutschebahn.com/file/de/2191748/eYdgZpqGpp5sMJ2KMKtg2r8aE4Q/10123812/data/infos_fuer_fluechtlinge.pdf","x")</f>
        <v>x</v>
      </c>
      <c r="AO193" s="112"/>
      <c r="AP193" s="112"/>
      <c r="AQ193" s="112"/>
      <c r="AR193" s="112"/>
      <c r="AS193" s="112"/>
      <c r="AT193" s="112"/>
      <c r="AU193" s="112" t="str">
        <f>HYPERLINK("http://www.stadt-koeln.de/mediaasset/content/festkomitee_flyer_2016_d_gb.pdf","x")</f>
        <v>x</v>
      </c>
      <c r="AV193" s="113"/>
      <c r="AW193" s="114" t="str">
        <f t="shared" si="55"/>
        <v>x</v>
      </c>
      <c r="AX193" s="114" t="str">
        <f t="shared" si="56"/>
        <v>x</v>
      </c>
      <c r="AY193" s="112" t="str">
        <f>HYPERLINK("http://fi-lohmar-siegburg.de/data/documents/Findefix_arabisch-Bildwoerterbuch.pdf","x")</f>
        <v>x</v>
      </c>
      <c r="AZ193" s="111"/>
      <c r="BA193" s="112" t="str">
        <f t="shared" si="57"/>
        <v>x</v>
      </c>
      <c r="BB193" s="112" t="str">
        <f t="shared" si="58"/>
        <v>x</v>
      </c>
      <c r="BC193" s="111"/>
      <c r="BD193" s="111"/>
      <c r="BE193" s="112" t="str">
        <f>HYPERLINK("http://fi-lohmar-siegburg.de/data/documents/communicationboard-arabic-english.pdf","x")</f>
        <v>x</v>
      </c>
      <c r="BF193" s="112"/>
      <c r="BG193" s="111"/>
      <c r="BH193" s="112" t="str">
        <f>HYPERLINK("http://www.refugeephrasebook.de/pdf/germany150920.pdf","x")</f>
        <v>x</v>
      </c>
      <c r="BI193" s="112" t="str">
        <f>HYPERLINK("https://www.advanced-online.eu/downloads/RefugeePhrasebookCards_German-English.pdf","x")</f>
        <v>x</v>
      </c>
      <c r="BJ193" s="112" t="str">
        <f>HYPERLINK("http://www.klett-sprachen.de/download/8638/W100255_Refugees_Welcome_Wortschatz.pdf","x")</f>
        <v>x</v>
      </c>
      <c r="BK193" s="111"/>
      <c r="BL193" s="112" t="str">
        <f>HYPERLINK("http://www.bundessprachenamt.de/deutsch/wir_ueber_uns/nachrichten/2015/20151103/Verständigungshilfe_Englisch_26_11_2015.pdf","x")</f>
        <v>x</v>
      </c>
      <c r="BM193" s="112" t="str">
        <f>HYPERLINK("http://www.frnrw.de/images/Aus_den_Initiativen/Ehrenamtler/2015/Dictionary_x10_print-2.pdf","x")</f>
        <v>x</v>
      </c>
      <c r="BN193" s="112" t="str">
        <f>HYPERLINK("http://www.medbox.org/toolboxes/kleines-worterbuch-little-dictionary-deutsch-englisch-arabisch/preview","x")</f>
        <v>x</v>
      </c>
      <c r="BO193" s="112" t="str">
        <f>HYPERLINK("http://mylanguages.org/dari_phrases.php","x")</f>
        <v>x</v>
      </c>
      <c r="BP193" s="111"/>
      <c r="BQ193" s="111"/>
      <c r="BR193" s="111"/>
      <c r="BS193" s="112" t="str">
        <f t="shared" si="59"/>
        <v>x</v>
      </c>
      <c r="BT193" s="112"/>
      <c r="BU193" s="111"/>
      <c r="BV193" s="112" t="str">
        <f t="shared" si="60"/>
        <v>x</v>
      </c>
      <c r="BW193" s="112" t="str">
        <f>HYPERLINK("http://www.welcomegrooves.de/wp-content/uploads/2015/10/welcomegrooves_DE-ENGLISH1.pdf","x")</f>
        <v>x</v>
      </c>
      <c r="BX193" s="112"/>
      <c r="BY193" s="112"/>
      <c r="BZ193" s="112"/>
      <c r="CA193" s="112" t="str">
        <f t="shared" si="61"/>
        <v>x</v>
      </c>
      <c r="CB193" s="112" t="str">
        <f t="shared" si="62"/>
        <v>x</v>
      </c>
      <c r="CC193" s="112" t="str">
        <f t="shared" si="63"/>
        <v>x</v>
      </c>
      <c r="CD193" s="112"/>
      <c r="CE193" s="112"/>
      <c r="CF193" s="111"/>
      <c r="CG193" s="112" t="str">
        <f>HYPERLINK("http://www.braunschweig.de/leben/frauen/hilfe/Ohne-Gewalt-leben.pdf","x")</f>
        <v>x</v>
      </c>
      <c r="CH193" s="112" t="str">
        <f>HYPERLINK("http://mifkjf.rlp.de/fileadmin/mifkjf/Frauen/Gewalt_gegen_Frauen/Downloads/Broschueren_Flyer/Flyer_Gewalt_englisch.pdf","x")</f>
        <v>x</v>
      </c>
      <c r="CI193" s="112" t="str">
        <f>HYPERLINK("https://www.hilfetelefon.de/fileadmin/hilfetelefon_de/Materialien/Flyer/Infoflyer_Hilfetelefon_Gewalt_gegen_Frauen141105_b2.pdf","x")</f>
        <v>x</v>
      </c>
      <c r="CJ193" s="112" t="str">
        <f>HYPERLINK("https://www.hilfetelefon.de/fileadmin/hilfetelefon_de/Materialien/weitere_werbemittel/Klappflyer_Vorder-_und_Rueckseite_opt2.pdf","x")</f>
        <v>x</v>
      </c>
      <c r="CK193" s="112" t="str">
        <f t="shared" si="64"/>
        <v>x</v>
      </c>
      <c r="CL193" s="112" t="str">
        <f>HYPERLINK("http://www.frauenberatungsstelle.de/pdf/Migrantinnen-beraten-Migrantinnen.pdf","x")</f>
        <v>x</v>
      </c>
      <c r="CM193" s="112" t="str">
        <f>HYPERLINK("http://www.frauenleben.org/spezielle_beratungsangebote/sexualisierte_gewalt.htm","x")</f>
        <v>x</v>
      </c>
      <c r="CN193" s="112"/>
      <c r="CO193" s="112"/>
      <c r="CP193" s="112" t="str">
        <f>HYPERLINK("http://www.schwanger-und-viele-fragen.de/en/","x")</f>
        <v>x</v>
      </c>
      <c r="CQ193" s="112"/>
      <c r="CR19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93" s="112" t="str">
        <f>HYPERLINK("http://en.beststart.org/for_parents/are-you-looking-resources-languages-other-english-and-french","x")</f>
        <v>x</v>
      </c>
      <c r="CT193" s="112"/>
      <c r="CU193" s="112" t="str">
        <f>HYPERLINK("http://www.profamilia.de/fileadmin/publikationen/Erwachsene/mehrsprachig/Bro_Verhuetung_engl_2013.pdf","x")</f>
        <v>x</v>
      </c>
      <c r="CV193" s="112" t="str">
        <f>HYPERLINK("http://www.profamilia.de/fileadmin/publikationen/Erwachsene/mehrsprachig/Bro_Pille_danach_Faltblatt_140122_RZ.pdf","x")</f>
        <v>x</v>
      </c>
      <c r="CW193" s="112" t="str">
        <f>HYPERLINK("http://www.profamilia.de/fileadmin/publikationen/Reihe_Verhuetungsmethoden/Einleger_englisch.pdf","x")</f>
        <v>x</v>
      </c>
      <c r="CX193" s="112" t="str">
        <f>HYPERLINK("http://www.profamilia.de/fileadmin/publikationen/Reihe_Koerper_und_Sexualtitaet/Schwangerschaftsabbruch_englisch_2010.pdf","x")</f>
        <v>x</v>
      </c>
      <c r="CY193" s="112" t="str">
        <f>HYPERLINK("http://www.caritas-schwarzwald-alb-donau.de/68854.html","x")</f>
        <v>x</v>
      </c>
      <c r="CZ193" s="112" t="str">
        <f>HYPERLINK("http://www.dgfpi.de/tl_files/download/medien/unwissen-macht-en.pdf","x")</f>
        <v>x</v>
      </c>
      <c r="DA193" s="112"/>
      <c r="DB193" s="112"/>
      <c r="DC193" s="115" t="str">
        <f>HYPERLINK("http://www.kindersicherheit.de/pdf/2013_BAG_Tomi_and_Mila_Deutsch_English.pdf","x")</f>
        <v>x</v>
      </c>
      <c r="DD193" s="112"/>
      <c r="DE193" s="112"/>
      <c r="DF193" s="112" t="str">
        <f t="shared" si="65"/>
        <v>x</v>
      </c>
      <c r="DG193" s="115" t="str">
        <f t="shared" si="66"/>
        <v>x</v>
      </c>
      <c r="DH193" s="112" t="str">
        <f t="shared" si="67"/>
        <v>x</v>
      </c>
      <c r="DI193" s="112" t="str">
        <f t="shared" si="68"/>
        <v>x</v>
      </c>
      <c r="DJ193" s="112"/>
      <c r="DK193" s="112"/>
      <c r="DL193" s="112"/>
      <c r="DM193" s="112"/>
      <c r="DN193" s="112"/>
      <c r="DO193" s="112" t="str">
        <f>HYPERLINK("http://www.wdrmaus.de/sachgeschichten/maus-international/","x")</f>
        <v>x</v>
      </c>
      <c r="DP193" s="111"/>
      <c r="DQ193" s="111"/>
      <c r="DR193" s="112" t="str">
        <f>HYPERLINK("https://broschueren.nordrheinwestfalendirekt.de/broschuerenservice/msw/eng-das-schulsystem-in-nordrhein-westfalen-einfach-und-schnell-erklaert/1902","x")</f>
        <v>x</v>
      </c>
      <c r="DS193" s="112" t="str">
        <f>HYPERLINK("http://bildung.koeln.de/materialbibliothek/download.php?idx=8e2a9f658e9fa830ce17dc18f0fb0268","x")</f>
        <v>x</v>
      </c>
      <c r="DT193" s="112" t="str">
        <f>HYPERLINK("http://bildung.koeln.de/materialbibliothek/download.php?idx=90aff7e7259385cadb46c517317f1446","x")</f>
        <v>x</v>
      </c>
      <c r="DU193" s="112"/>
      <c r="DV193" s="112" t="str">
        <f>HYPERLINK("https://www.bmbf.de/pub/Kausa_Elternbroschuere_englisch.pdf","x")</f>
        <v>x</v>
      </c>
      <c r="DW193" s="112"/>
      <c r="DX193" s="112" t="str">
        <f>HYPERLINK("http://www.wissenschaft.nrw.de/studium/informieren/informationen-fuer-fluechtlinge-die-in-nrw-studieren-moechten/","x")</f>
        <v>x</v>
      </c>
      <c r="DY193" s="112" t="str">
        <f>HYPERLINK("http://www.bamf.de/SharedDocs/Anlagen/DE/Publikationen/Flyer/AnerkennungBerufsabschluss/berufliche_anerkennung_akademische-heilberufe_en.pdf?__blob=publicationFile","x")</f>
        <v>x</v>
      </c>
      <c r="DZ193" s="112" t="str">
        <f>HYPERLINK("http://www.bamf.de/SharedDocs/Anlagen/EN/Publikationen/Flyer/AnerkennungBerufsabschluss/anerkennung-berufsabschluss.pdf?__blob=publicationFile","x")</f>
        <v>x</v>
      </c>
      <c r="EA193" s="112" t="str">
        <f>HYPERLINK("http://www.bamf.de/SharedDocs/Anlagen/EN/Publikationen/Flyer/AnerkennungBerufsabschluss/anerkennung-berufsabschluss_ausland.pdf?__blob=publicationFile","x")</f>
        <v>x</v>
      </c>
      <c r="EB193" s="112" t="str">
        <f>HYPERLINK("http://www.bamf.de/SharedDocs/Anlagen/EN/Publikationen/Broschueren/willkommen-in-deutschland-info-blaue-karte-eu_en.pdf?__blob=publicationFile","x")</f>
        <v>x</v>
      </c>
      <c r="EC193" s="112" t="str">
        <f>HYPERLINK("http://www.bamf.de/SharedDocs/Anlagen/EN/Publikationen/Flyer/Berufsbezsprachf-ESF-BAMF/berufsbezsprachf-esf-bamf.pdf?__blob=publicationFile","x")</f>
        <v>x</v>
      </c>
      <c r="ED193" s="111"/>
      <c r="EE193" s="111"/>
      <c r="EF193" s="111"/>
      <c r="EG193" s="111"/>
      <c r="EH193" s="111"/>
      <c r="EI193" s="111"/>
      <c r="EJ193" s="112"/>
      <c r="EK193" s="112" t="str">
        <f>HYPERLINK("http://fluechtlingsrat-bw.de/files/Dateien/Dokumente/Materialbestellung/2014-12-flyer%20arbeitserlaubnis%20EN%20WEB.pdf","x")</f>
        <v>x</v>
      </c>
      <c r="EL193" s="112" t="str">
        <f>HYPERLINK("http://www.aponet.de/englisch/20151019-fuer-den-notfall-wichtige-rufnummern-im-ueberblick.html","x")</f>
        <v>x</v>
      </c>
      <c r="EM193" s="112" t="str">
        <f>HYPERLINK("http://www.kvs-sachsen.de/fileadmin/img/Mitglieder/Asylbewerber/Allg-Informationen/Anlage_1_Englisch_LEK.pdf","x")</f>
        <v>x</v>
      </c>
      <c r="EN193" s="112" t="str">
        <f>HYPERLINK("http://www.medizin-hilft-fluechtlingen.de/images/Dokumente/gSch/gSch_eng.pdf","x")</f>
        <v>x</v>
      </c>
      <c r="EO193" s="112" t="str">
        <f>HYPERLINK("http://www.aponet.de/englisch/medical-care-for-asylum-seekers.html","x")</f>
        <v>x</v>
      </c>
      <c r="EP193" s="117" t="str">
        <f>HYPERLINK("http://www.medi-bild.de/pdf/anamnese/Welche_Sprache.pdf","x")</f>
        <v>x</v>
      </c>
      <c r="EQ193" s="117" t="str">
        <f>HYPERLINK("http://www.armut-gesundheit.de/fileadmin/redakteur/dokumente/Anamnesebogen%20-%20englischnew.pdf","x")</f>
        <v>x</v>
      </c>
      <c r="ER193" s="112" t="str">
        <f>HYPERLINK("http://www.kvs-sachsen.de/fileadmin/img/Mitglieder/Asylbewerber/Allg-Informationen/Anlagen_2-1_2-2_Englisch_LEK.pdf","x")</f>
        <v>x</v>
      </c>
      <c r="ES193" s="111"/>
      <c r="ET193" s="111"/>
      <c r="EU193" s="112" t="str">
        <f>HYPERLINK("http://www.medizin-hilft-fluechtlingen.de/images/Dokumente/ein/ein_engl.pdf","x")</f>
        <v>x</v>
      </c>
      <c r="EV193" s="112" t="str">
        <f>HYPERLINK("http://www.adler-apotheke-hh.de/fileadmin/user_upload/PDF-Dateien/Dosierzettel_mehrsprachig_AUF_0_.pdf","x")</f>
        <v>x</v>
      </c>
      <c r="EW193" s="112" t="str">
        <f t="shared" si="69"/>
        <v>x</v>
      </c>
      <c r="EX193" s="112" t="str">
        <f>HYPERLINK("http://www.rki.de/DE/Content/Infekt/IfSG/Belehrungsbogen/belehrungsbogen_eltern_englisch.pdf?__blob=publicationFile","x")</f>
        <v>x</v>
      </c>
      <c r="EY193" s="112" t="str">
        <f>HYPERLINK("http://www.bzga.de/infomaterialien/?sid=236","x")</f>
        <v>x</v>
      </c>
      <c r="EZ193" s="112" t="str">
        <f>HYPERLINK("https://www.mh-hannover.de/fileadmin/mhh/bilder/aktuelles_presse/pressestelle/bilder/Pilzvergif_English.pdf","x")</f>
        <v>x</v>
      </c>
      <c r="FA193" s="112"/>
      <c r="FB193" s="112" t="str">
        <f>HYPERLINK("http://static.apotheken-umschau.de/media/gp/article_506373/bildwoerterbuch.pdf","x")</f>
        <v>x</v>
      </c>
      <c r="FC193" s="112" t="str">
        <f>HYPERLINK("https://www.studentenwerke.de/sites/default/files/gesundheitswoerterbuch.pdf","x")</f>
        <v>x</v>
      </c>
      <c r="FD193" s="112" t="str">
        <f t="shared" si="70"/>
        <v>x</v>
      </c>
      <c r="FE193" s="112" t="str">
        <f>HYPERLINK("http://sghanstedt.elbnetz.com/ueber-uns/","x")</f>
        <v>x</v>
      </c>
      <c r="FF193" s="112" t="str">
        <f>HYPERLINK("http://www.fuhlenhagen.com/pdf_dateien/uebertzungshilfe_aerzte_mehrsprachig.pdf","x")</f>
        <v>x</v>
      </c>
      <c r="FG193" s="112" t="str">
        <f>HYPERLINK("http://www.tipdoc.de/grafik/asyl/Gesundheitsheft_Asyl.pdf","x")</f>
        <v>x</v>
      </c>
      <c r="FH193" s="111"/>
      <c r="FI193" s="111"/>
      <c r="FJ193" s="112" t="str">
        <f>HYPERLINK("http://www.bundesgesundheitsministerium.de/fileadmin/dateien/Publikationen/Gesundheit/Broschueren/Ratgeber_Asylsuchende/Ratgeber_Asylsuchende_engl.pdf","x")</f>
        <v>x</v>
      </c>
      <c r="FK193" s="112" t="str">
        <f>HYPERLINK("http://www.rki.de/DE/Content/Infekt/Impfen/Materialien/Downloads-Impfkalender/Impfkalender_Englisch.pdf?__blob=publicationFile","x")</f>
        <v>x</v>
      </c>
      <c r="FL193" s="112" t="str">
        <f>HYPERLINK("http://www.ethno-medizinisches-zentrum.de/images/PDF-Files/impfwegweiser_englisch_2013_online.pdf","x")</f>
        <v>x</v>
      </c>
      <c r="FM193" s="112"/>
      <c r="FN193" s="112" t="str">
        <f>HYPERLINK("http://www.rki.de/DE/Content/Infekt/Impfen/Materialien/Glossar-Downloads/glossar-de-englisch.pdf?__blob=publicationFile","x")</f>
        <v>x</v>
      </c>
      <c r="FO193" s="112" t="str">
        <f>HYPERLINK("http://www.euro.who.int/__data/assets/pdf_file/0005/160754/VPDs_Signs-symptoms-complications.pdf?ua=1","x")</f>
        <v>x</v>
      </c>
      <c r="FP193" s="112" t="str">
        <f>HYPERLINK("http://www.rki.de/DE/Content/Infekt/Impfen/Materialien/Downloads-MMR/MMR-Impfinfo-englisch.pdf?__blob=publicationFile","x")</f>
        <v>x</v>
      </c>
      <c r="FQ193" s="112" t="str">
        <f>HYPERLINK("http://www.rki.de/DE/Content/InfAZ/P/Polio/Ausbruch_Syrien/Informationsblatt_Polio_Englisch.pdf?__blob=publicationFile","x")</f>
        <v>x</v>
      </c>
      <c r="FR193" s="112" t="str">
        <f>HYPERLINK("http://www.rki.de/DE/Content/Infekt/Impfen/Materialien/Downloads_HepA/Aufklaerung_HAV-Impfung_Englisch.pdf?__blob=publicationFile","x")</f>
        <v>x</v>
      </c>
      <c r="FS193" s="112" t="str">
        <f>HYPERLINK("http://www.rki.de/DE/Content/Infekt/Impfen/Materialien/Downloads_Pneumokokken/Aufklaerung_Pneumo-Impfung_Englisch.pdf?__blob=publicationFile","x")</f>
        <v>x</v>
      </c>
      <c r="FT193" s="112" t="str">
        <f>HYPERLINK("http://www.rki.de/DE/Content/Infekt/Impfen/Materialien/Downloads-DTaPIPVHibHepB/DTaPIPVHibHepB-englisch.pdf?__blob=publicationFile","x")</f>
        <v>x</v>
      </c>
      <c r="FU193" s="112" t="str">
        <f>HYPERLINK("http://www.rki.de/DE/Content/Infekt/Impfen/Materialien/Downloads-Varizellen/Varizellen-Impfinfo-englisch.pdf;jsessionid=65B697F4EE7EDA8A1ED9E2C4CD6C74EC.2_cid363?__blob=publicationFile","x")</f>
        <v>x</v>
      </c>
      <c r="FV193" s="112" t="str">
        <f>HYPERLINK("http://www.rki.de/DE/Content/Infekt/Impfen/Materialien/Downloads-Tdap-IPV/Tdap-IPV-englisch.pdf?__blob=publicationFile","x")</f>
        <v>x</v>
      </c>
      <c r="FW193" s="112" t="str">
        <f>HYPERLINK("http://www.rki.de/DE/Content/Infekt/Impfen/Materialien/Downloads-Influenza_nasal/Influenza_nasal-englisch.pdf?__blob=publicationFile","x")</f>
        <v>x</v>
      </c>
      <c r="FX193" s="111"/>
      <c r="FY193" s="112"/>
      <c r="FZ193" s="112"/>
      <c r="GA193" s="111"/>
      <c r="GB193" s="111"/>
      <c r="GC193" s="111"/>
      <c r="GD193" s="112" t="str">
        <f>HYPERLINK("http://www.ethno-medizinisches-zentrum.de/images/PDF-Files/lf_diabete_englisch.pdf","x")</f>
        <v>x</v>
      </c>
      <c r="GE193" s="111"/>
      <c r="GF193" s="111"/>
      <c r="GG193" s="111"/>
      <c r="GH193" s="112"/>
      <c r="GI193" s="111"/>
      <c r="GJ193" s="111"/>
      <c r="GK193" s="112" t="str">
        <f>HYPERLINK("http://www.tipdoc.de/bus/pdf/hiv/HIV%20ESP_Webseite.pdf","x")</f>
        <v>x</v>
      </c>
      <c r="GL193" s="111"/>
      <c r="GM193" s="112" t="str">
        <f>HYPERLINK("http://www.rki.de/DE/Content/Infekt/Impfen/Materialien/Downloads-Influenza/Influenza-englisch.pdf?__blob=publicationFile","x")</f>
        <v>x</v>
      </c>
      <c r="GN193" s="111"/>
      <c r="GO193" s="112" t="str">
        <f>HYPERLINK("http://www.aponet.de/englisch/20151111-so-unterscheiden-sich-grippe-und-erkaeltung.html","x")</f>
        <v>x</v>
      </c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2" t="str">
        <f t="shared" si="71"/>
        <v>x</v>
      </c>
      <c r="HD193" s="112" t="str">
        <f>HYPERLINK("https://www.zahnaerzte-wl.de/images/_PDF-suche/KZV_ZÄK/ENDSTAND_Ankreuzbogen_Ich_verstehe.pdf","x")</f>
        <v>x</v>
      </c>
      <c r="HE193" s="112" t="str">
        <f>HYPERLINK("https://www.zahnaerzte-wl.de/images/_PDF-suche/KZV_ZÄK/Anschreiben_Patienten_englisch.pdf","x")</f>
        <v>x</v>
      </c>
      <c r="HF193" s="112" t="str">
        <f>HYPERLINK("https://www.zahnaerzte-wl.de/images/_PDF-suche/KZV_ZÄK/Fragebogen_englisch.pdf","x")</f>
        <v>x</v>
      </c>
      <c r="HG193" s="112" t="str">
        <f>HYPERLINK("https://www.zahnaerzte-wl.de/images/_PDF-suche/KZV_ZÄK/Patientenerhebungsbogen_englisch.pdf","x")</f>
        <v>x</v>
      </c>
      <c r="HH193" s="112"/>
      <c r="HI193" s="112" t="str">
        <f>HYPERLINK("http://www.bvkm.de/fileadmin/web_data/Behinderung_und_Migration_englisch_2014.pdf","x")</f>
        <v>x</v>
      </c>
      <c r="HJ193" s="112"/>
      <c r="HK193" s="112" t="str">
        <f>HYPERLINK("http://www.psychenet.de/en/mental-health/knowledge/depression.html","x")</f>
        <v>x</v>
      </c>
      <c r="HL193" s="111"/>
      <c r="HM193" s="112" t="str">
        <f>HYPERLINK("http://www.psychenet.de/en/mental-health/knowledge/psychoses.html","x")</f>
        <v>x</v>
      </c>
      <c r="HN193" s="112" t="str">
        <f>HYPERLINK("http://www.psychenet.de/en/mental-health/knowledge/somatoform-disorders.html","x")</f>
        <v>x</v>
      </c>
      <c r="HO193" s="112" t="str">
        <f>HYPERLINK("http://www.psychenet.de/en/mental-health/knowledge/anorexia.html","x")</f>
        <v>x</v>
      </c>
      <c r="HP193" s="112" t="str">
        <f>HYPERLINK("http://www.psychenet.de/en/mental-health/knowledge/bulimia.html","x")</f>
        <v>x</v>
      </c>
      <c r="HQ193" s="112" t="str">
        <f>HYPERLINK("http://www.psychenet.de/en/mental-health/knowledge/bipolar-disorder.html","x")</f>
        <v>x</v>
      </c>
      <c r="HR193" s="112" t="str">
        <f>HYPERLINK("http://www.psychenet.de/en/mental-health/knowledge/panic-and-agoraphobia.html","x")</f>
        <v>x</v>
      </c>
      <c r="HS193" s="112" t="str">
        <f>HYPERLINK("http://www.psychenet.de/en/mental-health/knowledge/social-phobia.html","x")</f>
        <v>x</v>
      </c>
      <c r="HT193" s="112" t="str">
        <f>HYPERLINK("http://www.psychenet.de/en/mental-health/knowledge/generalized-anxiety-disorder.html","x")</f>
        <v>x</v>
      </c>
      <c r="HU193" s="112"/>
      <c r="HV193" s="112" t="str">
        <f>HYPERLINK("http://www.psychenet.de/en/mental-health/knowledge/information-and-support.html","x")</f>
        <v>x</v>
      </c>
      <c r="HW193" s="112"/>
      <c r="HX193" s="112" t="str">
        <f>HYPERLINK("http://www.bkk-psychisch-gesund.de/fileadmin/user_upload/Dokumente/Versicherte/Broschueren/Wegweiser_Psychotherapie_englisch.pdf","x")</f>
        <v>x</v>
      </c>
      <c r="HY193" s="112" t="str">
        <f t="shared" si="72"/>
        <v>x</v>
      </c>
      <c r="HZ193" s="112" t="str">
        <f t="shared" si="73"/>
        <v>x</v>
      </c>
      <c r="IA193" s="112" t="str">
        <f>HYPERLINK("http://peacefulheart.se/wp-content/uploads/2012/02/TTT_English_2013.pdf","x")</f>
        <v>x</v>
      </c>
      <c r="IB193" s="112"/>
      <c r="IC193" s="112"/>
      <c r="ID193" s="112" t="str">
        <f>HYPERLINK("http://www.susannestein.de/VIA-online/trauma-picture-book.pdf","x")</f>
        <v>x</v>
      </c>
      <c r="IE193" s="112" t="str">
        <f>HYPERLINK("http://www.psychenet.de/en/mental-health/knowledge/alcohol-in-adolescence.html","x")</f>
        <v>x</v>
      </c>
      <c r="IF193" s="112"/>
      <c r="IG193" s="112"/>
      <c r="IH193" s="111"/>
      <c r="II193" s="112" t="str">
        <f>HYPERLINK("http://www.caritas.de/hilfeundberatung/onlineberatung/suchtberatung/haeufiggestelltefragensucht/haeufiggestelltefragen-sucht","x")</f>
        <v>x</v>
      </c>
      <c r="IJ193" s="112" t="str">
        <f>HYPERLINK("http://www.dhs.de/fileadmin/user_upload/pdf/Broschueren/Ein_Angebot_an_alle-Englisch.pdf","x")</f>
        <v>x</v>
      </c>
      <c r="IK193" s="112" t="str">
        <f>HYPERLINK("http://www.bamf.de/SharedDocs/Anlagen/EN/Publikationen/Flyer/Lassen-Sie-Sich-Beraten/lassen-sie-sich-beraten.pdf?__blob=publicationFile","x")</f>
        <v>x</v>
      </c>
      <c r="IL193" s="115" t="str">
        <f>HYPERLINK("http://www.bamf.de/SharedDocs/Anlagen/EN/Publikationen/Flyer/flyer-erstorientierung-asylsuchende.pdf?__blob=publicationFile","x")</f>
        <v>x</v>
      </c>
      <c r="IM193" s="112" t="str">
        <f>HYPERLINK("http://www.frnrw.de/index.php/inhaltliche-themen/arbeitshilfen/item/3710-erstinfos-fuer-asylsuchende","x")</f>
        <v>x</v>
      </c>
      <c r="IN193" s="112" t="str">
        <f>HYPERLINK("http://www.bamf.de/SharedDocs/Anlagen/EN/Publikationen/Broschueren/willkommen-in-deutschland.pdf;jsessionid=2D72CB108E4AC02BBB9659E7D9A589B2.1_cid368?__blob=publicationFile","x")</f>
        <v>x</v>
      </c>
      <c r="IO193" s="112"/>
      <c r="IP193" s="112"/>
      <c r="IQ193" s="112" t="str">
        <f>HYPERLINK("http://www.bamf.de/SharedDocs/Anlagen/EN/Publikationen/Flyer/Lernen-Sie-Deutsch/lernen-sie-deutsch.pdf?__blob=publicationFile","x")</f>
        <v>x</v>
      </c>
      <c r="IR193" s="112" t="str">
        <f>HYPERLINK("http://www.asyl.net/fileadmin/user_upload/redaktion/Dokumente/Arbeitshilfen/150910_Wie_l%C3%A4uft_ein_Asylverfahren_ab_%C3%9Cberblickstext_Englisch.pdf","x")</f>
        <v>x</v>
      </c>
      <c r="IS193" s="111"/>
      <c r="IT193" s="112" t="str">
        <f>HYPERLINK("http://www.bamf.de/SharedDocs/Anlagen/EN/Publikationen/Flyer/ablauf-asylverfahren.pdf;jsessionid=DBD4307960D761935FCC3E0325D459A1.1_cid294?__blob=publicationFile","x")</f>
        <v>x</v>
      </c>
      <c r="IU193" s="111"/>
      <c r="IV193" s="112" t="str">
        <f>HYPERLINK("http://www.asyl.net/fileadmin/user_upload/infoblatt_anhoerung/Infoblatt_2015_en_fin.pdf","x")</f>
        <v>x</v>
      </c>
      <c r="IW193" s="112"/>
      <c r="IX193" s="112" t="str">
        <f>HYPERLINK("http://www.berlin.de/labo/willkommen-in-berlin/service/downloads/artikel.273193.php","x")</f>
        <v>x</v>
      </c>
      <c r="IY193" s="112" t="str">
        <f>HYPERLINK("http://www.bamf.de/SharedDocs/Anlagen/EN/Publikationen/Broschueren/broschuere-eat-a4.pdf?__blob=publicationFile","x")</f>
        <v>x</v>
      </c>
      <c r="IZ193" s="111"/>
      <c r="JA193" s="112" t="str">
        <f>HYPERLINK("http://fluechtlingsrat-bw.de/informationen-fuer-fluechtlinge.html","x")</f>
        <v>x</v>
      </c>
      <c r="JB193" s="111"/>
      <c r="JC193" s="112" t="str">
        <f>HYPERLINK("http://www.bamf.de/SharedDocs/Anlagen/EN/Publikationen/Flyer/20150223_ura2_en.pdf?__blob=publicationFile","x")</f>
        <v>x</v>
      </c>
      <c r="JD193" s="111"/>
      <c r="JE193" s="112"/>
      <c r="JF193" s="112"/>
      <c r="JG193" s="112" t="str">
        <f>HYPERLINK("http://www.bamf.de/SharedDocs/Anlagen/EN/Publikationen/Flyer/Ehegattennachzug/ehegattennachzug.pdf?__blob=publicationFile","x")</f>
        <v>x</v>
      </c>
      <c r="JH193" s="112" t="str">
        <f>HYPERLINK("https://familyreunion-syria.diplo.de/webportal/index.html#start","x")</f>
        <v>x</v>
      </c>
      <c r="JI193" s="112" t="str">
        <f>HYPERLINK("http://ec.europa.eu/dgs/home-affairs/what-we-do/networks/european_migration_network/docs/emn-glossary-en-version.pdf","x")</f>
        <v>x</v>
      </c>
      <c r="JJ193" s="112"/>
      <c r="JK193" s="112" t="str">
        <f>HYPERLINK("https://www.arbeitsagentur.de/web/wcm/idc/groups/public/documents/webdatei/mdaw/mjgz/~edisp/l6019022dstbai784628.pdf?_ba.sid=L6019022DSTBAI784625","x")</f>
        <v>x</v>
      </c>
      <c r="JL193" s="112" t="str">
        <f>HYPERLINK("http://www.kub-berlin.org/formularprojekt/de/englisch-antraege-und-anlagen-uebersetzungshilfen/","x")</f>
        <v>x</v>
      </c>
      <c r="JM193" s="112" t="str">
        <f>HYPERLINK("https://www.arbeitsagentur.de/web/content/DE/Formulare/Detail/index.htm?dfContentId=L6019022DSTBAI485740","x")</f>
        <v>x</v>
      </c>
      <c r="JN193" s="112"/>
      <c r="JO193" s="112"/>
      <c r="JP193" s="112"/>
      <c r="JQ193" s="112"/>
      <c r="JR193" s="112" t="str">
        <f t="shared" si="77"/>
        <v>x</v>
      </c>
      <c r="JS193" s="112"/>
      <c r="JT193" s="112" t="str">
        <f>HYPERLINK("http://www.b-umf.de/images/willkommen/willkommensbroschureenglisch-web.pdf","x")</f>
        <v>x</v>
      </c>
      <c r="JU193" s="111"/>
      <c r="JV193" s="111"/>
      <c r="JW193" s="112"/>
      <c r="JX193" s="112" t="str">
        <f>HYPERLINK("https://www.arbeitsagentur.de/web/wcm/idc/groups/public/documents/webdatei/mdaw/mjgz/~edisp/l6019022dstbai784636.pdf?_ba.sid=L6019022DSTBAI784633","x")</f>
        <v>x</v>
      </c>
      <c r="JY193" s="112"/>
      <c r="JZ193" s="112"/>
      <c r="KA193" s="112"/>
      <c r="KB193" s="112" t="str">
        <f>HYPERLINK("http://www.refugeeguide.de/dl/RefugeeGuide_en_925.pdf","x")</f>
        <v>x</v>
      </c>
      <c r="KC193" s="112" t="str">
        <f>HYPERLINK("http://www.gesetze-im-internet.de/englisch_gg/basic_law_for_the_federal_republic_of_germany.pdf","x")</f>
        <v>x</v>
      </c>
      <c r="KD193" s="112" t="str">
        <f>HYPERLINK("http://www.wedel.de/fileadmin/user_upload/media/pdf/Rathaus_und_Politik/20160118_PM_Broschuere.pdf","x")</f>
        <v>x</v>
      </c>
      <c r="KE193" s="112" t="str">
        <f>HYPERLINK("http://www.frauenrechte.de/online/images/downloads/allgemein/TDF_Flyer_Women_Men.pdf","x")</f>
        <v>x</v>
      </c>
      <c r="KF193" s="112" t="str">
        <f>HYPERLINK("http://sab.landtag.sachsen.de/dokumente/landtagskurier/Grundwerte-A5-international_web_08012016.pdf","x")</f>
        <v>x</v>
      </c>
      <c r="KG193" s="112"/>
      <c r="KH193" s="112"/>
      <c r="KI193" s="112"/>
      <c r="KJ193" s="112"/>
      <c r="KK193" s="112"/>
      <c r="KL193" s="112"/>
      <c r="KM193" s="112"/>
      <c r="KN193" s="112"/>
      <c r="KO193" s="112"/>
      <c r="KP193" s="112"/>
      <c r="KQ193" s="112"/>
      <c r="KR193" s="112"/>
      <c r="KS193" s="112"/>
      <c r="KT193" s="112"/>
      <c r="KU193" s="112"/>
      <c r="KV193" s="112"/>
      <c r="KW193" s="112"/>
      <c r="KX193" s="112"/>
      <c r="KY193" s="112"/>
      <c r="KZ193" s="112"/>
      <c r="LA193" s="112"/>
      <c r="LB193" s="112"/>
      <c r="LC193" s="111"/>
      <c r="LD193" s="112"/>
      <c r="LE193" s="112"/>
      <c r="LF193" s="112"/>
      <c r="LG193" s="112"/>
      <c r="LH193" s="112"/>
      <c r="LI193" s="112"/>
      <c r="LJ193" s="112"/>
      <c r="LK193" s="112"/>
      <c r="LL193" s="112"/>
      <c r="LM193" s="112"/>
      <c r="LN193" s="112"/>
      <c r="LO193" s="112"/>
      <c r="LP193" s="112"/>
      <c r="LQ193" s="112"/>
      <c r="LR193" s="112"/>
      <c r="LS193" s="112"/>
      <c r="LT193" s="112"/>
      <c r="LU193" s="112"/>
      <c r="LV193" s="112"/>
      <c r="LW193" s="112"/>
      <c r="LX193" s="112"/>
      <c r="LY193" s="112"/>
      <c r="LZ193" s="112"/>
      <c r="MA193" s="112"/>
      <c r="MB193" s="112"/>
      <c r="MC193" s="111"/>
      <c r="MD193" s="112" t="str">
        <f>HYPERLINK("http://www.rki.de/DE/Content/Infekt/IfSG/Belehrungsbogen/belehrungsbogen_lebensmittel_englisch.pdf?__blob=publicationFile","x")</f>
        <v>x</v>
      </c>
      <c r="ME193" s="112"/>
      <c r="MF193" s="112" t="str">
        <f>HYPERLINK("http://www.gdv.de/wp-content/uploads/2016/01/Information_Brandschutz_Fluechtlingsheim_-Sicherheit_mehrsprachig.pdf","x")</f>
        <v>x</v>
      </c>
      <c r="MG193" s="112" t="str">
        <f>HYPERLINK("http://www.gdv.de/wp-content/uploads/2016/01/Information_Verhalten-im-Brandfall_mehrsprachig.pdf","x")</f>
        <v>x</v>
      </c>
      <c r="MH193" s="112" t="str">
        <f>HYPERLINK("http://www.aha-region.de/fileadmin/Download/pdf/aha_Plakat_Muelltrennung_en.pdf","x")</f>
        <v>x</v>
      </c>
      <c r="MI193" s="112" t="str">
        <f>HYPERLINK("http://www.kindersicherheit.de/pdf/2012_poster_achtunggiftig_8sprachig.pdf","x")</f>
        <v>x</v>
      </c>
    </row>
    <row r="194" spans="1:347" x14ac:dyDescent="0.25">
      <c r="A194" s="102" t="s">
        <v>138</v>
      </c>
      <c r="B194" s="127" t="s">
        <v>135</v>
      </c>
      <c r="C194" s="102"/>
      <c r="D194" s="102"/>
      <c r="E194" s="102"/>
      <c r="F194" s="102"/>
      <c r="G194" s="102"/>
      <c r="H194" s="102"/>
      <c r="I194" s="102"/>
      <c r="J194" s="102"/>
      <c r="K194" s="103"/>
      <c r="L194" s="111"/>
      <c r="M194" s="111"/>
      <c r="N194" s="112" t="str">
        <f>HYPERLINK("http://www.ag-fluechtlingshilfe-wetterau.de/uploads/infos/170.pdf","x")</f>
        <v>x</v>
      </c>
      <c r="O194" s="112"/>
      <c r="P194" s="112"/>
      <c r="Q194" s="112"/>
      <c r="R194" s="112"/>
      <c r="S194" s="112"/>
      <c r="T194" s="112"/>
      <c r="U194" s="112"/>
      <c r="V194" s="112"/>
      <c r="W194" s="111"/>
      <c r="X194" s="112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2"/>
      <c r="AP194" s="112"/>
      <c r="AQ194" s="112"/>
      <c r="AR194" s="112"/>
      <c r="AS194" s="112"/>
      <c r="AT194" s="112"/>
      <c r="AU194" s="112"/>
      <c r="AV194" s="113"/>
      <c r="AW194" s="114" t="str">
        <f t="shared" si="55"/>
        <v>x</v>
      </c>
      <c r="AX194" s="114" t="str">
        <f t="shared" si="56"/>
        <v>x</v>
      </c>
      <c r="AY194" s="111"/>
      <c r="AZ194" s="111"/>
      <c r="BA194" s="112" t="str">
        <f t="shared" si="57"/>
        <v>x</v>
      </c>
      <c r="BB194" s="112" t="str">
        <f t="shared" si="58"/>
        <v>x</v>
      </c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2" t="str">
        <f t="shared" si="59"/>
        <v>x</v>
      </c>
      <c r="BT194" s="112"/>
      <c r="BU194" s="111"/>
      <c r="BV194" s="112" t="str">
        <f t="shared" si="60"/>
        <v>x</v>
      </c>
      <c r="BW194" s="112"/>
      <c r="BX194" s="112"/>
      <c r="BY194" s="112"/>
      <c r="BZ194" s="112"/>
      <c r="CA194" s="112" t="str">
        <f t="shared" si="61"/>
        <v>x</v>
      </c>
      <c r="CB194" s="112" t="str">
        <f t="shared" si="62"/>
        <v>x</v>
      </c>
      <c r="CC194" s="112" t="str">
        <f t="shared" si="63"/>
        <v>x</v>
      </c>
      <c r="CD194" s="112"/>
      <c r="CE194" s="112"/>
      <c r="CF194" s="111"/>
      <c r="CG194" s="111"/>
      <c r="CH194" s="111"/>
      <c r="CI194" s="111"/>
      <c r="CJ194" s="112" t="str">
        <f>HYPERLINK("https://www.hilfetelefon.de/fileadmin/hilfetelefon_de/Materialien/weitere_werbemittel/Klappflyer_Vorder-_und_Rueckseite_opt2.pdf","x")</f>
        <v>x</v>
      </c>
      <c r="CK194" s="112" t="str">
        <f t="shared" si="64"/>
        <v>x</v>
      </c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5"/>
      <c r="DD194" s="112"/>
      <c r="DE194" s="112"/>
      <c r="DF194" s="112" t="str">
        <f t="shared" si="65"/>
        <v>x</v>
      </c>
      <c r="DG194" s="115" t="str">
        <f t="shared" si="66"/>
        <v>x</v>
      </c>
      <c r="DH194" s="112" t="str">
        <f t="shared" si="67"/>
        <v>x</v>
      </c>
      <c r="DI194" s="112" t="str">
        <f t="shared" si="68"/>
        <v>x</v>
      </c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2"/>
      <c r="DV194" s="112" t="str">
        <f>HYPERLINK("https://www.bmbf.de/pub/KAUSA_Elternratgeber_deutsch_chinesisch_bf.pdf","x")</f>
        <v>x</v>
      </c>
      <c r="DW194" s="111"/>
      <c r="DX194" s="111"/>
      <c r="DY194" s="111"/>
      <c r="DZ194" s="111"/>
      <c r="EA194" s="111"/>
      <c r="EB194" s="112"/>
      <c r="EC194" s="111"/>
      <c r="ED194" s="111"/>
      <c r="EE194" s="111"/>
      <c r="EF194" s="111"/>
      <c r="EG194" s="111"/>
      <c r="EH194" s="111"/>
      <c r="EI194" s="111"/>
      <c r="EJ194" s="112"/>
      <c r="EK194" s="112"/>
      <c r="EL194" s="111"/>
      <c r="EM194" s="112" t="str">
        <f>HYPERLINK("http://www.kvs-sachsen.de/fileadmin/img/Mitglieder/Asylbewerber/Allg-Informationen/Anlage_1_Chinesisch_LEK.pdf","x")</f>
        <v>x</v>
      </c>
      <c r="EN194" s="111"/>
      <c r="EO194" s="111"/>
      <c r="EP194" s="117" t="str">
        <f>HYPERLINK("http://www.medi-bild.de/pdf/anamnese/Welche_Sprache.pdf","x")</f>
        <v>x</v>
      </c>
      <c r="EQ194" s="117" t="str">
        <f>HYPERLINK("http://www.medknowledge.de/migration/tipdoc/anamnesebogen/tipdoc_Anamnese_chin.pdf","x")</f>
        <v>x</v>
      </c>
      <c r="ER194" s="112" t="str">
        <f>HYPERLINK("http://www.kvs-sachsen.de/fileadmin/img/Mitglieder/Asylbewerber/Allg-Informationen/Anlagen_2-1_2-2_Chinesisch_LEK.pdf","x")</f>
        <v>x</v>
      </c>
      <c r="ES194" s="112"/>
      <c r="ET194" s="112"/>
      <c r="EU194" s="111"/>
      <c r="EV194" s="111"/>
      <c r="EW194" s="112" t="str">
        <f t="shared" si="69"/>
        <v>x</v>
      </c>
      <c r="EX194" s="111"/>
      <c r="EY194" s="111"/>
      <c r="EZ194" s="111"/>
      <c r="FA194" s="111"/>
      <c r="FB194" s="111"/>
      <c r="FC194" s="111"/>
      <c r="FD194" s="112" t="str">
        <f t="shared" si="70"/>
        <v>x</v>
      </c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2" t="str">
        <f t="shared" si="71"/>
        <v>x</v>
      </c>
      <c r="HD194" s="111"/>
      <c r="HE194" s="111"/>
      <c r="HF194" s="111"/>
      <c r="HG194" s="111"/>
      <c r="HH194" s="111"/>
      <c r="HI194" s="111"/>
      <c r="HJ194" s="111"/>
      <c r="HK194" s="112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2" t="str">
        <f t="shared" si="72"/>
        <v>x</v>
      </c>
      <c r="HZ194" s="112" t="str">
        <f t="shared" si="73"/>
        <v>x</v>
      </c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2"/>
      <c r="IL194" s="111"/>
      <c r="IM194" s="111"/>
      <c r="IN194" s="111"/>
      <c r="IO194" s="111"/>
      <c r="IP194" s="111"/>
      <c r="IQ194" s="112"/>
      <c r="IR194" s="112"/>
      <c r="IS194" s="111"/>
      <c r="IT194" s="111"/>
      <c r="IU194" s="111"/>
      <c r="IV194" s="112" t="str">
        <f>HYPERLINK("http://www.asyl.net/fileadmin/user_upload/infoblatt_anhoerung/Chin_final.pdf","x")</f>
        <v>x</v>
      </c>
      <c r="IW194" s="112"/>
      <c r="IX194" s="112"/>
      <c r="IY194" s="112" t="str">
        <f>HYPERLINK("http://www.bamf.de/SharedDocs/Anlagen/DE/Publikationen/Broschueren/broschuere-eat-a4-zh-chinesisch.pdf?__blob=publicationFile","x")</f>
        <v>x</v>
      </c>
      <c r="IZ194" s="111"/>
      <c r="JA194" s="111"/>
      <c r="JB194" s="111"/>
      <c r="JC194" s="112"/>
      <c r="JD194" s="111"/>
      <c r="JE194" s="112"/>
      <c r="JF194" s="112"/>
      <c r="JG194" s="111"/>
      <c r="JH194" s="111"/>
      <c r="JI194" s="111"/>
      <c r="JJ194" s="112"/>
      <c r="JK194" s="112"/>
      <c r="JL194" s="112"/>
      <c r="JM194" s="112"/>
      <c r="JN194" s="112"/>
      <c r="JO194" s="112"/>
      <c r="JP194" s="112"/>
      <c r="JQ194" s="112"/>
      <c r="JR194" s="112" t="str">
        <f t="shared" si="77"/>
        <v>x</v>
      </c>
      <c r="JS194" s="112"/>
      <c r="JT194" s="111"/>
      <c r="JU194" s="111"/>
      <c r="JV194" s="111"/>
      <c r="JW194" s="112"/>
      <c r="JX194" s="112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  <c r="MI194" s="111"/>
    </row>
    <row r="195" spans="1:347" x14ac:dyDescent="0.25">
      <c r="A195" s="102" t="s">
        <v>138</v>
      </c>
      <c r="B195" s="127" t="s">
        <v>476</v>
      </c>
      <c r="C195" s="102"/>
      <c r="D195" s="102"/>
      <c r="E195" s="102"/>
      <c r="F195" s="102"/>
      <c r="G195" s="102"/>
      <c r="H195" s="102"/>
      <c r="I195" s="102"/>
      <c r="J195" s="102"/>
      <c r="K195" s="103"/>
      <c r="L195" s="111"/>
      <c r="M195" s="111"/>
      <c r="N195" s="112"/>
      <c r="O195" s="112"/>
      <c r="P195" s="112"/>
      <c r="Q195" s="112"/>
      <c r="R195" s="112"/>
      <c r="S195" s="112"/>
      <c r="T195" s="112"/>
      <c r="U195" s="112"/>
      <c r="V195" s="112"/>
      <c r="W195" s="111"/>
      <c r="X195" s="112"/>
      <c r="Y195" s="111"/>
      <c r="Z195" s="111"/>
      <c r="AA195" s="111"/>
      <c r="AB195" s="111"/>
      <c r="AC195" s="111"/>
      <c r="AD195" s="112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2"/>
      <c r="AP195" s="112"/>
      <c r="AQ195" s="112"/>
      <c r="AR195" s="112"/>
      <c r="AS195" s="112"/>
      <c r="AT195" s="112"/>
      <c r="AU195" s="112"/>
      <c r="AV195" s="113"/>
      <c r="AW195" s="114" t="str">
        <f t="shared" si="55"/>
        <v>x</v>
      </c>
      <c r="AX195" s="114" t="str">
        <f t="shared" si="56"/>
        <v>x</v>
      </c>
      <c r="AY195" s="111"/>
      <c r="AZ195" s="111"/>
      <c r="BA195" s="112" t="str">
        <f t="shared" si="57"/>
        <v>x</v>
      </c>
      <c r="BB195" s="112" t="str">
        <f t="shared" si="58"/>
        <v>x</v>
      </c>
      <c r="BC195" s="111"/>
      <c r="BD195" s="111"/>
      <c r="BE195" s="111"/>
      <c r="BF195" s="111"/>
      <c r="BG195" s="111"/>
      <c r="BH195" s="112"/>
      <c r="BI195" s="112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2" t="str">
        <f t="shared" si="59"/>
        <v>x</v>
      </c>
      <c r="BT195" s="112"/>
      <c r="BU195" s="111"/>
      <c r="BV195" s="112" t="str">
        <f t="shared" si="60"/>
        <v>x</v>
      </c>
      <c r="BW195" s="112"/>
      <c r="BX195" s="112"/>
      <c r="BY195" s="112"/>
      <c r="BZ195" s="112"/>
      <c r="CA195" s="112" t="str">
        <f t="shared" si="61"/>
        <v>x</v>
      </c>
      <c r="CB195" s="112" t="str">
        <f t="shared" si="62"/>
        <v>x</v>
      </c>
      <c r="CC195" s="112" t="str">
        <f t="shared" si="63"/>
        <v>x</v>
      </c>
      <c r="CD195" s="112"/>
      <c r="CE195" s="112"/>
      <c r="CF195" s="111"/>
      <c r="CG195" s="112"/>
      <c r="CH195" s="112"/>
      <c r="CI195" s="112"/>
      <c r="CJ195" s="112"/>
      <c r="CK195" s="112" t="str">
        <f t="shared" si="64"/>
        <v>x</v>
      </c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5"/>
      <c r="DD195" s="112"/>
      <c r="DE195" s="112"/>
      <c r="DF195" s="112" t="str">
        <f t="shared" si="65"/>
        <v>x</v>
      </c>
      <c r="DG195" s="115" t="str">
        <f t="shared" si="66"/>
        <v>x</v>
      </c>
      <c r="DH195" s="112" t="str">
        <f t="shared" si="67"/>
        <v>x</v>
      </c>
      <c r="DI195" s="112" t="str">
        <f t="shared" si="68"/>
        <v>x</v>
      </c>
      <c r="DJ195" s="112" t="str">
        <f>HYPERLINK("http://www.bibliomedia.ch/de/angebote/dokumente/Glossar_tamil.pdf","x")</f>
        <v>x</v>
      </c>
      <c r="DK195" s="112"/>
      <c r="DL195" s="112"/>
      <c r="DM195" s="112"/>
      <c r="DN195" s="112"/>
      <c r="DO195" s="112"/>
      <c r="DP195" s="111"/>
      <c r="DQ195" s="112"/>
      <c r="DR195" s="112"/>
      <c r="DS195" s="112"/>
      <c r="DT195" s="112"/>
      <c r="DU195" s="112"/>
      <c r="DV195" s="112"/>
      <c r="DW195" s="111"/>
      <c r="DX195" s="111"/>
      <c r="DY195" s="111"/>
      <c r="DZ195" s="112"/>
      <c r="EA195" s="112"/>
      <c r="EB195" s="112"/>
      <c r="EC195" s="112"/>
      <c r="ED195" s="111"/>
      <c r="EE195" s="111"/>
      <c r="EF195" s="111"/>
      <c r="EG195" s="111"/>
      <c r="EH195" s="111"/>
      <c r="EI195" s="111"/>
      <c r="EJ195" s="112"/>
      <c r="EK195" s="112"/>
      <c r="EL195" s="115"/>
      <c r="EM195" s="112"/>
      <c r="EN195" s="112"/>
      <c r="EO195" s="111"/>
      <c r="EP195" s="117"/>
      <c r="EQ195" s="117"/>
      <c r="ER195" s="112"/>
      <c r="ES195" s="111"/>
      <c r="ET195" s="111"/>
      <c r="EU195" s="111"/>
      <c r="EV195" s="112"/>
      <c r="EW195" s="112" t="str">
        <f t="shared" si="69"/>
        <v>x</v>
      </c>
      <c r="EX195" s="112"/>
      <c r="EY195" s="112"/>
      <c r="EZ195" s="112"/>
      <c r="FA195" s="112"/>
      <c r="FB195" s="116"/>
      <c r="FC195" s="111"/>
      <c r="FD195" s="112" t="str">
        <f t="shared" si="70"/>
        <v>x</v>
      </c>
      <c r="FE195" s="112"/>
      <c r="FF195" s="112"/>
      <c r="FG195" s="111"/>
      <c r="FH195" s="111"/>
      <c r="FI195" s="111"/>
      <c r="FJ195" s="112"/>
      <c r="FK195" s="112"/>
      <c r="FL195" s="112"/>
      <c r="FM195" s="112"/>
      <c r="FN195" s="112"/>
      <c r="FO195" s="112"/>
      <c r="FP195" s="112"/>
      <c r="FQ195" s="112"/>
      <c r="FR195" s="112"/>
      <c r="FS195" s="112"/>
      <c r="FT195" s="112"/>
      <c r="FU195" s="112"/>
      <c r="FV195" s="112"/>
      <c r="FW195" s="112"/>
      <c r="FX195" s="112"/>
      <c r="FY195" s="112"/>
      <c r="FZ195" s="112"/>
      <c r="GA195" s="112"/>
      <c r="GB195" s="112"/>
      <c r="GC195" s="112"/>
      <c r="GD195" s="115"/>
      <c r="GE195" s="112"/>
      <c r="GF195" s="112"/>
      <c r="GG195" s="112"/>
      <c r="GH195" s="112"/>
      <c r="GI195" s="112"/>
      <c r="GJ195" s="112"/>
      <c r="GK195" s="111"/>
      <c r="GL195" s="111"/>
      <c r="GM195" s="112"/>
      <c r="GN195" s="112"/>
      <c r="GO195" s="112"/>
      <c r="GP195" s="112"/>
      <c r="GQ195" s="112"/>
      <c r="GR195" s="111"/>
      <c r="GS195" s="111"/>
      <c r="GT195" s="115"/>
      <c r="GU195" s="112"/>
      <c r="GV195" s="112"/>
      <c r="GW195" s="112"/>
      <c r="GX195" s="112"/>
      <c r="GY195" s="112"/>
      <c r="GZ195" s="112"/>
      <c r="HA195" s="112"/>
      <c r="HB195" s="112"/>
      <c r="HC195" s="112" t="str">
        <f t="shared" si="71"/>
        <v>x</v>
      </c>
      <c r="HD195" s="112"/>
      <c r="HE195" s="112"/>
      <c r="HF195" s="112"/>
      <c r="HG195" s="112"/>
      <c r="HH195" s="112"/>
      <c r="HI195" s="112"/>
      <c r="HJ195" s="112"/>
      <c r="HK195" s="112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2" t="str">
        <f t="shared" si="72"/>
        <v>x</v>
      </c>
      <c r="HZ195" s="112" t="str">
        <f t="shared" si="73"/>
        <v>x</v>
      </c>
      <c r="IA195" s="115"/>
      <c r="IB195" s="115"/>
      <c r="IC195" s="115"/>
      <c r="ID195" s="115"/>
      <c r="IE195" s="115"/>
      <c r="IF195" s="115"/>
      <c r="IG195" s="115"/>
      <c r="IH195" s="112"/>
      <c r="II195" s="115"/>
      <c r="IJ195" s="115"/>
      <c r="IK195" s="112"/>
      <c r="IL195" s="111"/>
      <c r="IM195" s="111"/>
      <c r="IN195" s="112"/>
      <c r="IO195" s="112"/>
      <c r="IP195" s="111"/>
      <c r="IQ195" s="112"/>
      <c r="IR195" s="112"/>
      <c r="IS195" s="111"/>
      <c r="IT195" s="111"/>
      <c r="IU195" s="111"/>
      <c r="IV195" s="112"/>
      <c r="IW195" s="112"/>
      <c r="IX195" s="112"/>
      <c r="IY195" s="112" t="str">
        <f>HYPERLINK("http://www.bamf.de/SharedDocs/Anlagen/DE/Publikationen/Broschueren/broschuere-eat-a4-ta-tamilisch.pdf?__blob=publicationFile","x")</f>
        <v>x</v>
      </c>
      <c r="IZ195" s="111"/>
      <c r="JA195" s="111"/>
      <c r="JB195" s="111"/>
      <c r="JC195" s="112"/>
      <c r="JD195" s="111"/>
      <c r="JE195" s="112"/>
      <c r="JF195" s="112"/>
      <c r="JG195" s="112"/>
      <c r="JH195" s="112"/>
      <c r="JI195" s="111"/>
      <c r="JJ195" s="112"/>
      <c r="JK195" s="112"/>
      <c r="JL195" s="112"/>
      <c r="JM195" s="112"/>
      <c r="JN195" s="112"/>
      <c r="JO195" s="112"/>
      <c r="JP195" s="112"/>
      <c r="JQ195" s="112"/>
      <c r="JR195" s="112" t="str">
        <f t="shared" si="77"/>
        <v>x</v>
      </c>
      <c r="JS195" s="112"/>
      <c r="JT195" s="111"/>
      <c r="JU195" s="111"/>
      <c r="JV195" s="111"/>
      <c r="JW195" s="112"/>
      <c r="JX195" s="112"/>
      <c r="JY195" s="112"/>
      <c r="JZ195" s="112"/>
      <c r="KA195" s="112"/>
      <c r="KB195" s="112"/>
      <c r="KC195" s="112"/>
      <c r="KD195" s="112"/>
      <c r="KE195" s="112"/>
      <c r="KF195" s="111"/>
      <c r="KG195" s="112"/>
      <c r="KH195" s="112"/>
      <c r="KI195" s="112"/>
      <c r="KJ195" s="112"/>
      <c r="KK195" s="112"/>
      <c r="KL195" s="112"/>
      <c r="KM195" s="112"/>
      <c r="KN195" s="112"/>
      <c r="KO195" s="112"/>
      <c r="KP195" s="112"/>
      <c r="KQ195" s="112"/>
      <c r="KR195" s="112"/>
      <c r="KS195" s="112"/>
      <c r="KT195" s="112"/>
      <c r="KU195" s="112"/>
      <c r="KV195" s="112"/>
      <c r="KW195" s="112"/>
      <c r="KX195" s="112"/>
      <c r="KY195" s="112"/>
      <c r="KZ195" s="112"/>
      <c r="LA195" s="112"/>
      <c r="LB195" s="112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2"/>
      <c r="ME195" s="111"/>
      <c r="MF195" s="111"/>
      <c r="MG195" s="111"/>
      <c r="MH195" s="111"/>
      <c r="MI195" s="112"/>
    </row>
    <row r="196" spans="1:347" x14ac:dyDescent="0.25">
      <c r="A196" s="102" t="s">
        <v>416</v>
      </c>
      <c r="B196" s="127" t="s">
        <v>478</v>
      </c>
      <c r="C196" s="102"/>
      <c r="D196" s="102"/>
      <c r="E196" s="102"/>
      <c r="F196" s="102"/>
      <c r="G196" s="102"/>
      <c r="H196" s="102"/>
      <c r="I196" s="102"/>
      <c r="J196" s="102"/>
      <c r="K196" s="103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3"/>
      <c r="AW196" s="114" t="str">
        <f t="shared" si="55"/>
        <v>x</v>
      </c>
      <c r="AX196" s="114" t="str">
        <f t="shared" si="56"/>
        <v>x</v>
      </c>
      <c r="AY196" s="111"/>
      <c r="AZ196" s="111"/>
      <c r="BA196" s="112" t="str">
        <f t="shared" si="57"/>
        <v>x</v>
      </c>
      <c r="BB196" s="112" t="str">
        <f t="shared" si="58"/>
        <v>x</v>
      </c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2" t="str">
        <f t="shared" si="59"/>
        <v>x</v>
      </c>
      <c r="BT196" s="112"/>
      <c r="BU196" s="111"/>
      <c r="BV196" s="112" t="str">
        <f t="shared" si="60"/>
        <v>x</v>
      </c>
      <c r="BW196" s="112"/>
      <c r="BX196" s="112"/>
      <c r="BY196" s="112"/>
      <c r="BZ196" s="112"/>
      <c r="CA196" s="112" t="str">
        <f t="shared" si="61"/>
        <v>x</v>
      </c>
      <c r="CB196" s="112" t="str">
        <f t="shared" si="62"/>
        <v>x</v>
      </c>
      <c r="CC196" s="112" t="str">
        <f t="shared" si="63"/>
        <v>x</v>
      </c>
      <c r="CD196" s="112"/>
      <c r="CE196" s="112"/>
      <c r="CF196" s="111"/>
      <c r="CG196" s="111"/>
      <c r="CH196" s="111"/>
      <c r="CI196" s="111"/>
      <c r="CJ196" s="111"/>
      <c r="CK196" s="112" t="str">
        <f t="shared" si="64"/>
        <v>x</v>
      </c>
      <c r="CL196" s="112"/>
      <c r="CM196" s="112"/>
      <c r="CN196" s="112"/>
      <c r="CO196" s="112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2"/>
      <c r="DA196" s="112"/>
      <c r="DB196" s="112"/>
      <c r="DC196" s="115"/>
      <c r="DD196" s="112"/>
      <c r="DE196" s="112"/>
      <c r="DF196" s="112" t="str">
        <f t="shared" si="65"/>
        <v>x</v>
      </c>
      <c r="DG196" s="115" t="str">
        <f t="shared" si="66"/>
        <v>x</v>
      </c>
      <c r="DH196" s="112" t="str">
        <f t="shared" si="67"/>
        <v>x</v>
      </c>
      <c r="DI196" s="112" t="str">
        <f t="shared" si="68"/>
        <v>x</v>
      </c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8"/>
      <c r="EQ196" s="118"/>
      <c r="ER196" s="111"/>
      <c r="ES196" s="111"/>
      <c r="ET196" s="111"/>
      <c r="EU196" s="111"/>
      <c r="EV196" s="111"/>
      <c r="EW196" s="112" t="str">
        <f t="shared" si="69"/>
        <v>x</v>
      </c>
      <c r="EX196" s="111"/>
      <c r="EY196" s="111"/>
      <c r="EZ196" s="111"/>
      <c r="FA196" s="111"/>
      <c r="FB196" s="111"/>
      <c r="FC196" s="111"/>
      <c r="FD196" s="112" t="str">
        <f t="shared" si="70"/>
        <v>x</v>
      </c>
      <c r="FE196" s="112" t="str">
        <f>HYPERLINK("http://sghanstedt.elbnetz.com/ueber-uns/","x")</f>
        <v>x</v>
      </c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2" t="str">
        <f t="shared" si="71"/>
        <v>x</v>
      </c>
      <c r="HD196" s="112"/>
      <c r="HE196" s="112"/>
      <c r="HF196" s="112"/>
      <c r="HG196" s="112"/>
      <c r="HH196" s="112"/>
      <c r="HI196" s="112"/>
      <c r="HJ196" s="112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2" t="str">
        <f t="shared" si="72"/>
        <v>x</v>
      </c>
      <c r="HZ196" s="112" t="str">
        <f t="shared" si="73"/>
        <v>x</v>
      </c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2" t="str">
        <f t="shared" si="77"/>
        <v>x</v>
      </c>
      <c r="JS196" s="111"/>
      <c r="JT196" s="111"/>
      <c r="JU196" s="111"/>
      <c r="JV196" s="111"/>
      <c r="JW196" s="111"/>
      <c r="JX196" s="111"/>
      <c r="JY196" s="112"/>
      <c r="JZ196" s="112"/>
      <c r="KA196" s="112"/>
      <c r="KB196" s="112"/>
      <c r="KC196" s="111"/>
      <c r="KD196" s="111"/>
      <c r="KE196" s="111"/>
      <c r="KF196" s="111"/>
      <c r="KG196" s="112"/>
      <c r="KH196" s="112"/>
      <c r="KI196" s="112"/>
      <c r="KJ196" s="112"/>
      <c r="KK196" s="112"/>
      <c r="KL196" s="112"/>
      <c r="KM196" s="112"/>
      <c r="KN196" s="112"/>
      <c r="KO196" s="112"/>
      <c r="KP196" s="112"/>
      <c r="KQ196" s="112"/>
      <c r="KR196" s="112"/>
      <c r="KS196" s="112"/>
      <c r="KT196" s="112"/>
      <c r="KU196" s="112"/>
      <c r="KV196" s="112"/>
      <c r="KW196" s="112"/>
      <c r="KX196" s="112"/>
      <c r="KY196" s="112"/>
      <c r="KZ196" s="112"/>
      <c r="LA196" s="112"/>
      <c r="LB196" s="112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  <c r="MI196" s="111"/>
    </row>
    <row r="197" spans="1:347" x14ac:dyDescent="0.25">
      <c r="A197" s="102" t="s">
        <v>416</v>
      </c>
      <c r="B197" s="127" t="s">
        <v>473</v>
      </c>
      <c r="C197" s="102"/>
      <c r="D197" s="102"/>
      <c r="E197" s="102"/>
      <c r="F197" s="102"/>
      <c r="G197" s="102"/>
      <c r="H197" s="102"/>
      <c r="I197" s="102"/>
      <c r="J197" s="102"/>
      <c r="K197" s="103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2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3"/>
      <c r="AW197" s="114" t="str">
        <f t="shared" si="55"/>
        <v>x</v>
      </c>
      <c r="AX197" s="114" t="str">
        <f t="shared" si="56"/>
        <v>x</v>
      </c>
      <c r="AY197" s="111"/>
      <c r="AZ197" s="111"/>
      <c r="BA197" s="112" t="str">
        <f t="shared" si="57"/>
        <v>x</v>
      </c>
      <c r="BB197" s="112" t="str">
        <f t="shared" si="58"/>
        <v>x</v>
      </c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2" t="str">
        <f t="shared" si="59"/>
        <v>x</v>
      </c>
      <c r="BT197" s="112"/>
      <c r="BU197" s="112"/>
      <c r="BV197" s="112" t="str">
        <f t="shared" si="60"/>
        <v>x</v>
      </c>
      <c r="BW197" s="112"/>
      <c r="BX197" s="112"/>
      <c r="BY197" s="112"/>
      <c r="BZ197" s="112"/>
      <c r="CA197" s="112" t="str">
        <f t="shared" si="61"/>
        <v>x</v>
      </c>
      <c r="CB197" s="112" t="str">
        <f t="shared" si="62"/>
        <v>x</v>
      </c>
      <c r="CC197" s="112" t="str">
        <f t="shared" si="63"/>
        <v>x</v>
      </c>
      <c r="CD197" s="112"/>
      <c r="CE197" s="112"/>
      <c r="CF197" s="111"/>
      <c r="CG197" s="111"/>
      <c r="CH197" s="111"/>
      <c r="CI197" s="111"/>
      <c r="CJ197" s="111"/>
      <c r="CK197" s="112" t="str">
        <f t="shared" si="64"/>
        <v>x</v>
      </c>
      <c r="CL197" s="112"/>
      <c r="CM197" s="112"/>
      <c r="CN197" s="112"/>
      <c r="CO197" s="112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2"/>
      <c r="DA197" s="112"/>
      <c r="DB197" s="112"/>
      <c r="DC197" s="115"/>
      <c r="DD197" s="112"/>
      <c r="DE197" s="112"/>
      <c r="DF197" s="112" t="str">
        <f t="shared" si="65"/>
        <v>x</v>
      </c>
      <c r="DG197" s="115" t="str">
        <f t="shared" si="66"/>
        <v>x</v>
      </c>
      <c r="DH197" s="112" t="str">
        <f t="shared" si="67"/>
        <v>x</v>
      </c>
      <c r="DI197" s="112" t="str">
        <f t="shared" si="68"/>
        <v>x</v>
      </c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2" t="str">
        <f>HYPERLINK("http://www.bamf.de/SharedDocs/Anlagen/DE/Publikationen/Flyer/Berufsbezsprachf-ESF-BAMF/berufsbezsprachf-esf-bamf_cz.pdf?__blob=publicationFile","x")</f>
        <v>x</v>
      </c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2"/>
      <c r="EN197" s="111"/>
      <c r="EO197" s="111"/>
      <c r="EP197" s="117"/>
      <c r="EQ197" s="118"/>
      <c r="ER197" s="112"/>
      <c r="ES197" s="111"/>
      <c r="ET197" s="111"/>
      <c r="EU197" s="111"/>
      <c r="EV197" s="111"/>
      <c r="EW197" s="112" t="str">
        <f t="shared" si="69"/>
        <v>x</v>
      </c>
      <c r="EX197" s="111"/>
      <c r="EY197" s="111"/>
      <c r="EZ197" s="111"/>
      <c r="FA197" s="111"/>
      <c r="FB197" s="111"/>
      <c r="FC197" s="111"/>
      <c r="FD197" s="112" t="str">
        <f t="shared" si="70"/>
        <v>x</v>
      </c>
      <c r="FE197" s="111"/>
      <c r="FF197" s="111"/>
      <c r="FG197" s="112"/>
      <c r="FH197" s="111"/>
      <c r="FI197" s="111"/>
      <c r="FJ197" s="112"/>
      <c r="FK197" s="112"/>
      <c r="FL197" s="111"/>
      <c r="FM197" s="111"/>
      <c r="FN197" s="111"/>
      <c r="FO197" s="111"/>
      <c r="FP197" s="112"/>
      <c r="FQ197" s="111"/>
      <c r="FR197" s="112"/>
      <c r="FS197" s="112"/>
      <c r="FT197" s="112"/>
      <c r="FU197" s="112"/>
      <c r="FV197" s="112"/>
      <c r="FW197" s="112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2"/>
      <c r="GN197" s="111"/>
      <c r="GO197" s="111"/>
      <c r="GP197" s="112"/>
      <c r="GQ197" s="112"/>
      <c r="GR197" s="112"/>
      <c r="GS197" s="112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2" t="str">
        <f t="shared" si="71"/>
        <v>x</v>
      </c>
      <c r="HD197" s="111"/>
      <c r="HE197" s="111"/>
      <c r="HF197" s="111"/>
      <c r="HG197" s="111"/>
      <c r="HH197" s="111"/>
      <c r="HI197" s="111"/>
      <c r="HJ197" s="111"/>
      <c r="HK197" s="112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2" t="str">
        <f t="shared" si="72"/>
        <v>x</v>
      </c>
      <c r="HZ197" s="112" t="str">
        <f t="shared" si="73"/>
        <v>x</v>
      </c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2" t="str">
        <f>HYPERLINK("http://www.bamf.de/SharedDocs/Anlagen/DE/Publikationen/Flyer/Lassen-Sie-Sich-Beraten/lassen-sie-sich-beraten_cs.pdf?__blob=publicationFile","x")</f>
        <v>x</v>
      </c>
      <c r="IL197" s="112"/>
      <c r="IM197" s="111"/>
      <c r="IN197" s="111"/>
      <c r="IO197" s="111"/>
      <c r="IP197" s="111"/>
      <c r="IQ197" s="112" t="str">
        <f>HYPERLINK("http://www.bamf.de/SharedDocs/Anlagen/DE/Publikationen/Flyer/Lernen-Sie-Deutsch/lernen-sie-deutsch_cz.pdf?__blob=publicationFile","x")</f>
        <v>x</v>
      </c>
      <c r="IR197" s="111"/>
      <c r="IS197" s="111"/>
      <c r="IT197" s="111"/>
      <c r="IU197" s="111"/>
      <c r="IV197" s="111"/>
      <c r="IW197" s="111"/>
      <c r="IX197" s="111"/>
      <c r="IY197" s="112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2" t="str">
        <f t="shared" si="77"/>
        <v>x</v>
      </c>
      <c r="JS197" s="111"/>
      <c r="JT197" s="111"/>
      <c r="JU197" s="111"/>
      <c r="JV197" s="111"/>
      <c r="JW197" s="111"/>
      <c r="JX197" s="111"/>
      <c r="JY197" s="112"/>
      <c r="JZ197" s="112"/>
      <c r="KA197" s="112"/>
      <c r="KB197" s="112"/>
      <c r="KC197" s="111"/>
      <c r="KD197" s="111"/>
      <c r="KE197" s="111"/>
      <c r="KF197" s="111"/>
      <c r="KG197" s="112"/>
      <c r="KH197" s="112"/>
      <c r="KI197" s="112"/>
      <c r="KJ197" s="112"/>
      <c r="KK197" s="112"/>
      <c r="KL197" s="112"/>
      <c r="KM197" s="112"/>
      <c r="KN197" s="112"/>
      <c r="KO197" s="112"/>
      <c r="KP197" s="112"/>
      <c r="KQ197" s="112"/>
      <c r="KR197" s="112"/>
      <c r="KS197" s="112"/>
      <c r="KT197" s="112"/>
      <c r="KU197" s="112"/>
      <c r="KV197" s="112"/>
      <c r="KW197" s="112"/>
      <c r="KX197" s="112"/>
      <c r="KY197" s="112"/>
      <c r="KZ197" s="112"/>
      <c r="LA197" s="112"/>
      <c r="LB197" s="112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  <c r="MI197" s="111"/>
    </row>
    <row r="198" spans="1:347" x14ac:dyDescent="0.25">
      <c r="A198" s="102" t="s">
        <v>416</v>
      </c>
      <c r="B198" s="127" t="s">
        <v>130</v>
      </c>
      <c r="C198" s="102"/>
      <c r="D198" s="102"/>
      <c r="E198" s="102"/>
      <c r="F198" s="102"/>
      <c r="G198" s="102"/>
      <c r="H198" s="102"/>
      <c r="I198" s="102"/>
      <c r="J198" s="102"/>
      <c r="K198" s="103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3"/>
      <c r="AW198" s="114" t="str">
        <f t="shared" si="55"/>
        <v>x</v>
      </c>
      <c r="AX198" s="114" t="str">
        <f t="shared" si="56"/>
        <v>x</v>
      </c>
      <c r="AY198" s="111"/>
      <c r="AZ198" s="111"/>
      <c r="BA198" s="112" t="str">
        <f t="shared" si="57"/>
        <v>x</v>
      </c>
      <c r="BB198" s="112" t="str">
        <f t="shared" si="58"/>
        <v>x</v>
      </c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2" t="str">
        <f t="shared" si="59"/>
        <v>x</v>
      </c>
      <c r="BT198" s="112"/>
      <c r="BU198" s="111"/>
      <c r="BV198" s="112" t="str">
        <f t="shared" si="60"/>
        <v>x</v>
      </c>
      <c r="BW198" s="112"/>
      <c r="BX198" s="112"/>
      <c r="BY198" s="112"/>
      <c r="BZ198" s="112"/>
      <c r="CA198" s="112" t="str">
        <f t="shared" si="61"/>
        <v>x</v>
      </c>
      <c r="CB198" s="112" t="str">
        <f t="shared" si="62"/>
        <v>x</v>
      </c>
      <c r="CC198" s="112" t="str">
        <f t="shared" si="63"/>
        <v>x</v>
      </c>
      <c r="CD198" s="112"/>
      <c r="CE198" s="112"/>
      <c r="CF198" s="111"/>
      <c r="CG198" s="111"/>
      <c r="CH198" s="111"/>
      <c r="CI198" s="111"/>
      <c r="CJ198" s="111"/>
      <c r="CK198" s="112" t="str">
        <f t="shared" si="64"/>
        <v>x</v>
      </c>
      <c r="CL198" s="112"/>
      <c r="CM198" s="112"/>
      <c r="CN198" s="112"/>
      <c r="CO198" s="112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2"/>
      <c r="DA198" s="112"/>
      <c r="DB198" s="112"/>
      <c r="DC198" s="115"/>
      <c r="DD198" s="112"/>
      <c r="DE198" s="112"/>
      <c r="DF198" s="112" t="str">
        <f t="shared" si="65"/>
        <v>x</v>
      </c>
      <c r="DG198" s="115" t="str">
        <f t="shared" si="66"/>
        <v>x</v>
      </c>
      <c r="DH198" s="112" t="str">
        <f t="shared" si="67"/>
        <v>x</v>
      </c>
      <c r="DI198" s="112" t="str">
        <f t="shared" si="68"/>
        <v>x</v>
      </c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7"/>
      <c r="EQ198" s="117" t="str">
        <f>HYPERLINK("http://www.armut-gesundheit.de/fileadmin/redakteur/dokumente/Anamnesebogen%20-%20ungarischnew.pdf","x")</f>
        <v>x</v>
      </c>
      <c r="ER198" s="111"/>
      <c r="ES198" s="111"/>
      <c r="ET198" s="111"/>
      <c r="EU198" s="111"/>
      <c r="EV198" s="111"/>
      <c r="EW198" s="112" t="str">
        <f t="shared" si="69"/>
        <v>x</v>
      </c>
      <c r="EX198" s="111"/>
      <c r="EY198" s="111"/>
      <c r="EZ198" s="111"/>
      <c r="FA198" s="111"/>
      <c r="FB198" s="111"/>
      <c r="FC198" s="111"/>
      <c r="FD198" s="112" t="str">
        <f t="shared" si="70"/>
        <v>x</v>
      </c>
      <c r="FE198" s="112" t="str">
        <f>HYPERLINK("http://sghanstedt.elbnetz.com/ueber-uns/","x")</f>
        <v>x</v>
      </c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2" t="str">
        <f t="shared" si="71"/>
        <v>x</v>
      </c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2" t="str">
        <f t="shared" si="72"/>
        <v>x</v>
      </c>
      <c r="HZ198" s="112" t="str">
        <f t="shared" si="73"/>
        <v>x</v>
      </c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2" t="str">
        <f t="shared" si="77"/>
        <v>x</v>
      </c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  <c r="MI198" s="111"/>
    </row>
    <row r="199" spans="1:347" x14ac:dyDescent="0.25">
      <c r="A199" s="102" t="s">
        <v>416</v>
      </c>
      <c r="B199" s="127" t="s">
        <v>472</v>
      </c>
      <c r="C199" s="102"/>
      <c r="D199" s="102"/>
      <c r="E199" s="102"/>
      <c r="F199" s="102"/>
      <c r="G199" s="102"/>
      <c r="H199" s="102"/>
      <c r="I199" s="102"/>
      <c r="J199" s="102"/>
      <c r="K199" s="103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2" t="str">
        <f>HYPERLINK("https://www.vrsinfo.de/fileadmin/Dateien/downloadcenter/Folder_MobilPassTicket_Refugees01012016.pdf","x")</f>
        <v>x</v>
      </c>
      <c r="AL199" s="112" t="str">
        <f>HYPERLINK("https://www.vrsinfo.de/fileadmin/Dateien/downloadcenter/Willkommen_im_VRS2016_Druck.pdf","x")</f>
        <v>x</v>
      </c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3"/>
      <c r="AW199" s="114" t="str">
        <f t="shared" si="55"/>
        <v>x</v>
      </c>
      <c r="AX199" s="114" t="str">
        <f t="shared" si="56"/>
        <v>x</v>
      </c>
      <c r="AY199" s="111"/>
      <c r="AZ199" s="111"/>
      <c r="BA199" s="112" t="str">
        <f t="shared" si="57"/>
        <v>x</v>
      </c>
      <c r="BB199" s="112" t="str">
        <f t="shared" si="58"/>
        <v>x</v>
      </c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2" t="str">
        <f t="shared" si="59"/>
        <v>x</v>
      </c>
      <c r="BT199" s="112"/>
      <c r="BU199" s="111"/>
      <c r="BV199" s="112" t="str">
        <f t="shared" si="60"/>
        <v>x</v>
      </c>
      <c r="BW199" s="112"/>
      <c r="BX199" s="112"/>
      <c r="BY199" s="112"/>
      <c r="BZ199" s="112"/>
      <c r="CA199" s="112" t="str">
        <f t="shared" si="61"/>
        <v>x</v>
      </c>
      <c r="CB199" s="112" t="str">
        <f t="shared" si="62"/>
        <v>x</v>
      </c>
      <c r="CC199" s="112" t="str">
        <f t="shared" si="63"/>
        <v>x</v>
      </c>
      <c r="CD199" s="112"/>
      <c r="CE199" s="112"/>
      <c r="CF199" s="111"/>
      <c r="CG199" s="111"/>
      <c r="CH199" s="111"/>
      <c r="CI199" s="111"/>
      <c r="CJ199" s="111"/>
      <c r="CK199" s="112" t="str">
        <f t="shared" si="64"/>
        <v>x</v>
      </c>
      <c r="CL199" s="112"/>
      <c r="CM199" s="112"/>
      <c r="CN199" s="112"/>
      <c r="CO199" s="112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2"/>
      <c r="DA199" s="112"/>
      <c r="DB199" s="112"/>
      <c r="DC199" s="115"/>
      <c r="DD199" s="112"/>
      <c r="DE199" s="112"/>
      <c r="DF199" s="112" t="str">
        <f t="shared" si="65"/>
        <v>x</v>
      </c>
      <c r="DG199" s="115" t="str">
        <f t="shared" si="66"/>
        <v>x</v>
      </c>
      <c r="DH199" s="112" t="str">
        <f t="shared" si="67"/>
        <v>x</v>
      </c>
      <c r="DI199" s="112" t="str">
        <f t="shared" si="68"/>
        <v>x</v>
      </c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8"/>
      <c r="EQ199" s="118"/>
      <c r="ER199" s="111"/>
      <c r="ES199" s="111"/>
      <c r="ET199" s="111"/>
      <c r="EU199" s="111"/>
      <c r="EV199" s="111"/>
      <c r="EW199" s="112" t="str">
        <f t="shared" si="69"/>
        <v>x</v>
      </c>
      <c r="EX199" s="111"/>
      <c r="EY199" s="111"/>
      <c r="EZ199" s="111"/>
      <c r="FA199" s="111"/>
      <c r="FB199" s="111"/>
      <c r="FC199" s="111"/>
      <c r="FD199" s="112" t="str">
        <f t="shared" si="70"/>
        <v>x</v>
      </c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2" t="str">
        <f t="shared" si="71"/>
        <v>x</v>
      </c>
      <c r="HD199" s="112"/>
      <c r="HE199" s="112"/>
      <c r="HF199" s="112"/>
      <c r="HG199" s="112"/>
      <c r="HH199" s="112"/>
      <c r="HI199" s="112"/>
      <c r="HJ199" s="112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2" t="str">
        <f t="shared" si="72"/>
        <v>x</v>
      </c>
      <c r="HZ199" s="112" t="str">
        <f t="shared" si="73"/>
        <v>x</v>
      </c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1"/>
      <c r="IZ199" s="111"/>
      <c r="JA199" s="111"/>
      <c r="JB199" s="111"/>
      <c r="JC199" s="111"/>
      <c r="JD199" s="111"/>
      <c r="JE199" s="111"/>
      <c r="JF199" s="111"/>
      <c r="JG199" s="111"/>
      <c r="JH199" s="111"/>
      <c r="JI199" s="111"/>
      <c r="JJ199" s="111"/>
      <c r="JK199" s="111"/>
      <c r="JL199" s="111"/>
      <c r="JM199" s="111"/>
      <c r="JN199" s="111"/>
      <c r="JO199" s="111"/>
      <c r="JP199" s="111"/>
      <c r="JQ199" s="111"/>
      <c r="JR199" s="111"/>
      <c r="JS199" s="111"/>
      <c r="JT199" s="111"/>
      <c r="JU199" s="111"/>
      <c r="JV199" s="111"/>
      <c r="JW199" s="111"/>
      <c r="JX199" s="111"/>
      <c r="JY199" s="111"/>
      <c r="JZ199" s="111"/>
      <c r="KA199" s="111"/>
      <c r="KB199" s="111"/>
      <c r="KC199" s="111"/>
      <c r="KD199" s="111"/>
      <c r="KE199" s="111"/>
      <c r="KF199" s="111"/>
      <c r="KG199" s="111"/>
      <c r="KH199" s="111"/>
      <c r="KI199" s="111"/>
      <c r="KJ199" s="111"/>
      <c r="KK199" s="111"/>
      <c r="KL199" s="111"/>
      <c r="KM199" s="111"/>
      <c r="KN199" s="111"/>
      <c r="KO199" s="111"/>
      <c r="KP199" s="111"/>
      <c r="KQ199" s="111"/>
      <c r="KR199" s="111"/>
      <c r="KS199" s="111"/>
      <c r="KT199" s="111"/>
      <c r="KU199" s="111"/>
      <c r="KV199" s="111"/>
      <c r="KW199" s="111"/>
      <c r="KX199" s="111"/>
      <c r="KY199" s="111"/>
      <c r="KZ199" s="111"/>
      <c r="LA199" s="111"/>
      <c r="LB199" s="111"/>
      <c r="LC199" s="111"/>
      <c r="LD199" s="111"/>
      <c r="LE199" s="111"/>
      <c r="LF199" s="111"/>
      <c r="LG199" s="111"/>
      <c r="LH199" s="111"/>
      <c r="LI199" s="111"/>
      <c r="LJ199" s="111"/>
      <c r="LK199" s="111"/>
      <c r="LL199" s="111"/>
      <c r="LM199" s="111"/>
      <c r="LN199" s="111"/>
      <c r="LO199" s="111"/>
      <c r="LP199" s="111"/>
      <c r="LQ199" s="111"/>
      <c r="LR199" s="111"/>
      <c r="LS199" s="111"/>
      <c r="LT199" s="111"/>
      <c r="LU199" s="111"/>
      <c r="LV199" s="111"/>
      <c r="LW199" s="111"/>
      <c r="LX199" s="111"/>
      <c r="LY199" s="111"/>
      <c r="LZ199" s="111"/>
      <c r="MA199" s="111"/>
      <c r="MB199" s="111"/>
      <c r="MC199" s="111"/>
      <c r="MD199" s="111"/>
      <c r="ME199" s="111"/>
      <c r="MF199" s="111"/>
      <c r="MG199" s="111"/>
      <c r="MH199" s="111"/>
      <c r="MI199" s="111"/>
    </row>
    <row r="200" spans="1:347" x14ac:dyDescent="0.25">
      <c r="A200" s="102" t="s">
        <v>66</v>
      </c>
      <c r="B200" s="127" t="s">
        <v>1</v>
      </c>
      <c r="C200" s="102"/>
      <c r="D200" s="102"/>
      <c r="E200" s="102"/>
      <c r="F200" s="102"/>
      <c r="G200" s="102"/>
      <c r="H200" s="102"/>
      <c r="I200" s="102"/>
      <c r="J200" s="102"/>
      <c r="K200" s="103"/>
      <c r="L200" s="112" t="str">
        <f>HYPERLINK("http://sghanstedt.elbnetz.com/ueber-uns/","x")</f>
        <v>x</v>
      </c>
      <c r="M200" s="111"/>
      <c r="N200" s="112" t="str">
        <f>HYPERLINK("http://www.ag-fluechtlingshilfe-wetterau.de/uploads/infos/170.pdf","x")</f>
        <v>x</v>
      </c>
      <c r="O200" s="112" t="str">
        <f>HYPERLINK("http://www.ag-fluechtlingshilfe-wetterau.de/uploads/infos/220.pdf","x")</f>
        <v>x</v>
      </c>
      <c r="P200" s="112" t="str">
        <f>HYPERLINK("http://www.awb-ahrweiler.de/admin/data/ddownload/Abfall%20Sonderhinweise-Arabisch%202015.pdf","x")</f>
        <v>x</v>
      </c>
      <c r="Q200" s="112" t="str">
        <f>HYPERLINK("http://www.ag-fluechtlingshilfe-wetterau.de/uploads/infos/221.pdf","x")</f>
        <v>x</v>
      </c>
      <c r="R200" s="112" t="str">
        <f>HYPERLINK("http://www.konto.org/download/merkblatt-basiskonto-asylbewerber-arabisch.pdf","x")</f>
        <v>x</v>
      </c>
      <c r="S200" s="112"/>
      <c r="T200" s="112" t="str">
        <f>HYPERLINK("https://antworten.sparkasse.de/wp-content/uploads/2015/10/Arabisch.pdf","x")</f>
        <v>x</v>
      </c>
      <c r="U200" s="112" t="str">
        <f>HYPERLINK("http://www.ag-fluechtlingshilfe-wetterau.de/uploads/infos/191.pdf","x")</f>
        <v>x</v>
      </c>
      <c r="V200" s="112"/>
      <c r="W200" s="112"/>
      <c r="X200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0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0" s="112"/>
      <c r="AA200" s="112"/>
      <c r="AB200" s="112"/>
      <c r="AC200" s="112"/>
      <c r="AD200" s="112" t="str">
        <f>HYPERLINK("http://www.rundfunkbeitrag.de/e175/e1629/Informationsflyer_Buergerinnen_und_Buerger_arabisch.pdf","x")</f>
        <v>x</v>
      </c>
      <c r="AE200" s="112"/>
      <c r="AF200" s="112" t="str">
        <f>HYPERLINK("http://www.kub-berlin.org/formularprojekt/de/arabisch-antraege-und-anlagen/","x")</f>
        <v>x</v>
      </c>
      <c r="AG200" s="112" t="str">
        <f>HYPERLINK("http://asyl-in-moenchengladbach.de/wp-content/uploads/2015/11/100711-Flyer_arab.pdf","x")</f>
        <v>x</v>
      </c>
      <c r="AH200" s="111"/>
      <c r="AI200" s="112" t="str">
        <f>HYPERLINK("https://www.adac.de/sp/stiftung/_mmm/pdf/SGE_FOL_Verkehrssicherheit_Fl%C3%BCchtlinge_A3_01_16_Internet_250277.pdf","x")</f>
        <v>x</v>
      </c>
      <c r="AJ200" s="112" t="str">
        <f>HYPERLINK("http://www.stadt-koeln.de/mediaasset/content/العربية_kvb_kinderleicht_und_spielend_einfach__arabisch_.pdf","x")</f>
        <v>x</v>
      </c>
      <c r="AK200" s="112" t="str">
        <f>HYPERLINK("https://www.vrsinfo.de/fileadmin/Dateien/downloadcenter/Folder_MobilPassTicket_Refugees01012016.pdf","x")</f>
        <v>x</v>
      </c>
      <c r="AL200" s="112" t="str">
        <f>HYPERLINK("https://www.vrsinfo.de/fileadmin/Dateien/downloadcenter/Willkommen_im_VRS2016_Druck.pdf","x")</f>
        <v>x</v>
      </c>
      <c r="AM200" s="112"/>
      <c r="AN200" s="112" t="str">
        <f>HYPERLINK("https://www.deutschebahn.com/file/de/2191748/eYdgZpqGpp5sMJ2KMKtg2r8aE4Q/10123812/data/infos_fuer_fluechtlinge.pdf","x")</f>
        <v>x</v>
      </c>
      <c r="AO200" s="112"/>
      <c r="AP200" s="112"/>
      <c r="AQ200" s="112"/>
      <c r="AR200" s="112"/>
      <c r="AS200" s="112"/>
      <c r="AT200" s="112" t="str">
        <f>HYPERLINK("http://www.koelnerkarneval.de/fileadmin/content/images/news/Festkomitee_Flyer_DE_AR.pdf","x")</f>
        <v>x</v>
      </c>
      <c r="AU200" s="112"/>
      <c r="AV200" s="114" t="str">
        <f>HYPERLINK("http://www.studentenwerke.de/de/content/illustriertes-wohnheimw%C3%B6rterbuch-1","x")</f>
        <v>x</v>
      </c>
      <c r="AW200" s="114" t="str">
        <f t="shared" si="55"/>
        <v>x</v>
      </c>
      <c r="AX200" s="114" t="str">
        <f t="shared" si="56"/>
        <v>x</v>
      </c>
      <c r="AY200" s="112" t="str">
        <f>HYPERLINK("http://fi-lohmar-siegburg.de/data/documents/Findefix_arabisch-Bildwoerterbuch.pdf","x")</f>
        <v>x</v>
      </c>
      <c r="AZ200" s="111"/>
      <c r="BA200" s="112" t="str">
        <f t="shared" si="57"/>
        <v>x</v>
      </c>
      <c r="BB200" s="112" t="str">
        <f t="shared" si="58"/>
        <v>x</v>
      </c>
      <c r="BC200" s="112"/>
      <c r="BD200" s="112" t="str">
        <f>HYPERLINK("http://www.rehavista.de/?at=Mat_Boardmaker&amp;d=1&amp;dtype=mat&amp;id=1014","x")</f>
        <v>x</v>
      </c>
      <c r="BE200" s="112" t="str">
        <f>HYPERLINK("http://fi-lohmar-siegburg.de/data/documents/communicationboard-arabic-english.pdf","x")</f>
        <v>x</v>
      </c>
      <c r="BF200" s="112" t="str">
        <f>HYPERLINK("http://fi-lohmar-siegburg.de/data/documents/communicationboard-arabic-french.pdf","x")</f>
        <v>x</v>
      </c>
      <c r="BG200" s="111"/>
      <c r="BH200" s="112" t="str">
        <f>HYPERLINK("http://www.refugeephrasebook.de/pdf/germany150920.pdf","x")</f>
        <v>x</v>
      </c>
      <c r="BI200" s="112" t="str">
        <f>HYPERLINK("https://www.advanced-online.eu/downloads/RefugeePhrasebookCards_German-Arabic.pdf","x")</f>
        <v>x</v>
      </c>
      <c r="BJ200" s="112" t="str">
        <f>HYPERLINK("http://www.klett-sprachen.de/download/8638/W100255_Refugees_Welcome_Wortschatz.pdf","x")</f>
        <v>x</v>
      </c>
      <c r="BK200" s="112" t="str">
        <f>HYPERLINK("http://www.agf-trier.de/sites/default/files/bersetzungshilfe%20allgemein%20Arab..pdf","x")</f>
        <v>x</v>
      </c>
      <c r="BL200" s="112" t="str">
        <f>HYPERLINK("http://www.bundessprachenamt.de/deutsch/wir_ueber_uns/nachrichten/2015/20151103/Verständigungshilfe_Syrisch-Arabisch_07_12_2015.pdf","x")</f>
        <v>x</v>
      </c>
      <c r="BM200" s="112" t="str">
        <f>HYPERLINK("http://www.frnrw.de/images/Aus_den_Initiativen/Ehrenamtler/2015/Dictionary_x10_print-2.pdf","x")</f>
        <v>x</v>
      </c>
      <c r="BN200" s="112" t="str">
        <f>HYPERLINK("http://www.medbox.org/toolboxes/kleines-worterbuch-little-dictionary-deutsch-englisch-arabisch/preview","x")</f>
        <v>x</v>
      </c>
      <c r="BO200" s="111"/>
      <c r="BP200" s="111"/>
      <c r="BQ200" s="112" t="str">
        <f>HYPERLINK("https://www.friedensdorf.de/documents/Woerterbuch_Arabisch.pdf","x")</f>
        <v>x</v>
      </c>
      <c r="BR200" s="111"/>
      <c r="BS200" s="112" t="str">
        <f t="shared" si="59"/>
        <v>x</v>
      </c>
      <c r="BT200" s="112" t="str">
        <f>HYPERLINK("http://de.langenscheidt.com/doc/arabisch-deutsch-sprachfuehrer.pdf","x")</f>
        <v>x</v>
      </c>
      <c r="BU200" s="111"/>
      <c r="BV200" s="112" t="str">
        <f t="shared" si="60"/>
        <v>x</v>
      </c>
      <c r="BW200" s="112" t="str">
        <f>HYPERLINK("http://www.welcomegrooves.de/wp-content/uploads/2015/10/welcomegrooves_DE-ARABISCH.pdf","x")</f>
        <v>x</v>
      </c>
      <c r="BX200" s="112"/>
      <c r="BY200" s="112"/>
      <c r="BZ200" s="112" t="str">
        <f>HYPERLINK("http://fluechtlingshilfe-nettetal.de/ausbildung/video-sprachkurse-deutsch-fuer-fluechtlinge/video-sprachkurs-syrisch-deutsch/","x")</f>
        <v>x</v>
      </c>
      <c r="CA200" s="112" t="str">
        <f t="shared" si="61"/>
        <v>x</v>
      </c>
      <c r="CB200" s="112" t="str">
        <f t="shared" si="62"/>
        <v>x</v>
      </c>
      <c r="CC200" s="112" t="str">
        <f t="shared" si="63"/>
        <v>x</v>
      </c>
      <c r="CD200" s="112"/>
      <c r="CE200" s="112"/>
      <c r="CF200" s="112" t="str">
        <f>HYPERLINK("http://www.agf-trier.de/sites/default/files/bersetzungshilfe%20%20f%C3%BCr%20Frauen%20Arab..pdf","x")</f>
        <v>x</v>
      </c>
      <c r="CG200" s="112" t="str">
        <f>HYPERLINK("http://www.braunschweig.de/leben/frauen/hilfe/Ohne-Gewalt-leben.pdf","x")</f>
        <v>x</v>
      </c>
      <c r="CH200" s="112" t="str">
        <f>HYPERLINK("http://mifkjf.rlp.de/fileadmin/mifkjf/Frauen/Gewalt_gegen_Frauen/Downloads/Broschueren_Flyer/Flyer_Gewalt_arabisch_fuer_ANSICHT.pdf","x")</f>
        <v>x</v>
      </c>
      <c r="CI200" s="112"/>
      <c r="CJ200" s="112" t="str">
        <f>HYPERLINK("https://www.hilfetelefon.de/fileadmin/hilfetelefon_de/Materialien/weitere_werbemittel/Klappflyer_Vorder-_und_Rueckseite_opt2.pdf","x")</f>
        <v>x</v>
      </c>
      <c r="CK200" s="112" t="str">
        <f t="shared" si="64"/>
        <v>x</v>
      </c>
      <c r="CL200" s="112" t="str">
        <f>HYPERLINK("http://www.frauenberatungsstelle.de/pdf/Migrantinnen-beraten-Migrantinnen.pdf","x")</f>
        <v>x</v>
      </c>
      <c r="CM200" s="112"/>
      <c r="CN200" s="112"/>
      <c r="CO200" s="112"/>
      <c r="CP200" s="112" t="str">
        <f>HYPERLINK("http://www.schwanger-und-viele-fragen.de/ar/","x")</f>
        <v>x</v>
      </c>
      <c r="CQ200" s="112"/>
      <c r="CR200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0" s="112"/>
      <c r="CT200" s="112"/>
      <c r="CU200" s="112" t="str">
        <f>HYPERLINK("http://www.profamilia.de/fileadmin/publikationen/Erwachsene/mehrsprachig/verhuetung_arabisch.pdf","x")</f>
        <v>x</v>
      </c>
      <c r="CV200" s="112"/>
      <c r="CW200" s="112"/>
      <c r="CX200" s="112"/>
      <c r="CY200" s="112" t="str">
        <f>HYPERLINK("http://www.caritas-schwarzwald-alb-donau.de/68854.html","x")</f>
        <v>x</v>
      </c>
      <c r="CZ200" s="112"/>
      <c r="DA200" s="112" t="str">
        <f>HYPERLINK("http://sichere-orte-schaffen.de/wp-content/uploads/Minibrosch_Fluechtlinge_multilang.pdf","x")</f>
        <v>x</v>
      </c>
      <c r="DB200" s="112"/>
      <c r="DC200" s="115" t="str">
        <f>HYPERLINK("http://www.kindersicherheit.de/pdf/2012_Bilderbuch-Gift-Arabisch.pdf","x")</f>
        <v>x</v>
      </c>
      <c r="DD200" s="112"/>
      <c r="DE200" s="112"/>
      <c r="DF200" s="112" t="str">
        <f t="shared" si="65"/>
        <v>x</v>
      </c>
      <c r="DG200" s="115" t="str">
        <f t="shared" si="66"/>
        <v>x</v>
      </c>
      <c r="DH200" s="112" t="str">
        <f t="shared" si="67"/>
        <v>x</v>
      </c>
      <c r="DI200" s="112" t="str">
        <f t="shared" si="68"/>
        <v>x</v>
      </c>
      <c r="DJ200" s="112" t="str">
        <f>HYPERLINK("http://www.bibliomedia.ch/de/angebote/dokumente/Glossar_arabisch.pdf","x")</f>
        <v>x</v>
      </c>
      <c r="DK200" s="112"/>
      <c r="DL200" s="112" t="str">
        <f>HYPERLINK("http://www.carlsen.de/sites/default/files/Walter-ebook_arabisch_klein.pdf","x")</f>
        <v>x</v>
      </c>
      <c r="DM200" s="112"/>
      <c r="DN200" s="112"/>
      <c r="DO200" s="112" t="str">
        <f>HYPERLINK("http://www.wdrmaus.de/sachgeschichten/maus-international/","x")</f>
        <v>x</v>
      </c>
      <c r="DP200" s="111"/>
      <c r="DQ200" s="112" t="str">
        <f>HYPERLINK("http://tipdoc.de/bus/grafik/kinder-tip/SCHULTIP_give_didacta.pdf","x")</f>
        <v>x</v>
      </c>
      <c r="DR200" s="112" t="str">
        <f>HYPERLINK("https://broschueren.nordrheinwestfalendirekt.de/broschuerenservice/msw/ar-das-schulsystem-in-nordrhein-westfalen-einfach-und-schnell-erklaert/1901","x")</f>
        <v>x</v>
      </c>
      <c r="DS200" s="112" t="str">
        <f>HYPERLINK("http://bildung.koeln.de/materialbibliothek/download.php?idx=7479da9798519efb4e1944d46a76011b","x")</f>
        <v>x</v>
      </c>
      <c r="DT200" s="112" t="str">
        <f>HYPERLINK("http://bildung.koeln.de/materialbibliothek/download.php?idx=dd3a964c240308ea1c8e0d161e49e314","x")</f>
        <v>x</v>
      </c>
      <c r="DU200" s="112"/>
      <c r="DV200" s="112" t="str">
        <f>HYPERLINK("https://www.bmbf.de/pub/Kausa_Elternbroschuere_arabisch.pdf","x")</f>
        <v>x</v>
      </c>
      <c r="DW200" s="112"/>
      <c r="DX200" s="112" t="str">
        <f>HYPERLINK("http://www.wissenschaft.nrw.de/studium/informieren/informationen-fuer-fluechtlinge-die-in-nrw-studieren-moechten/","x")</f>
        <v>x</v>
      </c>
      <c r="DY200" s="112" t="str">
        <f>HYPERLINK("http://www.bamf.de/SharedDocs/Anlagen/DE/Publikationen/Flyer/AnerkennungBerufsabschluss/berufliche_anerkennung_akademische-heilberufe_ar.pdf?__blob=publicationFile","x")</f>
        <v>x</v>
      </c>
      <c r="DZ200" s="112" t="str">
        <f>HYPERLINK("http://www.bamf.de/SharedDocs/Anlagen/DE/Publikationen/Flyer/AnerkennungBerufsabschluss/anerkennung-berufsabschluss_ar.pdf?__blob=publicationFile","x")</f>
        <v>x</v>
      </c>
      <c r="EA200" s="112" t="str">
        <f>HYPERLINK("http://www.bamf.de/SharedDocs/Anlagen/DE/Publikationen/Flyer/AnerkennungBerufsabschluss/anerkennung-berufsabschluss_ausland_ar.pdf?__blob=publicationFile","x")</f>
        <v>x</v>
      </c>
      <c r="EB200" s="112" t="str">
        <f>HYPERLINK("http://www.bamf.de/SharedDocs/Anlagen/DE/Publikationen/Broschueren/willkommen-in-deutschland-info-blaue-karte-eu_ar.pdf?__blob=publicationFile","x")</f>
        <v>x</v>
      </c>
      <c r="EC200" s="112" t="str">
        <f>HYPERLINK("http://www.bamf.de/SharedDocs/Anlagen/DE/Publikationen/Flyer/Berufsbezsprachf-ESF-BAMF/berufsbezsprachf-esf-bamf_ar.pdf?__blob=publicationFile","x")</f>
        <v>x</v>
      </c>
      <c r="ED200" s="111"/>
      <c r="EE200" s="111"/>
      <c r="EF200" s="111"/>
      <c r="EG200" s="111"/>
      <c r="EH200" s="111"/>
      <c r="EI200" s="111"/>
      <c r="EJ200" s="112"/>
      <c r="EK200" s="112" t="str">
        <f>HYPERLINK("http://fluechtlingsrat-bw.de/files/Dateien/Dokumente/Materialbestellung/2014-12-flyer%20arbeitserlaubnis%20AR%20WEB_final.pdf","x")</f>
        <v>x</v>
      </c>
      <c r="EL200" s="112" t="str">
        <f>HYPERLINK("http://www.aponet.de/arabisch/20151019-fuer-den-notfall-wichtige-rufnummern-im-ueberblick.html","x")</f>
        <v>x</v>
      </c>
      <c r="EM200" s="112" t="str">
        <f>HYPERLINK("http://www.kvs-sachsen.de/fileadmin/img/Mitglieder/Asylbewerber/Allg-Informationen/Anlage_1_Arabisch_LEK.pdf","x")</f>
        <v>x</v>
      </c>
      <c r="EN200" s="112" t="str">
        <f>HYPERLINK("http://www.medizin-hilft-fluechtlingen.de/images/Dokumente/gSch/gSch_arab.pdf","x")</f>
        <v>x</v>
      </c>
      <c r="EO200" s="112" t="str">
        <f>HYPERLINK("http://www.aponet.de/arabisch/20151016-medizinische-leistungen-fuer-asylbewerber.html","x")</f>
        <v>x</v>
      </c>
      <c r="EP200" s="117" t="str">
        <f>HYPERLINK("http://www.medi-bild.de/pdf/anamnese/Welche_Sprache.pdf","x")</f>
        <v>x</v>
      </c>
      <c r="EQ200" s="117" t="str">
        <f>HYPERLINK("http://www.armut-gesundheit.de/fileadmin/redakteur/dokumente/Anamnesebogen%20-%20Arabischnew.pdf","x")</f>
        <v>x</v>
      </c>
      <c r="ER200" s="112" t="str">
        <f>HYPERLINK("http://www.kvs-sachsen.de/fileadmin/img/Mitglieder/Asylbewerber/Allg-Informationen/Anlagen_2-1_2-2_Arabisch_LEK.pdf","x")</f>
        <v>x</v>
      </c>
      <c r="ES200" s="112"/>
      <c r="ET200" s="112" t="str">
        <f>HYPERLINK("http://www.pharmazeutische-zeitung.de/fileadmin/pdf/Fragebogen_PZ_43_2015.pdf","x")</f>
        <v>x</v>
      </c>
      <c r="EU200" s="112" t="str">
        <f>HYPERLINK("http://www.medizin-hilft-fluechtlingen.de/images/Dokumente/ein/ein_arab.pdf","x")</f>
        <v>x</v>
      </c>
      <c r="EV200" s="112" t="str">
        <f>HYPERLINK("http://www.adler-apotheke-hh.de/fileadmin/user_upload/PDF-Dateien/Dosierzettel_mehrsprachig_AUF_0_.pdf","x")</f>
        <v>x</v>
      </c>
      <c r="EW200" s="112" t="str">
        <f t="shared" si="69"/>
        <v>x</v>
      </c>
      <c r="EX200" s="112" t="str">
        <f>HYPERLINK("http://www.rki.de/DE/Content/Infekt/IfSG/Belehrungsbogen/belehrungsbogen_eltern_arabisch.pdf?__blob=publicationFile","x")</f>
        <v>x</v>
      </c>
      <c r="EY200" s="112" t="str">
        <f>HYPERLINK("http://www.bzga.de/infomaterialien/?sid=236","x")</f>
        <v>x</v>
      </c>
      <c r="EZ200" s="112" t="str">
        <f>HYPERLINK("https://www.mh-hannover.de/fileadmin/mhh/bilder/aktuelles_presse/presseinformationen_news/150921_Pilz_Vergif_Arab_3.pdf","x")</f>
        <v>x</v>
      </c>
      <c r="FA200" s="112"/>
      <c r="FB200" s="112" t="str">
        <f>HYPERLINK("http://static.apotheken-umschau.de/media/gp/article_506373/bildwoerterbuch.pdf","x")</f>
        <v>x</v>
      </c>
      <c r="FC200" s="111"/>
      <c r="FD200" s="112" t="str">
        <f t="shared" si="70"/>
        <v>x</v>
      </c>
      <c r="FE200" s="112" t="str">
        <f>HYPERLINK("http://sghanstedt.elbnetz.com/ueber-uns/","x")</f>
        <v>x</v>
      </c>
      <c r="FF200" s="112" t="str">
        <f>HYPERLINK("http://www.fuhlenhagen.com/pdf_dateien/uebertzungshilfe_aerzte_mehrsprachig.pdf","x")</f>
        <v>x</v>
      </c>
      <c r="FG200" s="112" t="str">
        <f>HYPERLINK("http://www.tipdoc.de/grafik/asyl/Gesundheitsheft_Asyl.pdf","x")</f>
        <v>x</v>
      </c>
      <c r="FH200" s="111"/>
      <c r="FI200" s="111"/>
      <c r="FJ200" s="112" t="str">
        <f>HYPERLINK("http://www.bundesgesundheitsministerium.de/fileadmin/dateien/Publikationen/Gesundheit/Broschueren/Ratgeber_Asylsuchende/Ratgeber_Asylsuchende_arab.PDF","x")</f>
        <v>x</v>
      </c>
      <c r="FK200" s="112" t="str">
        <f>HYPERLINK("http://www.rki.de/DE/Content/Infekt/Impfen/Materialien/Downloads-Impfkalender/Impfkalender_Arabisch.pdf?__blob=publicationFile","x")</f>
        <v>x</v>
      </c>
      <c r="FL200" s="112" t="str">
        <f>HYPERLINK("http://www.ethno-medizinisches-zentrum.de/images/PDF-Files/impfwegweiser_arabbisch_2013_online.pdf","x")</f>
        <v>x</v>
      </c>
      <c r="FM200" s="112"/>
      <c r="FN200" s="112" t="str">
        <f>HYPERLINK("http://www.rki.de/DE/Content/Infekt/Impfen/Materialien/Glossar-Downloads/glossar-de-arabisch.pdf?__blob=publicationFile","x")</f>
        <v>x</v>
      </c>
      <c r="FO200" s="112"/>
      <c r="FP200" s="112" t="str">
        <f>HYPERLINK("http://www.rki.de/DE/Content/Infekt/Impfen/Materialien/Downloads-MMR/MMR-Impfinfo-arabisch.pdf?__blob=publicationFile","x")</f>
        <v>x</v>
      </c>
      <c r="FQ200" s="112" t="str">
        <f>HYPERLINK("http://www.rki.de/DE/Content/InfAZ/P/Polio/Ausbruch_Syrien/Informationsblatt_Polio_Arabisch.pdf?__blob=publicationFile","x")</f>
        <v>x</v>
      </c>
      <c r="FR200" s="112" t="str">
        <f>HYPERLINK("http://www.rki.de/DE/Content/Infekt/Impfen/Materialien/Downloads_HepA/Aufklaerung_HAV-Impfung_arabisch.pdf?__blob=publicationFile","x")</f>
        <v>x</v>
      </c>
      <c r="FS200" s="112" t="str">
        <f>HYPERLINK("http://www.rki.de/DE/Content/Infekt/Impfen/Materialien/Downloads_Pneumokokken/Aufklaerung_Pneumo-Impfung_Arabisch.pdf?__blob=publicationFile","x")</f>
        <v>x</v>
      </c>
      <c r="FT200" s="112" t="str">
        <f>HYPERLINK("http://www.rki.de/DE/Content/Infekt/Impfen/Materialien/Downloads-DTaPIPVHibHepB/DTaPIPVHibHepB_arabisch.pdf?__blob=publicationFile","x")</f>
        <v>x</v>
      </c>
      <c r="FU200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0" s="112" t="str">
        <f>HYPERLINK("http://www.rki.de/DE/Content/Infekt/Impfen/Materialien/Downloads-Tdap-IPV/Tdap-IPV-arabisch.pdf?__blob=publicationFile","x")</f>
        <v>x</v>
      </c>
      <c r="FW200" s="112" t="str">
        <f>HYPERLINK("http://www.rki.de/DE/Content/Infekt/Impfen/Materialien/Downloads-Influenza_nasal/Influenza_nasal-arabisch.pdf?__blob=publicationFile","x")</f>
        <v>x</v>
      </c>
      <c r="FX200" s="112" t="str">
        <f>HYPERLINK("http://www.medical-tribune.de/fileadmin/PDF/Arthrose_arabisch.pdf","x")</f>
        <v>x</v>
      </c>
      <c r="FY200" s="112" t="str">
        <f>HYPERLINK("http://www.medical-tribune.de/fileadmin/PDF/Asthma_arabisch.pdf","x")</f>
        <v>x</v>
      </c>
      <c r="FZ200" s="112" t="str">
        <f>HYPERLINK("http://www.medical-tribune.de/fileadmin/PDF/Bluthochdruck_arabisch.pdf","x")</f>
        <v>x</v>
      </c>
      <c r="GA200" s="112"/>
      <c r="GB200" s="112" t="str">
        <f>HYPERLINK("http://www.medical-tribune.de/fileadmin/PDF/COPD_arabisch.pdf","x")</f>
        <v>x</v>
      </c>
      <c r="GC200" s="112"/>
      <c r="GD200" s="112" t="str">
        <f>HYPERLINK("http://www.ethno-medizinisches-zentrum.de/images/PDF-Files/lf_diabete_arab.pdf","x")</f>
        <v>x</v>
      </c>
      <c r="GE200" s="112"/>
      <c r="GF200" s="112"/>
      <c r="GG200" s="112"/>
      <c r="GH200" s="112"/>
      <c r="GI200" s="112" t="str">
        <f>HYPERLINK("http://www.tipdoc.de/bus/pdf/hepatitis/Hep_B_Webseite.pdf","x")</f>
        <v>x</v>
      </c>
      <c r="GJ200" s="112" t="str">
        <f>HYPERLINK("http://www.tipdoc.de/bus/pdf/hepatitis/Hep_C_Webseite.pdf","x")</f>
        <v>x</v>
      </c>
      <c r="GK200" s="111"/>
      <c r="GL200" s="111"/>
      <c r="GM200" s="112" t="str">
        <f>HYPERLINK("http://www.rki.de/DE/Content/Infekt/Impfen/Materialien/Downloads-Influenza/Influenza-arabisch.pdf?__blob=publicationFile","x")</f>
        <v>x</v>
      </c>
      <c r="GN200" s="112"/>
      <c r="GO200" s="112" t="str">
        <f>HYPERLINK("http://www.aponet.de/arabisch/20151111-so-unterscheiden-sich-grippe-und-erkaeltung.html","x")</f>
        <v>x</v>
      </c>
      <c r="GP200" s="112" t="str">
        <f>HYPERLINK("http://www.tipdoc.de/grafik/pdf/kopflaeuse/Kopflaeuse_ARAB.pdf","x")</f>
        <v>x</v>
      </c>
      <c r="GQ200" s="112"/>
      <c r="GR200" s="112" t="str">
        <f>HYPERLINK("http://www.tipdoc.com/bus/pdf/kraetze/tipdoc_Scabies_ARAB.pdf","x")</f>
        <v>x</v>
      </c>
      <c r="GS200" s="112" t="str">
        <f>HYPERLINK("http://www.tipdoc.com/bus/pdf/MagenDarmHaende/MagenDarmHaende_Arab.pdf","x")</f>
        <v>x</v>
      </c>
      <c r="GT200" s="112"/>
      <c r="GU200" s="112" t="str">
        <f>HYPERLINK("http://www.medical-tribune.de/fileadmin/PDF/Rueckenschmerzen_arabisch.pdf","x")</f>
        <v>x</v>
      </c>
      <c r="GV200" s="112"/>
      <c r="GW200" s="112"/>
      <c r="GX200" s="112" t="str">
        <f>HYPERLINK("http://www.medical-tribune.de/fileadmin/PDF/Schwindel_arabisch.pdf","x")</f>
        <v>x</v>
      </c>
      <c r="GY200" s="112"/>
      <c r="GZ200" s="112"/>
      <c r="HA200" s="112"/>
      <c r="HB200" s="112"/>
      <c r="HC200" s="112" t="str">
        <f t="shared" si="71"/>
        <v>x</v>
      </c>
      <c r="HD200" s="112" t="str">
        <f>HYPERLINK("https://www.zahnaerzte-wl.de/images/_PDF-suche/KZV_ZÄK/ENDSTAND_Ankreuzbogen_Ich_verstehe.pdf","x")</f>
        <v>x</v>
      </c>
      <c r="HE200" s="112" t="str">
        <f>HYPERLINK("https://www.zahnaerzte-wl.de/images/_PDF-suche/KZV_ZÄK/Anschreiben_Patienten_arabisch.pdf","x")</f>
        <v>x</v>
      </c>
      <c r="HF200" s="112" t="str">
        <f>HYPERLINK("https://www.zahnaerzte-wl.de/images/_PDF-suche/KZV_ZÄK/Fragebogen_arabisch.pdf","x")</f>
        <v>x</v>
      </c>
      <c r="HG200" s="112" t="str">
        <f>HYPERLINK("https://www.zahnaerzte-wl.de/images/_PDF-suche/KZV_ZÄK/Patientenerhebungsbogen_arabisch.pdf","x")</f>
        <v>x</v>
      </c>
      <c r="HH200" s="112"/>
      <c r="HI200" s="112"/>
      <c r="HJ200" s="112" t="str">
        <f>HYPERLINK("http://www.ibbc-berlin.de/media/Bro_de-arab.pdf","x")</f>
        <v>x</v>
      </c>
      <c r="HK200" s="112"/>
      <c r="HL200" s="112" t="str">
        <f>HYPERLINK("http://www.ethno-medizinisches-zentrum.de/images/PDF-Files/lf_depression__arab.pdf","x")</f>
        <v>x</v>
      </c>
      <c r="HM200" s="112"/>
      <c r="HN200" s="112"/>
      <c r="HO200" s="112"/>
      <c r="HP200" s="112"/>
      <c r="HQ200" s="112"/>
      <c r="HR200" s="112"/>
      <c r="HS200" s="112"/>
      <c r="HT200" s="112"/>
      <c r="HU200" s="112"/>
      <c r="HV200" s="112"/>
      <c r="HW200" s="112"/>
      <c r="HX200" s="112" t="str">
        <f>HYPERLINK("http://www.bkk-psychisch-gesund.de/fileadmin/user_upload/Dokumente/Versicherte/Broschueren/Wegweiser_Psychotherapie_arabisch.pdf","x")</f>
        <v>x</v>
      </c>
      <c r="HY200" s="112" t="str">
        <f t="shared" si="72"/>
        <v>x</v>
      </c>
      <c r="HZ200" s="112" t="str">
        <f t="shared" si="73"/>
        <v>x</v>
      </c>
      <c r="IA200" s="112"/>
      <c r="IB200" s="112"/>
      <c r="IC200" s="112"/>
      <c r="ID200" s="112" t="str">
        <f>HYPERLINK("http://www.susannestein.de/VIA-online/trauma-bilderbuch-arabisch.pdf","x")</f>
        <v>x</v>
      </c>
      <c r="IE200" s="112"/>
      <c r="IF200" s="112"/>
      <c r="IG200" s="112"/>
      <c r="IH200" s="111"/>
      <c r="II200" s="112"/>
      <c r="IJ200" s="112"/>
      <c r="IK200" s="112" t="str">
        <f>HYPERLINK("http://www.bamf.de/SharedDocs/Anlagen/DE/Publikationen/Flyer/Lassen-Sie-Sich-Beraten/lassen-sie-sich-beraten_ar.pdf?__blob=publicationFile","x")</f>
        <v>x</v>
      </c>
      <c r="IL200" s="112" t="str">
        <f>HYPERLINK("http://www.bamf.de/SharedDocs/Anlagen/DE/Publikationen/Flyer/flyer-erstorientierung-asylsuchende_arabisch.pdf?__blob=publicationFile","x")</f>
        <v>x</v>
      </c>
      <c r="IM200" s="111"/>
      <c r="IN200" s="112" t="str">
        <f>HYPERLINK("https://www.bamf.de/SharedDocs/Anlagen/DE/Publikationen/Broschueren/willkommen-in-deutschland_ar.pdf?__blob=publicationFile","x")</f>
        <v>x</v>
      </c>
      <c r="IO200" s="112"/>
      <c r="IP200" s="111"/>
      <c r="IQ200" s="112" t="str">
        <f>HYPERLINK("http://www.bamf.de/SharedDocs/Anlagen/DE/Publikationen/Flyer/Lernen-Sie-Deutsch/lernen-sie-deutsch_ar.pdf?__blob=publicationFile","x")</f>
        <v>x</v>
      </c>
      <c r="IR200" s="112" t="str">
        <f>HYPERLINK("http://www.asyl.net/fileadmin/user_upload/redaktion/Dokumente/Arbeitshilfen/150910_Wie_l%C3%A4uft_ein_Asylverfahren_ab_%C3%9Cberblickstext_Arabisch.pdf","x")</f>
        <v>x</v>
      </c>
      <c r="IS200" s="111"/>
      <c r="IT200" s="111"/>
      <c r="IU200" s="111"/>
      <c r="IV200" s="112" t="str">
        <f>HYPERLINK("http://www.asyl.net/fileadmin/user_upload/infoblatt_anhoerung/Infoblatt_2015_ar_fin.pdf","x")</f>
        <v>x</v>
      </c>
      <c r="IW200" s="112" t="str">
        <f>HYPERLINK("http://efi-landsberg.de/asyl/wp-content/uploads/2014/04/Merkblatt-Asylbewerber-Fluechtlinge.pdf","x")</f>
        <v>x</v>
      </c>
      <c r="IX200" s="112"/>
      <c r="IY200" s="112" t="str">
        <f>HYPERLINK("http://www.bamf.de/SharedDocs/Anlagen/DE/Publikationen/Broschueren/broschuere-eat-a4-ar-arabisch.pdf?__blob=publicationFile","x")</f>
        <v>x</v>
      </c>
      <c r="IZ200" s="111"/>
      <c r="JA200" s="112" t="str">
        <f>HYPERLINK("http://fluechtlingsrat-bw.de/informationen-fuer-fluechtlinge.html","x")</f>
        <v>x</v>
      </c>
      <c r="JB200" s="111"/>
      <c r="JC200" s="112"/>
      <c r="JD200" s="111"/>
      <c r="JE200" s="112"/>
      <c r="JF200" s="112"/>
      <c r="JG200" s="112" t="str">
        <f>HYPERLINK("http://www.bamf.de/SharedDocs/Anlagen/DE/Publikationen/Flyer/Ehegattennachzug/ehegattennachzug-ar.pdf?__blob=publicationFile","x")</f>
        <v>x</v>
      </c>
      <c r="JH200" s="112" t="str">
        <f>HYPERLINK("https://familyreunion-syria.diplo.de/webportal/index.html#start","x")</f>
        <v>x</v>
      </c>
      <c r="JI200" s="111"/>
      <c r="JJ200" s="112"/>
      <c r="JK200" s="112" t="str">
        <f>HYPERLINK("https://www.arbeitsagentur.de/web/wcm/idc/groups/public/documents/webdatei/mdaw/mjgz/~edisp/l6019022dstbai784629.pdf?_ba.sid=L6019022DSTBAI788745","x")</f>
        <v>x</v>
      </c>
      <c r="JL200" s="112" t="str">
        <f>HYPERLINK("http://www.kub-berlin.org/formularprojekt/de/arabisch-antraege-und-anlagen/","x")</f>
        <v>x</v>
      </c>
      <c r="JM200" s="112" t="str">
        <f>HYPERLINK("https://www.arbeitsagentur.de/web/content/DE/Formulare/Detail/index.htm?dfContentId=L6019022DSTBAI485740","x")</f>
        <v>x</v>
      </c>
      <c r="JN200" s="112"/>
      <c r="JO200" s="112"/>
      <c r="JP200" s="112"/>
      <c r="JQ200" s="112"/>
      <c r="JR200" s="112" t="str">
        <f>HYPERLINK("http://www.ibla-germany.de/merkblaetter.php","x")</f>
        <v>x</v>
      </c>
      <c r="JS200" s="112"/>
      <c r="JT200" s="112" t="str">
        <f>HYPERLINK("http://www.b-umf.de/images/willkommen/willkommensbroschurearabisch-web.pdf","x")</f>
        <v>x</v>
      </c>
      <c r="JU200" s="111"/>
      <c r="JV200" s="111"/>
      <c r="JW200" s="112"/>
      <c r="JX200" s="112"/>
      <c r="JY200" s="112"/>
      <c r="JZ200" s="112"/>
      <c r="KA200" s="112" t="str">
        <f>HYPERLINK("http://www.kas.de/wf/de/33.43117/","x")</f>
        <v>x</v>
      </c>
      <c r="KB200" s="112" t="str">
        <f>HYPERLINK("http://www.refugeeguide.de/dl/RefugeeGuide_ar_930.pdf","x")</f>
        <v>x</v>
      </c>
      <c r="KC200" s="112" t="str">
        <f>HYPERLINK("http://www.bpb.de/shop/buecher/grundgesetz/215136/grundgesetz-auf-arabisch","x")</f>
        <v>x</v>
      </c>
      <c r="KD200" s="112" t="str">
        <f>HYPERLINK("http://www.wedel.de/fileadmin/user_upload/media/pdf/Rathaus_und_Politik/20160118_PM_Broschuere.pdf","x")</f>
        <v>x</v>
      </c>
      <c r="KE200" s="112" t="str">
        <f>HYPERLINK("http://www.frauenrechte.de/online/images/downloads/allgemein/TDF_Flyer_Women_Men.pdf","x")</f>
        <v>x</v>
      </c>
      <c r="KF200" s="112" t="str">
        <f>HYPERLINK("http://sab.landtag.sachsen.de/dokumente/landtagskurier/Grundwerte-A5-international_web_08012016.pdf","x")</f>
        <v>x</v>
      </c>
      <c r="KG200" s="112"/>
      <c r="KH200" s="112"/>
      <c r="KI200" s="112"/>
      <c r="KJ200" s="112"/>
      <c r="KK200" s="112"/>
      <c r="KL200" s="112"/>
      <c r="KM200" s="112"/>
      <c r="KN200" s="112"/>
      <c r="KO200" s="112"/>
      <c r="KP200" s="112"/>
      <c r="KQ200" s="112"/>
      <c r="KR200" s="112"/>
      <c r="KS200" s="112"/>
      <c r="KT200" s="112"/>
      <c r="KU200" s="112"/>
      <c r="KV200" s="112"/>
      <c r="KW200" s="112"/>
      <c r="KX200" s="112"/>
      <c r="KY200" s="112"/>
      <c r="KZ200" s="112"/>
      <c r="LA200" s="112"/>
      <c r="LB200" s="112"/>
      <c r="LC200" s="111"/>
      <c r="LD200" s="111"/>
      <c r="LE200" s="111"/>
      <c r="LF200" s="111"/>
      <c r="LG200" s="112"/>
      <c r="LH200" s="111"/>
      <c r="LI200" s="111"/>
      <c r="LJ200" s="111"/>
      <c r="LK200" s="111"/>
      <c r="LL200" s="111"/>
      <c r="LM200" s="111"/>
      <c r="LN200" s="111"/>
      <c r="LO200" s="111"/>
      <c r="LP200" s="111"/>
      <c r="LQ200" s="111"/>
      <c r="LR200" s="111"/>
      <c r="LS200" s="111"/>
      <c r="LT200" s="112"/>
      <c r="LU200" s="111"/>
      <c r="LV200" s="111"/>
      <c r="LW200" s="111"/>
      <c r="LX200" s="111"/>
      <c r="LY200" s="111"/>
      <c r="LZ200" s="112" t="str">
        <f>HYPERLINK("http://www.bjf.info/projekte/cinemanya","x")</f>
        <v>x</v>
      </c>
      <c r="MA200" s="111"/>
      <c r="MB200" s="111"/>
      <c r="MC200" s="111"/>
      <c r="MD200" s="112" t="str">
        <f>HYPERLINK("http://www.rki.de/DE/Content/Infekt/IfSG/Belehrungsbogen/belehrungsbogen_lebensmittel_arabisch.pdf?__blob=publicationFile","x")</f>
        <v>x</v>
      </c>
      <c r="ME200" s="111"/>
      <c r="MF200" s="112" t="str">
        <f>HYPERLINK("http://www.gdv.de/wp-content/uploads/2016/01/Information_Brandschutz_Fluechtlingsheim_-Sicherheit_mehrsprachig.pdf","x")</f>
        <v>x</v>
      </c>
      <c r="MG200" s="112" t="str">
        <f>HYPERLINK("http://www.gdv.de/wp-content/uploads/2016/01/Information_Verhalten-im-Brandfall_mehrsprachig.pdf","x")</f>
        <v>x</v>
      </c>
      <c r="MH200" s="112" t="str">
        <f>HYPERLINK("http://www.aha-region.de/fileadmin/Download/pdf/aha_Plakat_Muelltrennung_ar.pdf","x")</f>
        <v>x</v>
      </c>
      <c r="MI200" s="112" t="str">
        <f>HYPERLINK("http://www.kindersicherheit.de/pdf/2012_poster_achtunggiftig_8sprachig.pdf","x")</f>
        <v>x</v>
      </c>
    </row>
    <row r="201" spans="1:347" x14ac:dyDescent="0.25">
      <c r="A201" s="102" t="s">
        <v>66</v>
      </c>
      <c r="B201" s="127" t="s">
        <v>39</v>
      </c>
      <c r="C201" s="102"/>
      <c r="D201" s="102"/>
      <c r="E201" s="102"/>
      <c r="F201" s="102"/>
      <c r="G201" s="102"/>
      <c r="H201" s="102"/>
      <c r="I201" s="102"/>
      <c r="J201" s="102"/>
      <c r="K201" s="103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3"/>
      <c r="AW201" s="114" t="str">
        <f t="shared" si="55"/>
        <v>x</v>
      </c>
      <c r="AX201" s="114" t="str">
        <f t="shared" si="56"/>
        <v>x</v>
      </c>
      <c r="AY201" s="111"/>
      <c r="AZ201" s="111"/>
      <c r="BA201" s="112" t="str">
        <f t="shared" si="57"/>
        <v>x</v>
      </c>
      <c r="BB201" s="112" t="str">
        <f t="shared" si="58"/>
        <v>x</v>
      </c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2" t="str">
        <f t="shared" si="59"/>
        <v>x</v>
      </c>
      <c r="BT201" s="112"/>
      <c r="BU201" s="111"/>
      <c r="BV201" s="112" t="str">
        <f t="shared" si="60"/>
        <v>x</v>
      </c>
      <c r="BW201" s="112" t="str">
        <f>HYPERLINK("http://www.welcomegrooves.de/wp-content/uploads/2015/10/welcomegrooves_DE-SOMALI.pdf","x")</f>
        <v>x</v>
      </c>
      <c r="BX201" s="112"/>
      <c r="BY201" s="112"/>
      <c r="BZ201" s="112"/>
      <c r="CA201" s="112" t="str">
        <f t="shared" si="61"/>
        <v>x</v>
      </c>
      <c r="CB201" s="112" t="str">
        <f t="shared" si="62"/>
        <v>x</v>
      </c>
      <c r="CC201" s="112" t="str">
        <f t="shared" si="63"/>
        <v>x</v>
      </c>
      <c r="CD201" s="112"/>
      <c r="CE201" s="112"/>
      <c r="CF201" s="111"/>
      <c r="CG201" s="111"/>
      <c r="CH201" s="111"/>
      <c r="CI201" s="111"/>
      <c r="CJ201" s="111"/>
      <c r="CK201" s="112" t="str">
        <f t="shared" si="64"/>
        <v>x</v>
      </c>
      <c r="CL201" s="112"/>
      <c r="CM201" s="112"/>
      <c r="CN201" s="112"/>
      <c r="CO201" s="112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2"/>
      <c r="DA201" s="112" t="str">
        <f>HYPERLINK("http://sichere-orte-schaffen.de/wp-content/uploads/Minibrosch_Fluechtlinge_multilang.pdf","x")</f>
        <v>x</v>
      </c>
      <c r="DB201" s="112"/>
      <c r="DC201" s="115"/>
      <c r="DD201" s="112"/>
      <c r="DE201" s="112"/>
      <c r="DF201" s="112" t="str">
        <f t="shared" si="65"/>
        <v>x</v>
      </c>
      <c r="DG201" s="115" t="str">
        <f t="shared" si="66"/>
        <v>x</v>
      </c>
      <c r="DH201" s="112" t="str">
        <f t="shared" si="67"/>
        <v>x</v>
      </c>
      <c r="DI201" s="112" t="str">
        <f t="shared" si="68"/>
        <v>x</v>
      </c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8"/>
      <c r="EQ201" s="118"/>
      <c r="ER201" s="111"/>
      <c r="ES201" s="111"/>
      <c r="ET201" s="111"/>
      <c r="EU201" s="111"/>
      <c r="EV201" s="111"/>
      <c r="EW201" s="112" t="str">
        <f t="shared" si="69"/>
        <v>x</v>
      </c>
      <c r="EX201" s="111"/>
      <c r="EY201" s="111"/>
      <c r="EZ201" s="111"/>
      <c r="FA201" s="111"/>
      <c r="FB201" s="111"/>
      <c r="FC201" s="111"/>
      <c r="FD201" s="112" t="str">
        <f t="shared" si="70"/>
        <v>x</v>
      </c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2" t="str">
        <f t="shared" si="71"/>
        <v>x</v>
      </c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2" t="str">
        <f t="shared" si="72"/>
        <v>x</v>
      </c>
      <c r="HZ201" s="112" t="str">
        <f t="shared" si="73"/>
        <v>x</v>
      </c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2" t="str">
        <f>HYPERLINK("http://www.bamf.de/SharedDocs/Anlagen/DE/Publikationen/Flyer/flyer-erstorientierung-asylsuchende_somali.pdf?__blob=publicationFile","x")</f>
        <v>x</v>
      </c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1"/>
      <c r="IZ201" s="111"/>
      <c r="JA201" s="112" t="str">
        <f>HYPERLINK("http://fluechtlingsrat-bw.de/informationen-fuer-fluechtlinge.html","x")</f>
        <v>x</v>
      </c>
      <c r="JB201" s="111"/>
      <c r="JC201" s="111"/>
      <c r="JD201" s="111"/>
      <c r="JE201" s="111"/>
      <c r="JF201" s="111"/>
      <c r="JG201" s="111"/>
      <c r="JH201" s="111"/>
      <c r="JI201" s="111"/>
      <c r="JJ201" s="111"/>
      <c r="JK201" s="111"/>
      <c r="JL201" s="111"/>
      <c r="JM201" s="111"/>
      <c r="JN201" s="111"/>
      <c r="JO201" s="111"/>
      <c r="JP201" s="111"/>
      <c r="JQ201" s="111"/>
      <c r="JR201" s="111"/>
      <c r="JS201" s="111"/>
      <c r="JT201" s="112" t="str">
        <f>HYPERLINK("http://www.b-umf.de/images/willkommen/wkb-soomali.pdf","x")</f>
        <v>x</v>
      </c>
      <c r="JU201" s="111"/>
      <c r="JV201" s="111"/>
      <c r="JW201" s="111"/>
      <c r="JX201" s="111"/>
      <c r="JY201" s="111"/>
      <c r="JZ201" s="111"/>
      <c r="KA201" s="111"/>
      <c r="KB201" s="111"/>
      <c r="KC201" s="111"/>
      <c r="KD201" s="111"/>
      <c r="KE201" s="111"/>
      <c r="KF201" s="112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  <c r="MI201" s="111"/>
    </row>
    <row r="202" spans="1:347" x14ac:dyDescent="0.25">
      <c r="A202" s="102" t="s">
        <v>415</v>
      </c>
      <c r="B202" s="127" t="s">
        <v>35</v>
      </c>
      <c r="C202" s="102"/>
      <c r="D202" s="102"/>
      <c r="E202" s="102"/>
      <c r="F202" s="102"/>
      <c r="G202" s="102"/>
      <c r="H202" s="102"/>
      <c r="I202" s="102"/>
      <c r="J202" s="102"/>
      <c r="K202" s="103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2" t="str">
        <f>HYPERLINK("http://www.rundfunkbeitrag.de/e175/e1636/Informationsflyer_Buerginnen_und_Buerger_spanisch.pdf","x")</f>
        <v>x</v>
      </c>
      <c r="AE202" s="111"/>
      <c r="AF202" s="112" t="str">
        <f>HYPERLINK("http://www.kub-berlin.org/formularprojekt/de/spanisch-antraege-und-uebersetzungshilfen/","x")</f>
        <v>x</v>
      </c>
      <c r="AG202" s="111"/>
      <c r="AH202" s="111"/>
      <c r="AI202" s="111"/>
      <c r="AJ202" s="111"/>
      <c r="AK202" s="111"/>
      <c r="AL202" s="111"/>
      <c r="AM202" s="111"/>
      <c r="AN202" s="111"/>
      <c r="AO202" s="112"/>
      <c r="AP202" s="112"/>
      <c r="AQ202" s="112"/>
      <c r="AR202" s="112"/>
      <c r="AS202" s="112"/>
      <c r="AT202" s="112"/>
      <c r="AU202" s="112"/>
      <c r="AV202" s="113"/>
      <c r="AW202" s="114" t="str">
        <f t="shared" si="55"/>
        <v>x</v>
      </c>
      <c r="AX202" s="114" t="str">
        <f t="shared" si="56"/>
        <v>x</v>
      </c>
      <c r="AY202" s="111"/>
      <c r="AZ202" s="111"/>
      <c r="BA202" s="112" t="str">
        <f t="shared" si="57"/>
        <v>x</v>
      </c>
      <c r="BB202" s="112" t="str">
        <f t="shared" si="58"/>
        <v>x</v>
      </c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2" t="str">
        <f t="shared" si="59"/>
        <v>x</v>
      </c>
      <c r="BT202" s="112"/>
      <c r="BU202" s="111"/>
      <c r="BV202" s="112" t="str">
        <f t="shared" si="60"/>
        <v>x</v>
      </c>
      <c r="BW202" s="112" t="str">
        <f>HYPERLINK("http://www.welcomegrooves.de/wp-content/uploads/2015/10/welcomegrooves_DE-SPANISCH.pdf","x")</f>
        <v>x</v>
      </c>
      <c r="BX202" s="112"/>
      <c r="BY202" s="112"/>
      <c r="BZ202" s="112"/>
      <c r="CA202" s="112" t="str">
        <f t="shared" si="61"/>
        <v>x</v>
      </c>
      <c r="CB202" s="112" t="str">
        <f t="shared" si="62"/>
        <v>x</v>
      </c>
      <c r="CC202" s="112" t="str">
        <f t="shared" si="63"/>
        <v>x</v>
      </c>
      <c r="CD202" s="112"/>
      <c r="CE202" s="112"/>
      <c r="CF202" s="111"/>
      <c r="CG202" s="111"/>
      <c r="CH202" s="112" t="str">
        <f>HYPERLINK("http://mifkjf.rlp.de/fileadmin/mifkjf/Frauen/Gewalt_gegen_Frauen/Downloads/Broschueren_Flyer/Flyer_Gewalt_spanisch.pdf","x")</f>
        <v>x</v>
      </c>
      <c r="CI202" s="111"/>
      <c r="CJ202" s="112" t="str">
        <f>HYPERLINK("https://www.hilfetelefon.de/fileadmin/hilfetelefon_de/Materialien/weitere_werbemittel/Klappflyer_Vorder-_und_Rueckseite_opt2.pdf","x")</f>
        <v>x</v>
      </c>
      <c r="CK202" s="112" t="str">
        <f t="shared" si="64"/>
        <v>x</v>
      </c>
      <c r="CL202" s="112" t="str">
        <f>HYPERLINK("http://www.frauenberatungsstelle.de/pdf/Migrantinnen-beraten-Migrantinnen.pdf","x")</f>
        <v>x</v>
      </c>
      <c r="CM202" s="112"/>
      <c r="CN202" s="112"/>
      <c r="CO202" s="112"/>
      <c r="CP202" s="112" t="str">
        <f>HYPERLINK("http://www.schwanger-und-viele-fragen.de/es/","x")</f>
        <v>x</v>
      </c>
      <c r="CQ202" s="112"/>
      <c r="CR202" s="112"/>
      <c r="CS202" s="112"/>
      <c r="CT202" s="112"/>
      <c r="CU202" s="112" t="str">
        <f>HYPERLINK("http://www.profamilia.de/fileadmin/publikationen/Erwachsene/mehrsprachig/Verhuetung_spanisch.pdf","x")</f>
        <v>x</v>
      </c>
      <c r="CV202" s="112" t="str">
        <f>HYPERLINK("http://www.profamilia.de/fileadmin/publikationen/Reihe_Verhuetungsmethoden/Bro_Pille_danach_Faltblatt_esp_141103.pdf","x")</f>
        <v>x</v>
      </c>
      <c r="CW202" s="112" t="str">
        <f>HYPERLINK("http://www.profamilia.de/fileadmin/publikationen/Reihe_Verhuetungsmethoden/Einleger_Spanisch.pdf","x")</f>
        <v>x</v>
      </c>
      <c r="CX202" s="112"/>
      <c r="CY202" s="112" t="str">
        <f>HYPERLINK("http://www.caritas-schwarzwald-alb-donau.de/68854.html","x")</f>
        <v>x</v>
      </c>
      <c r="CZ202" s="112"/>
      <c r="DA202" s="112"/>
      <c r="DB202" s="112"/>
      <c r="DC202" s="115" t="str">
        <f>HYPERLINK("http://www.kindersicherheit.de/pdf/2013_BAG_Tomi_and_Mila_Deutsch_Espanol.pdf","x")</f>
        <v>x</v>
      </c>
      <c r="DD202" s="112"/>
      <c r="DE202" s="112"/>
      <c r="DF202" s="112" t="str">
        <f t="shared" si="65"/>
        <v>x</v>
      </c>
      <c r="DG202" s="115" t="str">
        <f t="shared" si="66"/>
        <v>x</v>
      </c>
      <c r="DH202" s="112" t="str">
        <f t="shared" si="67"/>
        <v>x</v>
      </c>
      <c r="DI202" s="112" t="str">
        <f t="shared" si="68"/>
        <v>x</v>
      </c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2" t="str">
        <f>HYPERLINK("http://bildung.koeln.de/materialbibliothek/download.php?idx=ccf097c3404e26240478c01248debdf8","x")</f>
        <v>x</v>
      </c>
      <c r="DT202" s="112" t="str">
        <f>HYPERLINK("http://bildung.koeln.de/materialbibliothek/download.php?idx=bddd18cfef5da0f16acdd486a807febc","x")</f>
        <v>x</v>
      </c>
      <c r="DU202" s="112"/>
      <c r="DV202" s="112" t="str">
        <f>HYPERLINK("https://www.bmbf.de/pub/Kausa_Elternbroschuere_spanisch.pdf","x")</f>
        <v>x</v>
      </c>
      <c r="DW202" s="112"/>
      <c r="DX202" s="112"/>
      <c r="DY202" s="112" t="str">
        <f>HYPERLINK("http://www.bamf.de/SharedDocs/Anlagen/DE/Publikationen/Flyer/AnerkennungBerufsabschluss/berufliche_anerkennung_akademische-heilberufe_es.pdf?__blob=publicationFile","x")</f>
        <v>x</v>
      </c>
      <c r="DZ202" s="112" t="str">
        <f>HYPERLINK("http://www.bamf.de/SharedDocs/Anlagen/DE/Publikationen/Flyer/AnerkennungBerufsabschluss/anerkennung-berufsabschluss_es.pdf?__blob=publicationFile","x")</f>
        <v>x</v>
      </c>
      <c r="EA202" s="112" t="str">
        <f>HYPERLINK("http://www.bamf.de/SharedDocs/Anlagen/DE/Publikationen/Flyer/AnerkennungBerufsabschluss/anerkennung-berufsabschluss_ausland_es.pdf?__blob=publicationFile","x")</f>
        <v>x</v>
      </c>
      <c r="EB202" s="112"/>
      <c r="EC202" s="112" t="str">
        <f>HYPERLINK("http://www.bamf.de/SharedDocs/Anlagen/DE/Publikationen/Flyer/Berufsbezsprachf-ESF-BAMF/berufsbezsprachf-esf-bamf_es.pdf?__blob=publicationFile","x")</f>
        <v>x</v>
      </c>
      <c r="ED202" s="111"/>
      <c r="EE202" s="111"/>
      <c r="EF202" s="111"/>
      <c r="EG202" s="111"/>
      <c r="EH202" s="111"/>
      <c r="EI202" s="111"/>
      <c r="EJ202" s="112"/>
      <c r="EK202" s="112"/>
      <c r="EL202" s="111"/>
      <c r="EM202" s="112" t="str">
        <f>HYPERLINK("http://www.kvs-sachsen.de/fileadmin/img/Mitglieder/Asylbewerber/Allg-Informationen/Anlage_1_Spanisch_LEK.pdf","x")</f>
        <v>x</v>
      </c>
      <c r="EN202" s="111"/>
      <c r="EO202" s="111"/>
      <c r="EP202" s="117" t="str">
        <f>HYPERLINK("http://www.medi-bild.de/pdf/anamnese/Welche_Sprache.pdf","x")</f>
        <v>x</v>
      </c>
      <c r="EQ202" s="117" t="str">
        <f>HYPERLINK("http://www.armut-gesundheit.de/fileadmin/redakteur/dokumente/Anamnesebogen%20-%20spanischnew.pdf","x")</f>
        <v>x</v>
      </c>
      <c r="ER202" s="112" t="str">
        <f>HYPERLINK("http://www.kvs-sachsen.de/fileadmin/img/Mitglieder/Asylbewerber/Allg-Informationen/Anlagen_2-1_2-2_Spanisch_LEK.pdf","x")</f>
        <v>x</v>
      </c>
      <c r="ES202" s="111"/>
      <c r="ET202" s="111"/>
      <c r="EU202" s="111"/>
      <c r="EV202" s="111"/>
      <c r="EW202" s="112" t="str">
        <f t="shared" si="69"/>
        <v>x</v>
      </c>
      <c r="EX202" s="112" t="str">
        <f>HYPERLINK("http://www.rki.de/DE/Content/Infekt/IfSG/Belehrungsbogen/belehrungsbogen_eltern_spanisch.pdf?__blob=publicationFile","x")</f>
        <v>x</v>
      </c>
      <c r="EY202" s="111"/>
      <c r="EZ202" s="111"/>
      <c r="FA202" s="111"/>
      <c r="FB202" s="111"/>
      <c r="FC202" s="111"/>
      <c r="FD202" s="112" t="str">
        <f t="shared" si="70"/>
        <v>x</v>
      </c>
      <c r="FE202" s="112" t="str">
        <f>HYPERLINK("http://sghanstedt.elbnetz.com/ueber-uns/","x")</f>
        <v>x</v>
      </c>
      <c r="FF202" s="111"/>
      <c r="FG202" s="111"/>
      <c r="FH202" s="111"/>
      <c r="FI202" s="111"/>
      <c r="FJ202" s="112"/>
      <c r="FK202" s="112" t="str">
        <f>HYPERLINK("http://www.rki.de/DE/Content/Infekt/Impfen/Materialien/Downloads-Impfkalender/Impfkalender_Spanisch.pdf?__blob=publicationFile","x")</f>
        <v>x</v>
      </c>
      <c r="FL202" s="112" t="str">
        <f>HYPERLINK("http://www.ethno-medizinisches-zentrum.de/images/PDF-Files/impfwegweiser_spanisch_2013_online.pdf","x")</f>
        <v>x</v>
      </c>
      <c r="FM202" s="112"/>
      <c r="FN202" s="112" t="str">
        <f>HYPERLINK("http://www.rki.de/DE/Content/Infekt/Impfen/Materialien/Glossar-Downloads/glossar-de-spanisch.pdf?__blob=publicationFile","x")</f>
        <v>x</v>
      </c>
      <c r="FO202" s="112"/>
      <c r="FP202" s="112" t="str">
        <f>HYPERLINK("http://www.rki.de/DE/Content/Infekt/Impfen/Materialien/Downloads-MMR/MMR-Impfinfo-spanisch.pdf?__blob=publicationFile","x")</f>
        <v>x</v>
      </c>
      <c r="FQ202" s="111"/>
      <c r="FR202" s="112" t="str">
        <f>HYPERLINK("http://www.rki.de/DE/Content/Infekt/Impfen/Materialien/Downloads_HepA/Aufklaerung_HAV-Impfung_Spanisch.pdf?__blob=publicationFile","x")</f>
        <v>x</v>
      </c>
      <c r="FS202" s="112" t="str">
        <f>HYPERLINK("http://www.rki.de/DE/Content/Infekt/Impfen/Materialien/Downloads_Pneumokokken/Aufklaerung_Pneumo-Impfung_Spanisch.pdf?__blob=publicationFile","x")</f>
        <v>x</v>
      </c>
      <c r="FT202" s="112" t="str">
        <f>HYPERLINK("http://www.rki.de/DE/Content/Infekt/Impfen/Materialien/Downloads-DTaPIPVHibHepB/DTaPIPVHibHepB-spanisch.pdf?__blob=publicationFile","x")</f>
        <v>x</v>
      </c>
      <c r="FU202" s="112" t="str">
        <f>HYPERLINK("http://www.rki.de/DE/Content/Infekt/Impfen/Materialien/Downloads-Varizellen/Varizellen-Impfinfo-spanisch.pdf;jsessionid=65B697F4EE7EDA8A1ED9E2C4CD6C74EC.2_cid363?__blob=publicationFile","x")</f>
        <v>x</v>
      </c>
      <c r="FV202" s="112" t="str">
        <f>HYPERLINK("http://www.rki.de/DE/Content/Infekt/Impfen/Materialien/Downloads-Tdap-IPV/Tdap-IPV-spanisch.pdf?__blob=publicationFile","x")</f>
        <v>x</v>
      </c>
      <c r="FW202" s="112" t="str">
        <f>HYPERLINK("http://www.rki.de/DE/Content/Infekt/Impfen/Materialien/Downloads-Influenza_nasal/Influenza_nasal-spanisch.pdf?__blob=publicationFile","x")</f>
        <v>x</v>
      </c>
      <c r="FX202" s="111"/>
      <c r="FY202" s="111"/>
      <c r="FZ202" s="111"/>
      <c r="GA202" s="111"/>
      <c r="GB202" s="111"/>
      <c r="GC202" s="111"/>
      <c r="GD202" s="112" t="str">
        <f>HYPERLINK("http://www.ethno-medizinisches-zentrum.de/images/PDF-Files/lf_diabete_spanisch.pdf","x")</f>
        <v>x</v>
      </c>
      <c r="GE202" s="111"/>
      <c r="GF202" s="111"/>
      <c r="GG202" s="111"/>
      <c r="GH202" s="111"/>
      <c r="GI202" s="111"/>
      <c r="GJ202" s="111"/>
      <c r="GK202" s="112" t="str">
        <f>HYPERLINK("http://www.tipdoc.de/bus/pdf/hiv/HIV%20ESP_Webseite.pdf","x")</f>
        <v>x</v>
      </c>
      <c r="GL202" s="111"/>
      <c r="GM202" s="112" t="str">
        <f>HYPERLINK("http://www.rki.de/DE/Content/Infekt/Impfen/Materialien/Downloads-Influenza/Influenza-spanisch.pdf?__blob=publicationFile","x")</f>
        <v>x</v>
      </c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2" t="str">
        <f t="shared" si="71"/>
        <v>x</v>
      </c>
      <c r="HD202" s="111"/>
      <c r="HE202" s="111"/>
      <c r="HF202" s="111"/>
      <c r="HG202" s="111"/>
      <c r="HH202" s="111"/>
      <c r="HI202" s="111"/>
      <c r="HJ202" s="111"/>
      <c r="HK202" s="112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2" t="str">
        <f t="shared" si="72"/>
        <v>x</v>
      </c>
      <c r="HZ202" s="112" t="str">
        <f t="shared" si="73"/>
        <v>x</v>
      </c>
      <c r="IA202" s="111"/>
      <c r="IB202" s="111"/>
      <c r="IC202" s="111"/>
      <c r="ID202" s="111"/>
      <c r="IE202" s="111"/>
      <c r="IF202" s="111"/>
      <c r="IG202" s="111"/>
      <c r="IH202" s="111"/>
      <c r="II202" s="112" t="str">
        <f>HYPERLINK("http://www.caritas.de/hilfeundberatung/onlineberatung/suchtberatung/haeufiggestelltefragensucht/haeufiggestelltefragen-sucht","x")</f>
        <v>x</v>
      </c>
      <c r="IJ202" s="111"/>
      <c r="IK202" s="112" t="str">
        <f>HYPERLINK("http://www.bamf.de/SharedDocs/Anlagen/DE/Publikationen/Flyer/Lassen-Sie-Sich-Beraten/lassen-sie-sich-beraten_es.pdf?__blob=publicationFile","x")</f>
        <v>x</v>
      </c>
      <c r="IL202" s="111"/>
      <c r="IM202" s="111"/>
      <c r="IN202" s="112" t="str">
        <f>HYPERLINK("https://www.bamf.de/SharedDocs/Anlagen/DE/Publikationen/Broschueren/willkommen-in-deutschland_es.pdf?__blob=publicationFile","x")</f>
        <v>x</v>
      </c>
      <c r="IO202" s="112"/>
      <c r="IP202" s="111"/>
      <c r="IQ202" s="112" t="str">
        <f>HYPERLINK("http://www.bamf.de/SharedDocs/Anlagen/DE/Publikationen/Flyer/Lernen-Sie-Deutsch/lernen-sie-deutsch_es.pdf?__blob=publicationFile","x")</f>
        <v>x</v>
      </c>
      <c r="IR202" s="112"/>
      <c r="IS202" s="111"/>
      <c r="IT202" s="111"/>
      <c r="IU202" s="111"/>
      <c r="IV202" s="112"/>
      <c r="IW202" s="112"/>
      <c r="IX202" s="112" t="str">
        <f>HYPERLINK("http://www.berlin.de/labo/willkommen-in-berlin/service/downloads/artikel.273193.php","x")</f>
        <v>x</v>
      </c>
      <c r="IY202" s="112" t="str">
        <f>HYPERLINK("http://www.bamf.de/SharedDocs/Anlagen/DE/Publikationen/Broschueren/broschuere-eat-a4-es-spanisch.pdf?__blob=publicationFile","x")</f>
        <v>x</v>
      </c>
      <c r="IZ202" s="111"/>
      <c r="JA202" s="111"/>
      <c r="JB202" s="111"/>
      <c r="JC202" s="112"/>
      <c r="JD202" s="111"/>
      <c r="JE202" s="112"/>
      <c r="JF202" s="112"/>
      <c r="JG202" s="112"/>
      <c r="JH202" s="112"/>
      <c r="JI202" s="111"/>
      <c r="JJ202" s="112"/>
      <c r="JK202" s="112"/>
      <c r="JL202" s="112" t="str">
        <f>HYPERLINK("http://www.kub-berlin.org/formularprojekt/de/spanisch-antraege-und-uebersetzungshilfen/","x")</f>
        <v>x</v>
      </c>
      <c r="JM202" s="112" t="str">
        <f>HYPERLINK("https://www.arbeitsagentur.de/web/content/DE/Formulare/Detail/index.htm?dfContentId=L6019022DSTBAI485740","x")</f>
        <v>x</v>
      </c>
      <c r="JN202" s="112"/>
      <c r="JO202" s="112"/>
      <c r="JP202" s="112"/>
      <c r="JQ202" s="112"/>
      <c r="JR202" s="112"/>
      <c r="JS202" s="112"/>
      <c r="JT202" s="111"/>
      <c r="JU202" s="111"/>
      <c r="JV202" s="111"/>
      <c r="JW202" s="112"/>
      <c r="JX202" s="112"/>
      <c r="JY202" s="111"/>
      <c r="JZ202" s="111"/>
      <c r="KA202" s="111"/>
      <c r="KB202" s="111"/>
      <c r="KC202" s="111"/>
      <c r="KD202" s="112" t="str">
        <f>HYPERLINK("http://www.wedel.de/fileadmin/user_upload/media/pdf/Rathaus_und_Politik/20160118_PM_Broschuere.pdf","x")</f>
        <v>x</v>
      </c>
      <c r="KE202" s="112"/>
      <c r="KF202" s="111"/>
      <c r="KG202" s="111"/>
      <c r="KH202" s="111"/>
      <c r="KI202" s="111"/>
      <c r="KJ202" s="111"/>
      <c r="KK202" s="111"/>
      <c r="KL202" s="111"/>
      <c r="KM202" s="111"/>
      <c r="KN202" s="111"/>
      <c r="KO202" s="111"/>
      <c r="KP202" s="111"/>
      <c r="KQ202" s="111"/>
      <c r="KR202" s="111"/>
      <c r="KS202" s="111"/>
      <c r="KT202" s="111"/>
      <c r="KU202" s="111"/>
      <c r="KV202" s="111"/>
      <c r="KW202" s="111"/>
      <c r="KX202" s="111"/>
      <c r="KY202" s="111"/>
      <c r="KZ202" s="111"/>
      <c r="LA202" s="111"/>
      <c r="LB202" s="111"/>
      <c r="LC202" s="111"/>
      <c r="LD202" s="111"/>
      <c r="LE202" s="111"/>
      <c r="LF202" s="111"/>
      <c r="LG202" s="111"/>
      <c r="LH202" s="111"/>
      <c r="LI202" s="111"/>
      <c r="LJ202" s="111"/>
      <c r="LK202" s="111"/>
      <c r="LL202" s="111"/>
      <c r="LM202" s="111"/>
      <c r="LN202" s="111"/>
      <c r="LO202" s="111"/>
      <c r="LP202" s="111"/>
      <c r="LQ202" s="111"/>
      <c r="LR202" s="111"/>
      <c r="LS202" s="111"/>
      <c r="LT202" s="111"/>
      <c r="LU202" s="111"/>
      <c r="LV202" s="111"/>
      <c r="LW202" s="111"/>
      <c r="LX202" s="111"/>
      <c r="LY202" s="111"/>
      <c r="LZ202" s="111"/>
      <c r="MA202" s="111"/>
      <c r="MB202" s="111"/>
      <c r="MC202" s="111"/>
      <c r="MD202" s="112" t="str">
        <f>HYPERLINK("http://www.rki.de/DE/Content/Infekt/IfSG/Belehrungsbogen/belehrungsbogen_lebensmittel_spanisch.pdf?__blob=publicationFile","x")</f>
        <v>x</v>
      </c>
      <c r="ME202" s="111"/>
      <c r="MF202" s="111"/>
      <c r="MG202" s="111"/>
      <c r="MH202" s="111"/>
      <c r="MI202" s="111"/>
    </row>
    <row r="203" spans="1:347" x14ac:dyDescent="0.25">
      <c r="A203" s="102" t="s">
        <v>477</v>
      </c>
      <c r="B203" s="127" t="s">
        <v>476</v>
      </c>
      <c r="C203" s="102"/>
      <c r="D203" s="102"/>
      <c r="E203" s="102"/>
      <c r="F203" s="102"/>
      <c r="G203" s="102"/>
      <c r="H203" s="102"/>
      <c r="I203" s="102"/>
      <c r="J203" s="102"/>
      <c r="K203" s="103"/>
      <c r="L203" s="111"/>
      <c r="M203" s="111"/>
      <c r="N203" s="112"/>
      <c r="O203" s="112"/>
      <c r="P203" s="112"/>
      <c r="Q203" s="112"/>
      <c r="R203" s="112"/>
      <c r="S203" s="112"/>
      <c r="T203" s="112"/>
      <c r="U203" s="112"/>
      <c r="V203" s="112"/>
      <c r="W203" s="111"/>
      <c r="X203" s="112"/>
      <c r="Y203" s="111"/>
      <c r="Z203" s="111"/>
      <c r="AA203" s="111"/>
      <c r="AB203" s="111"/>
      <c r="AC203" s="111"/>
      <c r="AD203" s="112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2"/>
      <c r="AP203" s="112"/>
      <c r="AQ203" s="112"/>
      <c r="AR203" s="112"/>
      <c r="AS203" s="112"/>
      <c r="AT203" s="112"/>
      <c r="AU203" s="112"/>
      <c r="AV203" s="113"/>
      <c r="AW203" s="114" t="str">
        <f t="shared" si="55"/>
        <v>x</v>
      </c>
      <c r="AX203" s="114" t="str">
        <f t="shared" si="56"/>
        <v>x</v>
      </c>
      <c r="AY203" s="111"/>
      <c r="AZ203" s="111"/>
      <c r="BA203" s="112" t="str">
        <f t="shared" si="57"/>
        <v>x</v>
      </c>
      <c r="BB203" s="112" t="str">
        <f t="shared" si="58"/>
        <v>x</v>
      </c>
      <c r="BC203" s="111"/>
      <c r="BD203" s="111"/>
      <c r="BE203" s="111"/>
      <c r="BF203" s="111"/>
      <c r="BG203" s="111"/>
      <c r="BH203" s="112"/>
      <c r="BI203" s="112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2" t="str">
        <f t="shared" si="59"/>
        <v>x</v>
      </c>
      <c r="BT203" s="112"/>
      <c r="BU203" s="111"/>
      <c r="BV203" s="112" t="str">
        <f t="shared" si="60"/>
        <v>x</v>
      </c>
      <c r="BW203" s="112"/>
      <c r="BX203" s="112"/>
      <c r="BY203" s="112"/>
      <c r="BZ203" s="112"/>
      <c r="CA203" s="112" t="str">
        <f t="shared" si="61"/>
        <v>x</v>
      </c>
      <c r="CB203" s="112" t="str">
        <f t="shared" si="62"/>
        <v>x</v>
      </c>
      <c r="CC203" s="112" t="str">
        <f t="shared" si="63"/>
        <v>x</v>
      </c>
      <c r="CD203" s="112"/>
      <c r="CE203" s="112"/>
      <c r="CF203" s="111"/>
      <c r="CG203" s="112"/>
      <c r="CH203" s="112"/>
      <c r="CI203" s="112"/>
      <c r="CJ203" s="112"/>
      <c r="CK203" s="112" t="str">
        <f t="shared" si="64"/>
        <v>x</v>
      </c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5"/>
      <c r="DD203" s="112"/>
      <c r="DE203" s="112"/>
      <c r="DF203" s="112" t="str">
        <f t="shared" si="65"/>
        <v>x</v>
      </c>
      <c r="DG203" s="115" t="str">
        <f t="shared" si="66"/>
        <v>x</v>
      </c>
      <c r="DH203" s="112" t="str">
        <f t="shared" si="67"/>
        <v>x</v>
      </c>
      <c r="DI203" s="112" t="str">
        <f t="shared" si="68"/>
        <v>x</v>
      </c>
      <c r="DJ203" s="112" t="str">
        <f>HYPERLINK("http://www.bibliomedia.ch/de/angebote/dokumente/Glossar_tamil.pdf","x")</f>
        <v>x</v>
      </c>
      <c r="DK203" s="112"/>
      <c r="DL203" s="112"/>
      <c r="DM203" s="112"/>
      <c r="DN203" s="112"/>
      <c r="DO203" s="112"/>
      <c r="DP203" s="111"/>
      <c r="DQ203" s="112"/>
      <c r="DR203" s="112"/>
      <c r="DS203" s="112"/>
      <c r="DT203" s="112"/>
      <c r="DU203" s="112"/>
      <c r="DV203" s="112"/>
      <c r="DW203" s="111"/>
      <c r="DX203" s="111"/>
      <c r="DY203" s="111"/>
      <c r="DZ203" s="112"/>
      <c r="EA203" s="112"/>
      <c r="EB203" s="112"/>
      <c r="EC203" s="112"/>
      <c r="ED203" s="111"/>
      <c r="EE203" s="111"/>
      <c r="EF203" s="111"/>
      <c r="EG203" s="111"/>
      <c r="EH203" s="111"/>
      <c r="EI203" s="111"/>
      <c r="EJ203" s="112"/>
      <c r="EK203" s="112"/>
      <c r="EL203" s="115"/>
      <c r="EM203" s="112"/>
      <c r="EN203" s="112"/>
      <c r="EO203" s="111"/>
      <c r="EP203" s="117"/>
      <c r="EQ203" s="117"/>
      <c r="ER203" s="112"/>
      <c r="ES203" s="111"/>
      <c r="ET203" s="111"/>
      <c r="EU203" s="111"/>
      <c r="EV203" s="112"/>
      <c r="EW203" s="112" t="str">
        <f t="shared" si="69"/>
        <v>x</v>
      </c>
      <c r="EX203" s="112"/>
      <c r="EY203" s="112"/>
      <c r="EZ203" s="112"/>
      <c r="FA203" s="112"/>
      <c r="FB203" s="116"/>
      <c r="FC203" s="111"/>
      <c r="FD203" s="112" t="str">
        <f t="shared" si="70"/>
        <v>x</v>
      </c>
      <c r="FE203" s="112"/>
      <c r="FF203" s="112"/>
      <c r="FG203" s="111"/>
      <c r="FH203" s="111"/>
      <c r="FI203" s="111"/>
      <c r="FJ203" s="112"/>
      <c r="FK203" s="112"/>
      <c r="FL203" s="112"/>
      <c r="FM203" s="112"/>
      <c r="FN203" s="112"/>
      <c r="FO203" s="112"/>
      <c r="FP203" s="112"/>
      <c r="FQ203" s="112"/>
      <c r="FR203" s="112"/>
      <c r="FS203" s="112"/>
      <c r="FT203" s="112"/>
      <c r="FU203" s="112"/>
      <c r="FV203" s="112"/>
      <c r="FW203" s="112"/>
      <c r="FX203" s="112"/>
      <c r="FY203" s="112"/>
      <c r="FZ203" s="112"/>
      <c r="GA203" s="112"/>
      <c r="GB203" s="112"/>
      <c r="GC203" s="112"/>
      <c r="GD203" s="115"/>
      <c r="GE203" s="112"/>
      <c r="GF203" s="112"/>
      <c r="GG203" s="112"/>
      <c r="GH203" s="112"/>
      <c r="GI203" s="112"/>
      <c r="GJ203" s="112"/>
      <c r="GK203" s="111"/>
      <c r="GL203" s="111"/>
      <c r="GM203" s="112"/>
      <c r="GN203" s="112"/>
      <c r="GO203" s="112"/>
      <c r="GP203" s="112"/>
      <c r="GQ203" s="112"/>
      <c r="GR203" s="111"/>
      <c r="GS203" s="111"/>
      <c r="GT203" s="115"/>
      <c r="GU203" s="112"/>
      <c r="GV203" s="112"/>
      <c r="GW203" s="112"/>
      <c r="GX203" s="112"/>
      <c r="GY203" s="112"/>
      <c r="GZ203" s="112"/>
      <c r="HA203" s="112"/>
      <c r="HB203" s="112"/>
      <c r="HC203" s="112" t="str">
        <f t="shared" si="71"/>
        <v>x</v>
      </c>
      <c r="HD203" s="112"/>
      <c r="HE203" s="112"/>
      <c r="HF203" s="112"/>
      <c r="HG203" s="112"/>
      <c r="HH203" s="112"/>
      <c r="HI203" s="112"/>
      <c r="HJ203" s="112"/>
      <c r="HK203" s="112"/>
      <c r="HL203" s="115"/>
      <c r="HM203" s="115"/>
      <c r="HN203" s="115"/>
      <c r="HO203" s="115"/>
      <c r="HP203" s="115"/>
      <c r="HQ203" s="115"/>
      <c r="HR203" s="115"/>
      <c r="HS203" s="115"/>
      <c r="HT203" s="115"/>
      <c r="HU203" s="115"/>
      <c r="HV203" s="115"/>
      <c r="HW203" s="115"/>
      <c r="HX203" s="115"/>
      <c r="HY203" s="112" t="str">
        <f t="shared" si="72"/>
        <v>x</v>
      </c>
      <c r="HZ203" s="112" t="str">
        <f t="shared" si="73"/>
        <v>x</v>
      </c>
      <c r="IA203" s="115"/>
      <c r="IB203" s="115"/>
      <c r="IC203" s="115"/>
      <c r="ID203" s="115"/>
      <c r="IE203" s="115"/>
      <c r="IF203" s="115"/>
      <c r="IG203" s="115"/>
      <c r="IH203" s="112"/>
      <c r="II203" s="115"/>
      <c r="IJ203" s="115"/>
      <c r="IK203" s="112"/>
      <c r="IL203" s="111"/>
      <c r="IM203" s="111"/>
      <c r="IN203" s="112"/>
      <c r="IO203" s="112"/>
      <c r="IP203" s="111"/>
      <c r="IQ203" s="112"/>
      <c r="IR203" s="112"/>
      <c r="IS203" s="111"/>
      <c r="IT203" s="111"/>
      <c r="IU203" s="111"/>
      <c r="IV203" s="112"/>
      <c r="IW203" s="112"/>
      <c r="IX203" s="112"/>
      <c r="IY203" s="112" t="str">
        <f>HYPERLINK("http://www.bamf.de/SharedDocs/Anlagen/DE/Publikationen/Broschueren/broschuere-eat-a4-ta-tamilisch.pdf?__blob=publicationFile","x")</f>
        <v>x</v>
      </c>
      <c r="IZ203" s="111"/>
      <c r="JA203" s="111"/>
      <c r="JB203" s="111"/>
      <c r="JC203" s="112"/>
      <c r="JD203" s="111"/>
      <c r="JE203" s="112"/>
      <c r="JF203" s="112"/>
      <c r="JG203" s="112"/>
      <c r="JH203" s="112"/>
      <c r="JI203" s="111"/>
      <c r="JJ203" s="112"/>
      <c r="JK203" s="112"/>
      <c r="JL203" s="112"/>
      <c r="JM203" s="112"/>
      <c r="JN203" s="112"/>
      <c r="JO203" s="112"/>
      <c r="JP203" s="112"/>
      <c r="JQ203" s="112"/>
      <c r="JR203" s="112" t="str">
        <f>HYPERLINK("http://www.ibla-germany.de/merkblaetter.php","x")</f>
        <v>x</v>
      </c>
      <c r="JS203" s="112"/>
      <c r="JT203" s="111"/>
      <c r="JU203" s="111"/>
      <c r="JV203" s="111"/>
      <c r="JW203" s="112"/>
      <c r="JX203" s="112"/>
      <c r="JY203" s="112"/>
      <c r="JZ203" s="112"/>
      <c r="KA203" s="112"/>
      <c r="KB203" s="112"/>
      <c r="KC203" s="112"/>
      <c r="KD203" s="112"/>
      <c r="KE203" s="112"/>
      <c r="KF203" s="111"/>
      <c r="KG203" s="112"/>
      <c r="KH203" s="112"/>
      <c r="KI203" s="112"/>
      <c r="KJ203" s="112"/>
      <c r="KK203" s="112"/>
      <c r="KL203" s="112"/>
      <c r="KM203" s="112"/>
      <c r="KN203" s="112"/>
      <c r="KO203" s="112"/>
      <c r="KP203" s="112"/>
      <c r="KQ203" s="112"/>
      <c r="KR203" s="112"/>
      <c r="KS203" s="112"/>
      <c r="KT203" s="112"/>
      <c r="KU203" s="112"/>
      <c r="KV203" s="112"/>
      <c r="KW203" s="112"/>
      <c r="KX203" s="112"/>
      <c r="KY203" s="112"/>
      <c r="KZ203" s="112"/>
      <c r="LA203" s="112"/>
      <c r="LB203" s="112"/>
      <c r="LC203" s="111"/>
      <c r="LD203" s="111"/>
      <c r="LE203" s="111"/>
      <c r="LF203" s="111"/>
      <c r="LG203" s="111"/>
      <c r="LH203" s="111"/>
      <c r="LI203" s="111"/>
      <c r="LJ203" s="111"/>
      <c r="LK203" s="111"/>
      <c r="LL203" s="111"/>
      <c r="LM203" s="111"/>
      <c r="LN203" s="111"/>
      <c r="LO203" s="111"/>
      <c r="LP203" s="111"/>
      <c r="LQ203" s="111"/>
      <c r="LR203" s="111"/>
      <c r="LS203" s="111"/>
      <c r="LT203" s="111"/>
      <c r="LU203" s="111"/>
      <c r="LV203" s="111"/>
      <c r="LW203" s="111"/>
      <c r="LX203" s="111"/>
      <c r="LY203" s="111"/>
      <c r="LZ203" s="111"/>
      <c r="MA203" s="111"/>
      <c r="MB203" s="111"/>
      <c r="MC203" s="111"/>
      <c r="MD203" s="112"/>
      <c r="ME203" s="111"/>
      <c r="MF203" s="111"/>
      <c r="MG203" s="111"/>
      <c r="MH203" s="111"/>
      <c r="MI203" s="112"/>
    </row>
    <row r="204" spans="1:347" x14ac:dyDescent="0.25">
      <c r="A204" s="102" t="s">
        <v>67</v>
      </c>
      <c r="B204" s="127" t="s">
        <v>1</v>
      </c>
      <c r="C204" s="102"/>
      <c r="D204" s="102"/>
      <c r="E204" s="102"/>
      <c r="F204" s="102"/>
      <c r="G204" s="102"/>
      <c r="H204" s="102"/>
      <c r="I204" s="102"/>
      <c r="J204" s="102"/>
      <c r="K204" s="103"/>
      <c r="L204" s="112" t="str">
        <f>HYPERLINK("http://sghanstedt.elbnetz.com/ueber-uns/","x")</f>
        <v>x</v>
      </c>
      <c r="M204" s="111"/>
      <c r="N204" s="112" t="str">
        <f>HYPERLINK("http://www.ag-fluechtlingshilfe-wetterau.de/uploads/infos/170.pdf","x")</f>
        <v>x</v>
      </c>
      <c r="O204" s="112" t="str">
        <f>HYPERLINK("http://www.ag-fluechtlingshilfe-wetterau.de/uploads/infos/220.pdf","x")</f>
        <v>x</v>
      </c>
      <c r="P204" s="112" t="str">
        <f>HYPERLINK("http://www.awb-ahrweiler.de/admin/data/ddownload/Abfall%20Sonderhinweise-Arabisch%202015.pdf","x")</f>
        <v>x</v>
      </c>
      <c r="Q204" s="112" t="str">
        <f>HYPERLINK("http://www.ag-fluechtlingshilfe-wetterau.de/uploads/infos/221.pdf","x")</f>
        <v>x</v>
      </c>
      <c r="R204" s="112" t="str">
        <f>HYPERLINK("http://www.konto.org/download/merkblatt-basiskonto-asylbewerber-arabisch.pdf","x")</f>
        <v>x</v>
      </c>
      <c r="S204" s="112"/>
      <c r="T204" s="112" t="str">
        <f>HYPERLINK("https://antworten.sparkasse.de/wp-content/uploads/2015/10/Arabisch.pdf","x")</f>
        <v>x</v>
      </c>
      <c r="U204" s="112" t="str">
        <f>HYPERLINK("http://www.ag-fluechtlingshilfe-wetterau.de/uploads/infos/191.pdf","x")</f>
        <v>x</v>
      </c>
      <c r="V204" s="112"/>
      <c r="W204" s="112"/>
      <c r="X204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4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4" s="112"/>
      <c r="AA204" s="112"/>
      <c r="AB204" s="112"/>
      <c r="AC204" s="112"/>
      <c r="AD204" s="112" t="str">
        <f>HYPERLINK("http://www.rundfunkbeitrag.de/e175/e1629/Informationsflyer_Buergerinnen_und_Buerger_arabisch.pdf","x")</f>
        <v>x</v>
      </c>
      <c r="AE204" s="112"/>
      <c r="AF204" s="112" t="str">
        <f>HYPERLINK("http://www.kub-berlin.org/formularprojekt/de/arabisch-antraege-und-anlagen/","x")</f>
        <v>x</v>
      </c>
      <c r="AG204" s="112" t="str">
        <f>HYPERLINK("http://asyl-in-moenchengladbach.de/wp-content/uploads/2015/11/100711-Flyer_arab.pdf","x")</f>
        <v>x</v>
      </c>
      <c r="AH204" s="111"/>
      <c r="AI204" s="112" t="str">
        <f>HYPERLINK("https://www.adac.de/sp/stiftung/_mmm/pdf/SGE_FOL_Verkehrssicherheit_Fl%C3%BCchtlinge_A3_01_16_Internet_250277.pdf","x")</f>
        <v>x</v>
      </c>
      <c r="AJ204" s="112" t="str">
        <f>HYPERLINK("http://www.stadt-koeln.de/mediaasset/content/العربية_kvb_kinderleicht_und_spielend_einfach__arabisch_.pdf","x")</f>
        <v>x</v>
      </c>
      <c r="AK204" s="112" t="str">
        <f>HYPERLINK("https://www.vrsinfo.de/fileadmin/Dateien/downloadcenter/Folder_MobilPassTicket_Refugees01012016.pdf","x")</f>
        <v>x</v>
      </c>
      <c r="AL204" s="112" t="str">
        <f>HYPERLINK("https://www.vrsinfo.de/fileadmin/Dateien/downloadcenter/Willkommen_im_VRS2016_Druck.pdf","x")</f>
        <v>x</v>
      </c>
      <c r="AM204" s="112"/>
      <c r="AN204" s="112" t="str">
        <f>HYPERLINK("https://www.deutschebahn.com/file/de/2191748/eYdgZpqGpp5sMJ2KMKtg2r8aE4Q/10123812/data/infos_fuer_fluechtlinge.pdf","x")</f>
        <v>x</v>
      </c>
      <c r="AO204" s="112"/>
      <c r="AP204" s="112"/>
      <c r="AQ204" s="112"/>
      <c r="AR204" s="112"/>
      <c r="AS204" s="112"/>
      <c r="AT204" s="112" t="str">
        <f>HYPERLINK("http://www.koelnerkarneval.de/fileadmin/content/images/news/Festkomitee_Flyer_DE_AR.pdf","x")</f>
        <v>x</v>
      </c>
      <c r="AU204" s="112"/>
      <c r="AV204" s="114" t="str">
        <f>HYPERLINK("http://www.studentenwerke.de/de/content/illustriertes-wohnheimw%C3%B6rterbuch-1","x")</f>
        <v>x</v>
      </c>
      <c r="AW204" s="114" t="str">
        <f t="shared" si="55"/>
        <v>x</v>
      </c>
      <c r="AX204" s="114" t="str">
        <f t="shared" si="56"/>
        <v>x</v>
      </c>
      <c r="AY204" s="112" t="str">
        <f>HYPERLINK("http://fi-lohmar-siegburg.de/data/documents/Findefix_arabisch-Bildwoerterbuch.pdf","x")</f>
        <v>x</v>
      </c>
      <c r="AZ204" s="111"/>
      <c r="BA204" s="112" t="str">
        <f t="shared" si="57"/>
        <v>x</v>
      </c>
      <c r="BB204" s="112" t="str">
        <f t="shared" si="58"/>
        <v>x</v>
      </c>
      <c r="BC204" s="112"/>
      <c r="BD204" s="112" t="str">
        <f>HYPERLINK("http://www.rehavista.de/?at=Mat_Boardmaker&amp;d=1&amp;dtype=mat&amp;id=1014","x")</f>
        <v>x</v>
      </c>
      <c r="BE204" s="112" t="str">
        <f>HYPERLINK("http://fi-lohmar-siegburg.de/data/documents/communicationboard-arabic-english.pdf","x")</f>
        <v>x</v>
      </c>
      <c r="BF204" s="112" t="str">
        <f>HYPERLINK("http://fi-lohmar-siegburg.de/data/documents/communicationboard-arabic-french.pdf","x")</f>
        <v>x</v>
      </c>
      <c r="BG204" s="111"/>
      <c r="BH204" s="112" t="str">
        <f>HYPERLINK("http://www.refugeephrasebook.de/pdf/germany150920.pdf","x")</f>
        <v>x</v>
      </c>
      <c r="BI204" s="112" t="str">
        <f>HYPERLINK("https://www.advanced-online.eu/downloads/RefugeePhrasebookCards_German-Arabic.pdf","x")</f>
        <v>x</v>
      </c>
      <c r="BJ204" s="112" t="str">
        <f>HYPERLINK("http://www.klett-sprachen.de/download/8638/W100255_Refugees_Welcome_Wortschatz.pdf","x")</f>
        <v>x</v>
      </c>
      <c r="BK204" s="112" t="str">
        <f>HYPERLINK("http://www.agf-trier.de/sites/default/files/bersetzungshilfe%20allgemein%20Arab..pdf","x")</f>
        <v>x</v>
      </c>
      <c r="BL204" s="112" t="str">
        <f>HYPERLINK("http://www.bundessprachenamt.de/deutsch/wir_ueber_uns/nachrichten/2015/20151103/Verständigungshilfe_Syrisch-Arabisch_07_12_2015.pdf","x")</f>
        <v>x</v>
      </c>
      <c r="BM204" s="112" t="str">
        <f>HYPERLINK("http://www.frnrw.de/images/Aus_den_Initiativen/Ehrenamtler/2015/Dictionary_x10_print-2.pdf","x")</f>
        <v>x</v>
      </c>
      <c r="BN204" s="112" t="str">
        <f>HYPERLINK("http://www.medbox.org/toolboxes/kleines-worterbuch-little-dictionary-deutsch-englisch-arabisch/preview","x")</f>
        <v>x</v>
      </c>
      <c r="BO204" s="111"/>
      <c r="BP204" s="111"/>
      <c r="BQ204" s="112" t="str">
        <f>HYPERLINK("https://www.friedensdorf.de/documents/Woerterbuch_Arabisch.pdf","x")</f>
        <v>x</v>
      </c>
      <c r="BR204" s="111"/>
      <c r="BS204" s="112" t="str">
        <f t="shared" si="59"/>
        <v>x</v>
      </c>
      <c r="BT204" s="112" t="str">
        <f>HYPERLINK("http://de.langenscheidt.com/doc/arabisch-deutsch-sprachfuehrer.pdf","x")</f>
        <v>x</v>
      </c>
      <c r="BU204" s="111"/>
      <c r="BV204" s="112" t="str">
        <f t="shared" si="60"/>
        <v>x</v>
      </c>
      <c r="BW204" s="112" t="str">
        <f>HYPERLINK("http://www.welcomegrooves.de/wp-content/uploads/2015/10/welcomegrooves_DE-ARABISCH.pdf","x")</f>
        <v>x</v>
      </c>
      <c r="BX204" s="112"/>
      <c r="BY204" s="112"/>
      <c r="BZ204" s="112" t="str">
        <f>HYPERLINK("http://fluechtlingshilfe-nettetal.de/ausbildung/video-sprachkurse-deutsch-fuer-fluechtlinge/video-sprachkurs-syrisch-deutsch/","x")</f>
        <v>x</v>
      </c>
      <c r="CA204" s="112" t="str">
        <f t="shared" si="61"/>
        <v>x</v>
      </c>
      <c r="CB204" s="112" t="str">
        <f t="shared" si="62"/>
        <v>x</v>
      </c>
      <c r="CC204" s="112" t="str">
        <f t="shared" si="63"/>
        <v>x</v>
      </c>
      <c r="CD204" s="112"/>
      <c r="CE204" s="112"/>
      <c r="CF204" s="112" t="str">
        <f>HYPERLINK("http://www.agf-trier.de/sites/default/files/bersetzungshilfe%20%20f%C3%BCr%20Frauen%20Arab..pdf","x")</f>
        <v>x</v>
      </c>
      <c r="CG204" s="112" t="str">
        <f>HYPERLINK("http://www.braunschweig.de/leben/frauen/hilfe/Ohne-Gewalt-leben.pdf","x")</f>
        <v>x</v>
      </c>
      <c r="CH204" s="112" t="str">
        <f>HYPERLINK("http://mifkjf.rlp.de/fileadmin/mifkjf/Frauen/Gewalt_gegen_Frauen/Downloads/Broschueren_Flyer/Flyer_Gewalt_arabisch_fuer_ANSICHT.pdf","x")</f>
        <v>x</v>
      </c>
      <c r="CI204" s="112"/>
      <c r="CJ204" s="112" t="str">
        <f>HYPERLINK("https://www.hilfetelefon.de/fileadmin/hilfetelefon_de/Materialien/weitere_werbemittel/Klappflyer_Vorder-_und_Rueckseite_opt2.pdf","x")</f>
        <v>x</v>
      </c>
      <c r="CK204" s="112" t="str">
        <f t="shared" si="64"/>
        <v>x</v>
      </c>
      <c r="CL204" s="112" t="str">
        <f>HYPERLINK("http://www.frauenberatungsstelle.de/pdf/Migrantinnen-beraten-Migrantinnen.pdf","x")</f>
        <v>x</v>
      </c>
      <c r="CM204" s="112"/>
      <c r="CN204" s="112"/>
      <c r="CO204" s="112"/>
      <c r="CP204" s="112" t="str">
        <f>HYPERLINK("http://www.schwanger-und-viele-fragen.de/ar/","x")</f>
        <v>x</v>
      </c>
      <c r="CQ204" s="112"/>
      <c r="CR204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4" s="112"/>
      <c r="CT204" s="112"/>
      <c r="CU204" s="112" t="str">
        <f>HYPERLINK("http://www.profamilia.de/fileadmin/publikationen/Erwachsene/mehrsprachig/verhuetung_arabisch.pdf","x")</f>
        <v>x</v>
      </c>
      <c r="CV204" s="112"/>
      <c r="CW204" s="112"/>
      <c r="CX204" s="112"/>
      <c r="CY204" s="112" t="str">
        <f>HYPERLINK("http://www.caritas-schwarzwald-alb-donau.de/68854.html","x")</f>
        <v>x</v>
      </c>
      <c r="CZ204" s="112"/>
      <c r="DA204" s="112" t="str">
        <f>HYPERLINK("http://sichere-orte-schaffen.de/wp-content/uploads/Minibrosch_Fluechtlinge_multilang.pdf","x")</f>
        <v>x</v>
      </c>
      <c r="DB204" s="112"/>
      <c r="DC204" s="115" t="str">
        <f>HYPERLINK("http://www.kindersicherheit.de/pdf/2012_Bilderbuch-Gift-Arabisch.pdf","x")</f>
        <v>x</v>
      </c>
      <c r="DD204" s="112"/>
      <c r="DE204" s="112"/>
      <c r="DF204" s="112" t="str">
        <f t="shared" si="65"/>
        <v>x</v>
      </c>
      <c r="DG204" s="115" t="str">
        <f t="shared" si="66"/>
        <v>x</v>
      </c>
      <c r="DH204" s="112" t="str">
        <f t="shared" si="67"/>
        <v>x</v>
      </c>
      <c r="DI204" s="112" t="str">
        <f t="shared" si="68"/>
        <v>x</v>
      </c>
      <c r="DJ204" s="112" t="str">
        <f>HYPERLINK("http://www.bibliomedia.ch/de/angebote/dokumente/Glossar_arabisch.pdf","x")</f>
        <v>x</v>
      </c>
      <c r="DK204" s="112"/>
      <c r="DL204" s="112" t="str">
        <f>HYPERLINK("http://www.carlsen.de/sites/default/files/Walter-ebook_arabisch_klein.pdf","x")</f>
        <v>x</v>
      </c>
      <c r="DM204" s="112"/>
      <c r="DN204" s="112"/>
      <c r="DO204" s="112" t="str">
        <f>HYPERLINK("http://www.wdrmaus.de/sachgeschichten/maus-international/","x")</f>
        <v>x</v>
      </c>
      <c r="DP204" s="111"/>
      <c r="DQ204" s="112" t="str">
        <f>HYPERLINK("http://tipdoc.de/bus/grafik/kinder-tip/SCHULTIP_give_didacta.pdf","x")</f>
        <v>x</v>
      </c>
      <c r="DR204" s="112" t="str">
        <f>HYPERLINK("https://broschueren.nordrheinwestfalendirekt.de/broschuerenservice/msw/ar-das-schulsystem-in-nordrhein-westfalen-einfach-und-schnell-erklaert/1901","x")</f>
        <v>x</v>
      </c>
      <c r="DS204" s="112" t="str">
        <f>HYPERLINK("http://bildung.koeln.de/materialbibliothek/download.php?idx=7479da9798519efb4e1944d46a76011b","x")</f>
        <v>x</v>
      </c>
      <c r="DT204" s="112" t="str">
        <f>HYPERLINK("http://bildung.koeln.de/materialbibliothek/download.php?idx=dd3a964c240308ea1c8e0d161e49e314","x")</f>
        <v>x</v>
      </c>
      <c r="DU204" s="112"/>
      <c r="DV204" s="112" t="str">
        <f>HYPERLINK("https://www.bmbf.de/pub/Kausa_Elternbroschuere_arabisch.pdf","x")</f>
        <v>x</v>
      </c>
      <c r="DW204" s="112"/>
      <c r="DX204" s="112" t="str">
        <f>HYPERLINK("http://www.wissenschaft.nrw.de/studium/informieren/informationen-fuer-fluechtlinge-die-in-nrw-studieren-moechten/","x")</f>
        <v>x</v>
      </c>
      <c r="DY204" s="112" t="str">
        <f>HYPERLINK("http://www.bamf.de/SharedDocs/Anlagen/DE/Publikationen/Flyer/AnerkennungBerufsabschluss/berufliche_anerkennung_akademische-heilberufe_ar.pdf?__blob=publicationFile","x")</f>
        <v>x</v>
      </c>
      <c r="DZ204" s="112" t="str">
        <f>HYPERLINK("http://www.bamf.de/SharedDocs/Anlagen/DE/Publikationen/Flyer/AnerkennungBerufsabschluss/anerkennung-berufsabschluss_ar.pdf?__blob=publicationFile","x")</f>
        <v>x</v>
      </c>
      <c r="EA204" s="112" t="str">
        <f>HYPERLINK("http://www.bamf.de/SharedDocs/Anlagen/DE/Publikationen/Flyer/AnerkennungBerufsabschluss/anerkennung-berufsabschluss_ausland_ar.pdf?__blob=publicationFile","x")</f>
        <v>x</v>
      </c>
      <c r="EB204" s="112" t="str">
        <f>HYPERLINK("http://www.bamf.de/SharedDocs/Anlagen/DE/Publikationen/Broschueren/willkommen-in-deutschland-info-blaue-karte-eu_ar.pdf?__blob=publicationFile","x")</f>
        <v>x</v>
      </c>
      <c r="EC204" s="112" t="str">
        <f>HYPERLINK("http://www.bamf.de/SharedDocs/Anlagen/DE/Publikationen/Flyer/Berufsbezsprachf-ESF-BAMF/berufsbezsprachf-esf-bamf_ar.pdf?__blob=publicationFile","x")</f>
        <v>x</v>
      </c>
      <c r="ED204" s="111"/>
      <c r="EE204" s="111"/>
      <c r="EF204" s="111"/>
      <c r="EG204" s="111"/>
      <c r="EH204" s="111"/>
      <c r="EI204" s="111"/>
      <c r="EJ204" s="112"/>
      <c r="EK204" s="112" t="str">
        <f>HYPERLINK("http://fluechtlingsrat-bw.de/files/Dateien/Dokumente/Materialbestellung/2014-12-flyer%20arbeitserlaubnis%20AR%20WEB_final.pdf","x")</f>
        <v>x</v>
      </c>
      <c r="EL204" s="112" t="str">
        <f>HYPERLINK("http://www.aponet.de/arabisch/20151019-fuer-den-notfall-wichtige-rufnummern-im-ueberblick.html","x")</f>
        <v>x</v>
      </c>
      <c r="EM204" s="112" t="str">
        <f>HYPERLINK("http://www.kvs-sachsen.de/fileadmin/img/Mitglieder/Asylbewerber/Allg-Informationen/Anlage_1_Arabisch_LEK.pdf","x")</f>
        <v>x</v>
      </c>
      <c r="EN204" s="112" t="str">
        <f>HYPERLINK("http://www.medizin-hilft-fluechtlingen.de/images/Dokumente/gSch/gSch_arab.pdf","x")</f>
        <v>x</v>
      </c>
      <c r="EO204" s="112" t="str">
        <f>HYPERLINK("http://www.aponet.de/arabisch/20151016-medizinische-leistungen-fuer-asylbewerber.html","x")</f>
        <v>x</v>
      </c>
      <c r="EP204" s="117" t="str">
        <f>HYPERLINK("http://www.medi-bild.de/pdf/anamnese/Welche_Sprache.pdf","x")</f>
        <v>x</v>
      </c>
      <c r="EQ204" s="117" t="str">
        <f>HYPERLINK("http://www.armut-gesundheit.de/fileadmin/redakteur/dokumente/Anamnesebogen%20-%20Arabischnew.pdf","x")</f>
        <v>x</v>
      </c>
      <c r="ER204" s="112" t="str">
        <f>HYPERLINK("http://www.kvs-sachsen.de/fileadmin/img/Mitglieder/Asylbewerber/Allg-Informationen/Anlagen_2-1_2-2_Arabisch_LEK.pdf","x")</f>
        <v>x</v>
      </c>
      <c r="ES204" s="112"/>
      <c r="ET204" s="112" t="str">
        <f>HYPERLINK("http://www.pharmazeutische-zeitung.de/fileadmin/pdf/Fragebogen_PZ_43_2015.pdf","x")</f>
        <v>x</v>
      </c>
      <c r="EU204" s="112" t="str">
        <f>HYPERLINK("http://www.medizin-hilft-fluechtlingen.de/images/Dokumente/ein/ein_arab.pdf","x")</f>
        <v>x</v>
      </c>
      <c r="EV204" s="112" t="str">
        <f>HYPERLINK("http://www.adler-apotheke-hh.de/fileadmin/user_upload/PDF-Dateien/Dosierzettel_mehrsprachig_AUF_0_.pdf","x")</f>
        <v>x</v>
      </c>
      <c r="EW204" s="112" t="str">
        <f t="shared" si="69"/>
        <v>x</v>
      </c>
      <c r="EX204" s="112" t="str">
        <f>HYPERLINK("http://www.rki.de/DE/Content/Infekt/IfSG/Belehrungsbogen/belehrungsbogen_eltern_arabisch.pdf?__blob=publicationFile","x")</f>
        <v>x</v>
      </c>
      <c r="EY204" s="112" t="str">
        <f>HYPERLINK("http://www.bzga.de/infomaterialien/?sid=236","x")</f>
        <v>x</v>
      </c>
      <c r="EZ204" s="112" t="str">
        <f>HYPERLINK("https://www.mh-hannover.de/fileadmin/mhh/bilder/aktuelles_presse/presseinformationen_news/150921_Pilz_Vergif_Arab_3.pdf","x")</f>
        <v>x</v>
      </c>
      <c r="FA204" s="112"/>
      <c r="FB204" s="112" t="str">
        <f>HYPERLINK("http://static.apotheken-umschau.de/media/gp/article_506373/bildwoerterbuch.pdf","x")</f>
        <v>x</v>
      </c>
      <c r="FC204" s="111"/>
      <c r="FD204" s="112" t="str">
        <f t="shared" si="70"/>
        <v>x</v>
      </c>
      <c r="FE204" s="112" t="str">
        <f>HYPERLINK("http://sghanstedt.elbnetz.com/ueber-uns/","x")</f>
        <v>x</v>
      </c>
      <c r="FF204" s="112" t="str">
        <f>HYPERLINK("http://www.fuhlenhagen.com/pdf_dateien/uebertzungshilfe_aerzte_mehrsprachig.pdf","x")</f>
        <v>x</v>
      </c>
      <c r="FG204" s="112" t="str">
        <f>HYPERLINK("http://www.tipdoc.de/grafik/asyl/Gesundheitsheft_Asyl.pdf","x")</f>
        <v>x</v>
      </c>
      <c r="FH204" s="111"/>
      <c r="FI204" s="111"/>
      <c r="FJ204" s="112" t="str">
        <f>HYPERLINK("http://www.bundesgesundheitsministerium.de/fileadmin/dateien/Publikationen/Gesundheit/Broschueren/Ratgeber_Asylsuchende/Ratgeber_Asylsuchende_arab.PDF","x")</f>
        <v>x</v>
      </c>
      <c r="FK204" s="112" t="str">
        <f>HYPERLINK("http://www.rki.de/DE/Content/Infekt/Impfen/Materialien/Downloads-Impfkalender/Impfkalender_Arabisch.pdf?__blob=publicationFile","x")</f>
        <v>x</v>
      </c>
      <c r="FL204" s="112" t="str">
        <f>HYPERLINK("http://www.ethno-medizinisches-zentrum.de/images/PDF-Files/impfwegweiser_arabbisch_2013_online.pdf","x")</f>
        <v>x</v>
      </c>
      <c r="FM204" s="112"/>
      <c r="FN204" s="112" t="str">
        <f>HYPERLINK("http://www.rki.de/DE/Content/Infekt/Impfen/Materialien/Glossar-Downloads/glossar-de-arabisch.pdf?__blob=publicationFile","x")</f>
        <v>x</v>
      </c>
      <c r="FO204" s="112"/>
      <c r="FP204" s="112" t="str">
        <f>HYPERLINK("http://www.rki.de/DE/Content/Infekt/Impfen/Materialien/Downloads-MMR/MMR-Impfinfo-arabisch.pdf?__blob=publicationFile","x")</f>
        <v>x</v>
      </c>
      <c r="FQ204" s="112" t="str">
        <f>HYPERLINK("http://www.rki.de/DE/Content/InfAZ/P/Polio/Ausbruch_Syrien/Informationsblatt_Polio_Arabisch.pdf?__blob=publicationFile","x")</f>
        <v>x</v>
      </c>
      <c r="FR204" s="112" t="str">
        <f>HYPERLINK("http://www.rki.de/DE/Content/Infekt/Impfen/Materialien/Downloads_HepA/Aufklaerung_HAV-Impfung_arabisch.pdf?__blob=publicationFile","x")</f>
        <v>x</v>
      </c>
      <c r="FS204" s="112" t="str">
        <f>HYPERLINK("http://www.rki.de/DE/Content/Infekt/Impfen/Materialien/Downloads_Pneumokokken/Aufklaerung_Pneumo-Impfung_Arabisch.pdf?__blob=publicationFile","x")</f>
        <v>x</v>
      </c>
      <c r="FT204" s="112" t="str">
        <f>HYPERLINK("http://www.rki.de/DE/Content/Infekt/Impfen/Materialien/Downloads-DTaPIPVHibHepB/DTaPIPVHibHepB_arabisch.pdf?__blob=publicationFile","x")</f>
        <v>x</v>
      </c>
      <c r="FU204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4" s="112" t="str">
        <f>HYPERLINK("http://www.rki.de/DE/Content/Infekt/Impfen/Materialien/Downloads-Tdap-IPV/Tdap-IPV-arabisch.pdf?__blob=publicationFile","x")</f>
        <v>x</v>
      </c>
      <c r="FW204" s="112" t="str">
        <f>HYPERLINK("http://www.rki.de/DE/Content/Infekt/Impfen/Materialien/Downloads-Influenza_nasal/Influenza_nasal-arabisch.pdf?__blob=publicationFile","x")</f>
        <v>x</v>
      </c>
      <c r="FX204" s="112" t="str">
        <f>HYPERLINK("http://www.medical-tribune.de/fileadmin/PDF/Arthrose_arabisch.pdf","x")</f>
        <v>x</v>
      </c>
      <c r="FY204" s="112" t="str">
        <f>HYPERLINK("http://www.medical-tribune.de/fileadmin/PDF/Asthma_arabisch.pdf","x")</f>
        <v>x</v>
      </c>
      <c r="FZ204" s="112" t="str">
        <f>HYPERLINK("http://www.medical-tribune.de/fileadmin/PDF/Bluthochdruck_arabisch.pdf","x")</f>
        <v>x</v>
      </c>
      <c r="GA204" s="112"/>
      <c r="GB204" s="112" t="str">
        <f>HYPERLINK("http://www.medical-tribune.de/fileadmin/PDF/COPD_arabisch.pdf","x")</f>
        <v>x</v>
      </c>
      <c r="GC204" s="112"/>
      <c r="GD204" s="112" t="str">
        <f>HYPERLINK("http://www.ethno-medizinisches-zentrum.de/images/PDF-Files/lf_diabete_arab.pdf","x")</f>
        <v>x</v>
      </c>
      <c r="GE204" s="112"/>
      <c r="GF204" s="112"/>
      <c r="GG204" s="112"/>
      <c r="GH204" s="112"/>
      <c r="GI204" s="112" t="str">
        <f>HYPERLINK("http://www.tipdoc.de/bus/pdf/hepatitis/Hep_B_Webseite.pdf","x")</f>
        <v>x</v>
      </c>
      <c r="GJ204" s="112" t="str">
        <f>HYPERLINK("http://www.tipdoc.de/bus/pdf/hepatitis/Hep_C_Webseite.pdf","x")</f>
        <v>x</v>
      </c>
      <c r="GK204" s="111"/>
      <c r="GL204" s="111"/>
      <c r="GM204" s="112" t="str">
        <f>HYPERLINK("http://www.rki.de/DE/Content/Infekt/Impfen/Materialien/Downloads-Influenza/Influenza-arabisch.pdf?__blob=publicationFile","x")</f>
        <v>x</v>
      </c>
      <c r="GN204" s="112"/>
      <c r="GO204" s="112" t="str">
        <f>HYPERLINK("http://www.aponet.de/arabisch/20151111-so-unterscheiden-sich-grippe-und-erkaeltung.html","x")</f>
        <v>x</v>
      </c>
      <c r="GP204" s="112" t="str">
        <f>HYPERLINK("http://www.tipdoc.de/grafik/pdf/kopflaeuse/Kopflaeuse_ARAB.pdf","x")</f>
        <v>x</v>
      </c>
      <c r="GQ204" s="112"/>
      <c r="GR204" s="112" t="str">
        <f>HYPERLINK("http://www.tipdoc.com/bus/pdf/kraetze/tipdoc_Scabies_ARAB.pdf","x")</f>
        <v>x</v>
      </c>
      <c r="GS204" s="112" t="str">
        <f>HYPERLINK("http://www.tipdoc.com/bus/pdf/MagenDarmHaende/MagenDarmHaende_Arab.pdf","x")</f>
        <v>x</v>
      </c>
      <c r="GT204" s="112"/>
      <c r="GU204" s="112" t="str">
        <f>HYPERLINK("http://www.medical-tribune.de/fileadmin/PDF/Rueckenschmerzen_arabisch.pdf","x")</f>
        <v>x</v>
      </c>
      <c r="GV204" s="112"/>
      <c r="GW204" s="112"/>
      <c r="GX204" s="112" t="str">
        <f>HYPERLINK("http://www.medical-tribune.de/fileadmin/PDF/Schwindel_arabisch.pdf","x")</f>
        <v>x</v>
      </c>
      <c r="GY204" s="112"/>
      <c r="GZ204" s="112"/>
      <c r="HA204" s="112"/>
      <c r="HB204" s="112"/>
      <c r="HC204" s="112" t="str">
        <f t="shared" si="71"/>
        <v>x</v>
      </c>
      <c r="HD204" s="112" t="str">
        <f>HYPERLINK("https://www.zahnaerzte-wl.de/images/_PDF-suche/KZV_ZÄK/ENDSTAND_Ankreuzbogen_Ich_verstehe.pdf","x")</f>
        <v>x</v>
      </c>
      <c r="HE204" s="112" t="str">
        <f>HYPERLINK("https://www.zahnaerzte-wl.de/images/_PDF-suche/KZV_ZÄK/Anschreiben_Patienten_arabisch.pdf","x")</f>
        <v>x</v>
      </c>
      <c r="HF204" s="112" t="str">
        <f>HYPERLINK("https://www.zahnaerzte-wl.de/images/_PDF-suche/KZV_ZÄK/Fragebogen_arabisch.pdf","x")</f>
        <v>x</v>
      </c>
      <c r="HG204" s="112" t="str">
        <f>HYPERLINK("https://www.zahnaerzte-wl.de/images/_PDF-suche/KZV_ZÄK/Patientenerhebungsbogen_arabisch.pdf","x")</f>
        <v>x</v>
      </c>
      <c r="HH204" s="112"/>
      <c r="HI204" s="112"/>
      <c r="HJ204" s="112" t="str">
        <f>HYPERLINK("http://www.ibbc-berlin.de/media/Bro_de-arab.pdf","x")</f>
        <v>x</v>
      </c>
      <c r="HK204" s="112"/>
      <c r="HL204" s="112" t="str">
        <f>HYPERLINK("http://www.ethno-medizinisches-zentrum.de/images/PDF-Files/lf_depression__arab.pdf","x")</f>
        <v>x</v>
      </c>
      <c r="HM204" s="112"/>
      <c r="HN204" s="112"/>
      <c r="HO204" s="112"/>
      <c r="HP204" s="112"/>
      <c r="HQ204" s="112"/>
      <c r="HR204" s="112"/>
      <c r="HS204" s="112"/>
      <c r="HT204" s="112"/>
      <c r="HU204" s="112"/>
      <c r="HV204" s="112"/>
      <c r="HW204" s="112"/>
      <c r="HX204" s="112" t="str">
        <f>HYPERLINK("http://www.bkk-psychisch-gesund.de/fileadmin/user_upload/Dokumente/Versicherte/Broschueren/Wegweiser_Psychotherapie_arabisch.pdf","x")</f>
        <v>x</v>
      </c>
      <c r="HY204" s="112" t="str">
        <f t="shared" si="72"/>
        <v>x</v>
      </c>
      <c r="HZ204" s="112" t="str">
        <f t="shared" si="73"/>
        <v>x</v>
      </c>
      <c r="IA204" s="112"/>
      <c r="IB204" s="112"/>
      <c r="IC204" s="112"/>
      <c r="ID204" s="112" t="str">
        <f>HYPERLINK("http://www.susannestein.de/VIA-online/trauma-bilderbuch-arabisch.pdf","x")</f>
        <v>x</v>
      </c>
      <c r="IE204" s="112"/>
      <c r="IF204" s="112"/>
      <c r="IG204" s="112"/>
      <c r="IH204" s="111"/>
      <c r="II204" s="112"/>
      <c r="IJ204" s="112"/>
      <c r="IK204" s="112" t="str">
        <f>HYPERLINK("http://www.bamf.de/SharedDocs/Anlagen/DE/Publikationen/Flyer/Lassen-Sie-Sich-Beraten/lassen-sie-sich-beraten_ar.pdf?__blob=publicationFile","x")</f>
        <v>x</v>
      </c>
      <c r="IL204" s="112" t="str">
        <f>HYPERLINK("http://www.bamf.de/SharedDocs/Anlagen/DE/Publikationen/Flyer/flyer-erstorientierung-asylsuchende_arabisch.pdf?__blob=publicationFile","x")</f>
        <v>x</v>
      </c>
      <c r="IM204" s="111"/>
      <c r="IN204" s="112" t="str">
        <f>HYPERLINK("https://www.bamf.de/SharedDocs/Anlagen/DE/Publikationen/Broschueren/willkommen-in-deutschland_ar.pdf?__blob=publicationFile","x")</f>
        <v>x</v>
      </c>
      <c r="IO204" s="112"/>
      <c r="IP204" s="111"/>
      <c r="IQ204" s="112" t="str">
        <f>HYPERLINK("http://www.bamf.de/SharedDocs/Anlagen/DE/Publikationen/Flyer/Lernen-Sie-Deutsch/lernen-sie-deutsch_ar.pdf?__blob=publicationFile","x")</f>
        <v>x</v>
      </c>
      <c r="IR204" s="112" t="str">
        <f>HYPERLINK("http://www.asyl.net/fileadmin/user_upload/redaktion/Dokumente/Arbeitshilfen/150910_Wie_l%C3%A4uft_ein_Asylverfahren_ab_%C3%9Cberblickstext_Arabisch.pdf","x")</f>
        <v>x</v>
      </c>
      <c r="IS204" s="111"/>
      <c r="IT204" s="111"/>
      <c r="IU204" s="111"/>
      <c r="IV204" s="112" t="str">
        <f>HYPERLINK("http://www.asyl.net/fileadmin/user_upload/infoblatt_anhoerung/Infoblatt_2015_ar_fin.pdf","x")</f>
        <v>x</v>
      </c>
      <c r="IW204" s="112" t="str">
        <f>HYPERLINK("http://efi-landsberg.de/asyl/wp-content/uploads/2014/04/Merkblatt-Asylbewerber-Fluechtlinge.pdf","x")</f>
        <v>x</v>
      </c>
      <c r="IX204" s="112"/>
      <c r="IY204" s="112" t="str">
        <f>HYPERLINK("http://www.bamf.de/SharedDocs/Anlagen/DE/Publikationen/Broschueren/broschuere-eat-a4-ar-arabisch.pdf?__blob=publicationFile","x")</f>
        <v>x</v>
      </c>
      <c r="IZ204" s="111"/>
      <c r="JA204" s="112" t="str">
        <f>HYPERLINK("http://fluechtlingsrat-bw.de/informationen-fuer-fluechtlinge.html","x")</f>
        <v>x</v>
      </c>
      <c r="JB204" s="111"/>
      <c r="JC204" s="112"/>
      <c r="JD204" s="111"/>
      <c r="JE204" s="112"/>
      <c r="JF204" s="112"/>
      <c r="JG204" s="112" t="str">
        <f>HYPERLINK("http://www.bamf.de/SharedDocs/Anlagen/DE/Publikationen/Flyer/Ehegattennachzug/ehegattennachzug-ar.pdf?__blob=publicationFile","x")</f>
        <v>x</v>
      </c>
      <c r="JH204" s="112" t="str">
        <f>HYPERLINK("https://familyreunion-syria.diplo.de/webportal/index.html#start","x")</f>
        <v>x</v>
      </c>
      <c r="JI204" s="111"/>
      <c r="JJ204" s="112"/>
      <c r="JK204" s="112" t="str">
        <f>HYPERLINK("https://www.arbeitsagentur.de/web/wcm/idc/groups/public/documents/webdatei/mdaw/mjgz/~edisp/l6019022dstbai784629.pdf?_ba.sid=L6019022DSTBAI788745","x")</f>
        <v>x</v>
      </c>
      <c r="JL204" s="112" t="str">
        <f>HYPERLINK("http://www.kub-berlin.org/formularprojekt/de/arabisch-antraege-und-anlagen/","x")</f>
        <v>x</v>
      </c>
      <c r="JM204" s="112" t="str">
        <f>HYPERLINK("https://www.arbeitsagentur.de/web/content/DE/Formulare/Detail/index.htm?dfContentId=L6019022DSTBAI485740","x")</f>
        <v>x</v>
      </c>
      <c r="JN204" s="112"/>
      <c r="JO204" s="112"/>
      <c r="JP204" s="112"/>
      <c r="JQ204" s="112"/>
      <c r="JR204" s="112" t="str">
        <f>HYPERLINK("http://www.ibla-germany.de/merkblaetter.php","x")</f>
        <v>x</v>
      </c>
      <c r="JS204" s="112"/>
      <c r="JT204" s="112" t="str">
        <f>HYPERLINK("http://www.b-umf.de/images/willkommen/willkommensbroschurearabisch-web.pdf","x")</f>
        <v>x</v>
      </c>
      <c r="JU204" s="111"/>
      <c r="JV204" s="111"/>
      <c r="JW204" s="112"/>
      <c r="JX204" s="112"/>
      <c r="JY204" s="112"/>
      <c r="JZ204" s="112"/>
      <c r="KA204" s="112" t="str">
        <f>HYPERLINK("http://www.kas.de/wf/de/33.43117/","x")</f>
        <v>x</v>
      </c>
      <c r="KB204" s="112" t="str">
        <f>HYPERLINK("http://www.refugeeguide.de/dl/RefugeeGuide_ar_930.pdf","x")</f>
        <v>x</v>
      </c>
      <c r="KC204" s="112" t="str">
        <f>HYPERLINK("http://www.bpb.de/shop/buecher/grundgesetz/215136/grundgesetz-auf-arabisch","x")</f>
        <v>x</v>
      </c>
      <c r="KD204" s="112" t="str">
        <f>HYPERLINK("http://www.wedel.de/fileadmin/user_upload/media/pdf/Rathaus_und_Politik/20160118_PM_Broschuere.pdf","x")</f>
        <v>x</v>
      </c>
      <c r="KE204" s="112" t="str">
        <f>HYPERLINK("http://www.frauenrechte.de/online/images/downloads/allgemein/TDF_Flyer_Women_Men.pdf","x")</f>
        <v>x</v>
      </c>
      <c r="KF204" s="112" t="str">
        <f>HYPERLINK("http://sab.landtag.sachsen.de/dokumente/landtagskurier/Grundwerte-A5-international_web_08012016.pdf","x")</f>
        <v>x</v>
      </c>
      <c r="KG204" s="112"/>
      <c r="KH204" s="112"/>
      <c r="KI204" s="112"/>
      <c r="KJ204" s="112"/>
      <c r="KK204" s="112"/>
      <c r="KL204" s="112"/>
      <c r="KM204" s="112"/>
      <c r="KN204" s="112"/>
      <c r="KO204" s="112"/>
      <c r="KP204" s="112"/>
      <c r="KQ204" s="112"/>
      <c r="KR204" s="112"/>
      <c r="KS204" s="112"/>
      <c r="KT204" s="112"/>
      <c r="KU204" s="112"/>
      <c r="KV204" s="112"/>
      <c r="KW204" s="112"/>
      <c r="KX204" s="112"/>
      <c r="KY204" s="112"/>
      <c r="KZ204" s="112"/>
      <c r="LA204" s="112"/>
      <c r="LB204" s="112"/>
      <c r="LC204" s="111"/>
      <c r="LD204" s="111"/>
      <c r="LE204" s="111"/>
      <c r="LF204" s="111"/>
      <c r="LG204" s="112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2"/>
      <c r="LU204" s="111"/>
      <c r="LV204" s="111"/>
      <c r="LW204" s="111"/>
      <c r="LX204" s="111"/>
      <c r="LY204" s="111"/>
      <c r="LZ204" s="112" t="str">
        <f>HYPERLINK("http://www.bjf.info/projekte/cinemanya","x")</f>
        <v>x</v>
      </c>
      <c r="MA204" s="111"/>
      <c r="MB204" s="111"/>
      <c r="MC204" s="111"/>
      <c r="MD204" s="112" t="str">
        <f>HYPERLINK("http://www.rki.de/DE/Content/Infekt/IfSG/Belehrungsbogen/belehrungsbogen_lebensmittel_arabisch.pdf?__blob=publicationFile","x")</f>
        <v>x</v>
      </c>
      <c r="ME204" s="111"/>
      <c r="MF204" s="112" t="str">
        <f>HYPERLINK("http://www.gdv.de/wp-content/uploads/2016/01/Information_Brandschutz_Fluechtlingsheim_-Sicherheit_mehrsprachig.pdf","x")</f>
        <v>x</v>
      </c>
      <c r="MG204" s="112" t="str">
        <f>HYPERLINK("http://www.gdv.de/wp-content/uploads/2016/01/Information_Verhalten-im-Brandfall_mehrsprachig.pdf","x")</f>
        <v>x</v>
      </c>
      <c r="MH204" s="112" t="str">
        <f>HYPERLINK("http://www.aha-region.de/fileadmin/Download/pdf/aha_Plakat_Muelltrennung_ar.pdf","x")</f>
        <v>x</v>
      </c>
      <c r="MI204" s="112" t="str">
        <f>HYPERLINK("http://www.kindersicherheit.de/pdf/2012_poster_achtunggiftig_8sprachig.pdf","x")</f>
        <v>x</v>
      </c>
    </row>
    <row r="205" spans="1:347" x14ac:dyDescent="0.25">
      <c r="A205" s="102" t="s">
        <v>67</v>
      </c>
      <c r="B205" s="127" t="s">
        <v>4</v>
      </c>
      <c r="C205" s="102"/>
      <c r="D205" s="102"/>
      <c r="E205" s="102"/>
      <c r="F205" s="102"/>
      <c r="G205" s="102"/>
      <c r="H205" s="102"/>
      <c r="I205" s="102"/>
      <c r="J205" s="102"/>
      <c r="K205" s="103"/>
      <c r="L205" s="111"/>
      <c r="M205" s="111"/>
      <c r="N205" s="112" t="str">
        <f>HYPERLINK("http://www.ag-fluechtlingshilfe-wetterau.de/uploads/infos/170.pdf","x")</f>
        <v>x</v>
      </c>
      <c r="O205" s="112" t="str">
        <f>HYPERLINK("http://www.ag-fluechtlingshilfe-wetterau.de/uploads/infos/220.pdf","x")</f>
        <v>x</v>
      </c>
      <c r="P205" s="112" t="str">
        <f>HYPERLINK("http://www.awb-ahrweiler.de/admin/data/ddownload/Abfall%20Sonderhinweise-englisch_2014.pdf","x")</f>
        <v>x</v>
      </c>
      <c r="Q205" s="112" t="str">
        <f>HYPERLINK("http://www.ag-fluechtlingshilfe-wetterau.de/uploads/infos/221.pdf","x")</f>
        <v>x</v>
      </c>
      <c r="R205" s="112" t="str">
        <f>HYPERLINK("http://www.konto.org/download/merkblatt-basiskonto-asylbewerber-english.pdf","x")</f>
        <v>x</v>
      </c>
      <c r="S205" s="112"/>
      <c r="T205" s="112" t="str">
        <f>HYPERLINK("https://antworten.sparkasse.de/wp-content/uploads/2015/10/English.pdf","x")</f>
        <v>x</v>
      </c>
      <c r="U205" s="112" t="str">
        <f>HYPERLINK("http://www.ag-fluechtlingshilfe-wetterau.de/uploads/infos/191.pdf","x")</f>
        <v>x</v>
      </c>
      <c r="V205" s="112"/>
      <c r="W205" s="112"/>
      <c r="X20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0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05" s="112"/>
      <c r="AA205" s="112"/>
      <c r="AB205" s="112"/>
      <c r="AC205" s="112" t="str">
        <f>HYPERLINK("http://www.vzhh.de/vzhh/409638/vzhh_refugees_telephone_internet.pdf","x")</f>
        <v>x</v>
      </c>
      <c r="AD205" s="112" t="str">
        <f>HYPERLINK("http://www.vzhh.de/vzhh/410647/vzhh_refugees_rundfunk.pdf","x")</f>
        <v>x</v>
      </c>
      <c r="AE205" s="112" t="str">
        <f>HYPERLINK("http://www.vzhh.de/vzhh/411476/vzhh_refugees_rundfunk_befreiung.pdf","x")</f>
        <v>x</v>
      </c>
      <c r="AF205" s="112" t="str">
        <f>HYPERLINK("http://www.kub-berlin.org/formularprojekt/de/englisch-antraege-und-anlagen-uebersetzungshilfen/","x")</f>
        <v>x</v>
      </c>
      <c r="AG205" s="112" t="str">
        <f>HYPERLINK("http://asyl-in-moenchengladbach.de/wp-content/uploads/2015/11/100711-Flyer_GB.pdf","x")</f>
        <v>x</v>
      </c>
      <c r="AH205" s="112" t="str">
        <f>HYPERLINK("http://sghanstedt.elbnetz.com/ueber-uns/","x")</f>
        <v>x</v>
      </c>
      <c r="AI205" s="112" t="str">
        <f>HYPERLINK("https://www.adac.de/sp/stiftung/_mmm/pdf/SGE_FOL_Verkehrssicherheit_Fl%C3%BCchtlinge_A3_01_16_Internet_250277.pdf","x")</f>
        <v>x</v>
      </c>
      <c r="AJ205" s="112" t="str">
        <f>HYPERLINK("http://www.stadt-koeln.de/mediaasset/content/kvb_kinderleicht_und_spielend_einfach__englisch_.pdf","x")</f>
        <v>x</v>
      </c>
      <c r="AK205" s="112" t="str">
        <f>HYPERLINK("https://www.vrsinfo.de/fileadmin/Dateien/downloadcenter/Folder_MobilPassTicket_Refugees01012016.pdf","x")</f>
        <v>x</v>
      </c>
      <c r="AL205" s="112" t="str">
        <f>HYPERLINK("https://www.vrsinfo.de/fileadmin/Dateien/downloadcenter/Willkommen_im_VRS2016_Druck.pdf","x")</f>
        <v>x</v>
      </c>
      <c r="AM205" s="112"/>
      <c r="AN205" s="112" t="str">
        <f>HYPERLINK("https://www.deutschebahn.com/file/de/2191748/eYdgZpqGpp5sMJ2KMKtg2r8aE4Q/10123812/data/infos_fuer_fluechtlinge.pdf","x")</f>
        <v>x</v>
      </c>
      <c r="AO205" s="112"/>
      <c r="AP205" s="112"/>
      <c r="AQ205" s="112"/>
      <c r="AR205" s="112"/>
      <c r="AS205" s="112"/>
      <c r="AT205" s="112"/>
      <c r="AU205" s="112" t="str">
        <f>HYPERLINK("http://www.stadt-koeln.de/mediaasset/content/festkomitee_flyer_2016_d_gb.pdf","x")</f>
        <v>x</v>
      </c>
      <c r="AV205" s="113"/>
      <c r="AW205" s="114" t="str">
        <f t="shared" si="55"/>
        <v>x</v>
      </c>
      <c r="AX205" s="114" t="str">
        <f t="shared" si="56"/>
        <v>x</v>
      </c>
      <c r="AY205" s="112" t="str">
        <f>HYPERLINK("http://fi-lohmar-siegburg.de/data/documents/Findefix_arabisch-Bildwoerterbuch.pdf","x")</f>
        <v>x</v>
      </c>
      <c r="AZ205" s="111"/>
      <c r="BA205" s="112" t="str">
        <f t="shared" si="57"/>
        <v>x</v>
      </c>
      <c r="BB205" s="112" t="str">
        <f t="shared" si="58"/>
        <v>x</v>
      </c>
      <c r="BC205" s="111"/>
      <c r="BD205" s="111"/>
      <c r="BE205" s="112" t="str">
        <f>HYPERLINK("http://fi-lohmar-siegburg.de/data/documents/communicationboard-arabic-english.pdf","x")</f>
        <v>x</v>
      </c>
      <c r="BF205" s="112"/>
      <c r="BG205" s="111"/>
      <c r="BH205" s="112" t="str">
        <f>HYPERLINK("http://www.refugeephrasebook.de/pdf/germany150920.pdf","x")</f>
        <v>x</v>
      </c>
      <c r="BI205" s="112" t="str">
        <f>HYPERLINK("https://www.advanced-online.eu/downloads/RefugeePhrasebookCards_German-English.pdf","x")</f>
        <v>x</v>
      </c>
      <c r="BJ205" s="112" t="str">
        <f>HYPERLINK("http://www.klett-sprachen.de/download/8638/W100255_Refugees_Welcome_Wortschatz.pdf","x")</f>
        <v>x</v>
      </c>
      <c r="BK205" s="111"/>
      <c r="BL205" s="112" t="str">
        <f>HYPERLINK("http://www.bundessprachenamt.de/deutsch/wir_ueber_uns/nachrichten/2015/20151103/Verständigungshilfe_Englisch_26_11_2015.pdf","x")</f>
        <v>x</v>
      </c>
      <c r="BM205" s="112" t="str">
        <f>HYPERLINK("http://www.frnrw.de/images/Aus_den_Initiativen/Ehrenamtler/2015/Dictionary_x10_print-2.pdf","x")</f>
        <v>x</v>
      </c>
      <c r="BN205" s="112" t="str">
        <f>HYPERLINK("http://www.medbox.org/toolboxes/kleines-worterbuch-little-dictionary-deutsch-englisch-arabisch/preview","x")</f>
        <v>x</v>
      </c>
      <c r="BO205" s="112" t="str">
        <f>HYPERLINK("http://mylanguages.org/dari_phrases.php","x")</f>
        <v>x</v>
      </c>
      <c r="BP205" s="111"/>
      <c r="BQ205" s="111"/>
      <c r="BR205" s="111"/>
      <c r="BS205" s="112" t="str">
        <f t="shared" si="59"/>
        <v>x</v>
      </c>
      <c r="BT205" s="112"/>
      <c r="BU205" s="111"/>
      <c r="BV205" s="112" t="str">
        <f t="shared" si="60"/>
        <v>x</v>
      </c>
      <c r="BW205" s="112" t="str">
        <f>HYPERLINK("http://www.welcomegrooves.de/wp-content/uploads/2015/10/welcomegrooves_DE-ENGLISH1.pdf","x")</f>
        <v>x</v>
      </c>
      <c r="BX205" s="112"/>
      <c r="BY205" s="112"/>
      <c r="BZ205" s="112"/>
      <c r="CA205" s="112" t="str">
        <f t="shared" si="61"/>
        <v>x</v>
      </c>
      <c r="CB205" s="112" t="str">
        <f t="shared" si="62"/>
        <v>x</v>
      </c>
      <c r="CC205" s="112" t="str">
        <f t="shared" si="63"/>
        <v>x</v>
      </c>
      <c r="CD205" s="112"/>
      <c r="CE205" s="112"/>
      <c r="CF205" s="111"/>
      <c r="CG205" s="112" t="str">
        <f>HYPERLINK("http://www.braunschweig.de/leben/frauen/hilfe/Ohne-Gewalt-leben.pdf","x")</f>
        <v>x</v>
      </c>
      <c r="CH205" s="112" t="str">
        <f>HYPERLINK("http://mifkjf.rlp.de/fileadmin/mifkjf/Frauen/Gewalt_gegen_Frauen/Downloads/Broschueren_Flyer/Flyer_Gewalt_englisch.pdf","x")</f>
        <v>x</v>
      </c>
      <c r="CI205" s="112" t="str">
        <f>HYPERLINK("https://www.hilfetelefon.de/fileadmin/hilfetelefon_de/Materialien/Flyer/Infoflyer_Hilfetelefon_Gewalt_gegen_Frauen141105_b2.pdf","x")</f>
        <v>x</v>
      </c>
      <c r="CJ205" s="112" t="str">
        <f>HYPERLINK("https://www.hilfetelefon.de/fileadmin/hilfetelefon_de/Materialien/weitere_werbemittel/Klappflyer_Vorder-_und_Rueckseite_opt2.pdf","x")</f>
        <v>x</v>
      </c>
      <c r="CK205" s="112" t="str">
        <f t="shared" si="64"/>
        <v>x</v>
      </c>
      <c r="CL205" s="112" t="str">
        <f>HYPERLINK("http://www.frauenberatungsstelle.de/pdf/Migrantinnen-beraten-Migrantinnen.pdf","x")</f>
        <v>x</v>
      </c>
      <c r="CM205" s="112" t="str">
        <f>HYPERLINK("http://www.frauenleben.org/spezielle_beratungsangebote/sexualisierte_gewalt.htm","x")</f>
        <v>x</v>
      </c>
      <c r="CN205" s="112"/>
      <c r="CO205" s="112"/>
      <c r="CP205" s="112" t="str">
        <f>HYPERLINK("http://www.schwanger-und-viele-fragen.de/en/","x")</f>
        <v>x</v>
      </c>
      <c r="CQ205" s="112"/>
      <c r="CR20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05" s="112" t="str">
        <f>HYPERLINK("http://en.beststart.org/for_parents/are-you-looking-resources-languages-other-english-and-french","x")</f>
        <v>x</v>
      </c>
      <c r="CT205" s="112"/>
      <c r="CU205" s="112" t="str">
        <f>HYPERLINK("http://www.profamilia.de/fileadmin/publikationen/Erwachsene/mehrsprachig/Bro_Verhuetung_engl_2013.pdf","x")</f>
        <v>x</v>
      </c>
      <c r="CV205" s="112" t="str">
        <f>HYPERLINK("http://www.profamilia.de/fileadmin/publikationen/Erwachsene/mehrsprachig/Bro_Pille_danach_Faltblatt_140122_RZ.pdf","x")</f>
        <v>x</v>
      </c>
      <c r="CW205" s="112" t="str">
        <f>HYPERLINK("http://www.profamilia.de/fileadmin/publikationen/Reihe_Verhuetungsmethoden/Einleger_englisch.pdf","x")</f>
        <v>x</v>
      </c>
      <c r="CX205" s="112" t="str">
        <f>HYPERLINK("http://www.profamilia.de/fileadmin/publikationen/Reihe_Koerper_und_Sexualtitaet/Schwangerschaftsabbruch_englisch_2010.pdf","x")</f>
        <v>x</v>
      </c>
      <c r="CY205" s="112" t="str">
        <f>HYPERLINK("http://www.caritas-schwarzwald-alb-donau.de/68854.html","x")</f>
        <v>x</v>
      </c>
      <c r="CZ205" s="112" t="str">
        <f>HYPERLINK("http://www.dgfpi.de/tl_files/download/medien/unwissen-macht-en.pdf","x")</f>
        <v>x</v>
      </c>
      <c r="DA205" s="112"/>
      <c r="DB205" s="112"/>
      <c r="DC205" s="115" t="str">
        <f>HYPERLINK("http://www.kindersicherheit.de/pdf/2013_BAG_Tomi_and_Mila_Deutsch_English.pdf","x")</f>
        <v>x</v>
      </c>
      <c r="DD205" s="112"/>
      <c r="DE205" s="112"/>
      <c r="DF205" s="112" t="str">
        <f t="shared" si="65"/>
        <v>x</v>
      </c>
      <c r="DG205" s="115" t="str">
        <f t="shared" si="66"/>
        <v>x</v>
      </c>
      <c r="DH205" s="112" t="str">
        <f t="shared" si="67"/>
        <v>x</v>
      </c>
      <c r="DI205" s="112" t="str">
        <f t="shared" si="68"/>
        <v>x</v>
      </c>
      <c r="DJ205" s="112"/>
      <c r="DK205" s="112"/>
      <c r="DL205" s="112"/>
      <c r="DM205" s="112"/>
      <c r="DN205" s="112"/>
      <c r="DO205" s="112" t="str">
        <f>HYPERLINK("http://www.wdrmaus.de/sachgeschichten/maus-international/","x")</f>
        <v>x</v>
      </c>
      <c r="DP205" s="111"/>
      <c r="DQ205" s="111"/>
      <c r="DR205" s="112" t="str">
        <f>HYPERLINK("https://broschueren.nordrheinwestfalendirekt.de/broschuerenservice/msw/eng-das-schulsystem-in-nordrhein-westfalen-einfach-und-schnell-erklaert/1902","x")</f>
        <v>x</v>
      </c>
      <c r="DS205" s="112" t="str">
        <f>HYPERLINK("http://bildung.koeln.de/materialbibliothek/download.php?idx=8e2a9f658e9fa830ce17dc18f0fb0268","x")</f>
        <v>x</v>
      </c>
      <c r="DT205" s="112" t="str">
        <f>HYPERLINK("http://bildung.koeln.de/materialbibliothek/download.php?idx=90aff7e7259385cadb46c517317f1446","x")</f>
        <v>x</v>
      </c>
      <c r="DU205" s="112"/>
      <c r="DV205" s="112" t="str">
        <f>HYPERLINK("https://www.bmbf.de/pub/Kausa_Elternbroschuere_englisch.pdf","x")</f>
        <v>x</v>
      </c>
      <c r="DW205" s="112"/>
      <c r="DX205" s="112" t="str">
        <f>HYPERLINK("http://www.wissenschaft.nrw.de/studium/informieren/informationen-fuer-fluechtlinge-die-in-nrw-studieren-moechten/","x")</f>
        <v>x</v>
      </c>
      <c r="DY205" s="112" t="str">
        <f>HYPERLINK("http://www.bamf.de/SharedDocs/Anlagen/DE/Publikationen/Flyer/AnerkennungBerufsabschluss/berufliche_anerkennung_akademische-heilberufe_en.pdf?__blob=publicationFile","x")</f>
        <v>x</v>
      </c>
      <c r="DZ205" s="112" t="str">
        <f>HYPERLINK("http://www.bamf.de/SharedDocs/Anlagen/EN/Publikationen/Flyer/AnerkennungBerufsabschluss/anerkennung-berufsabschluss.pdf?__blob=publicationFile","x")</f>
        <v>x</v>
      </c>
      <c r="EA205" s="112" t="str">
        <f>HYPERLINK("http://www.bamf.de/SharedDocs/Anlagen/EN/Publikationen/Flyer/AnerkennungBerufsabschluss/anerkennung-berufsabschluss_ausland.pdf?__blob=publicationFile","x")</f>
        <v>x</v>
      </c>
      <c r="EB205" s="112" t="str">
        <f>HYPERLINK("http://www.bamf.de/SharedDocs/Anlagen/EN/Publikationen/Broschueren/willkommen-in-deutschland-info-blaue-karte-eu_en.pdf?__blob=publicationFile","x")</f>
        <v>x</v>
      </c>
      <c r="EC205" s="112" t="str">
        <f>HYPERLINK("http://www.bamf.de/SharedDocs/Anlagen/EN/Publikationen/Flyer/Berufsbezsprachf-ESF-BAMF/berufsbezsprachf-esf-bamf.pdf?__blob=publicationFile","x")</f>
        <v>x</v>
      </c>
      <c r="ED205" s="111"/>
      <c r="EE205" s="111"/>
      <c r="EF205" s="111"/>
      <c r="EG205" s="111"/>
      <c r="EH205" s="111"/>
      <c r="EI205" s="111"/>
      <c r="EJ205" s="112"/>
      <c r="EK205" s="112" t="str">
        <f>HYPERLINK("http://fluechtlingsrat-bw.de/files/Dateien/Dokumente/Materialbestellung/2014-12-flyer%20arbeitserlaubnis%20EN%20WEB.pdf","x")</f>
        <v>x</v>
      </c>
      <c r="EL205" s="112" t="str">
        <f>HYPERLINK("http://www.aponet.de/englisch/20151019-fuer-den-notfall-wichtige-rufnummern-im-ueberblick.html","x")</f>
        <v>x</v>
      </c>
      <c r="EM205" s="112" t="str">
        <f>HYPERLINK("http://www.kvs-sachsen.de/fileadmin/img/Mitglieder/Asylbewerber/Allg-Informationen/Anlage_1_Englisch_LEK.pdf","x")</f>
        <v>x</v>
      </c>
      <c r="EN205" s="112" t="str">
        <f>HYPERLINK("http://www.medizin-hilft-fluechtlingen.de/images/Dokumente/gSch/gSch_eng.pdf","x")</f>
        <v>x</v>
      </c>
      <c r="EO205" s="112" t="str">
        <f>HYPERLINK("http://www.aponet.de/englisch/medical-care-for-asylum-seekers.html","x")</f>
        <v>x</v>
      </c>
      <c r="EP205" s="117" t="str">
        <f>HYPERLINK("http://www.medi-bild.de/pdf/anamnese/Welche_Sprache.pdf","x")</f>
        <v>x</v>
      </c>
      <c r="EQ205" s="117" t="str">
        <f>HYPERLINK("http://www.armut-gesundheit.de/fileadmin/redakteur/dokumente/Anamnesebogen%20-%20englischnew.pdf","x")</f>
        <v>x</v>
      </c>
      <c r="ER205" s="112" t="str">
        <f>HYPERLINK("http://www.kvs-sachsen.de/fileadmin/img/Mitglieder/Asylbewerber/Allg-Informationen/Anlagen_2-1_2-2_Englisch_LEK.pdf","x")</f>
        <v>x</v>
      </c>
      <c r="ES205" s="111"/>
      <c r="ET205" s="111"/>
      <c r="EU205" s="112" t="str">
        <f>HYPERLINK("http://www.medizin-hilft-fluechtlingen.de/images/Dokumente/ein/ein_engl.pdf","x")</f>
        <v>x</v>
      </c>
      <c r="EV205" s="112" t="str">
        <f>HYPERLINK("http://www.adler-apotheke-hh.de/fileadmin/user_upload/PDF-Dateien/Dosierzettel_mehrsprachig_AUF_0_.pdf","x")</f>
        <v>x</v>
      </c>
      <c r="EW205" s="112" t="str">
        <f t="shared" si="69"/>
        <v>x</v>
      </c>
      <c r="EX205" s="112" t="str">
        <f>HYPERLINK("http://www.rki.de/DE/Content/Infekt/IfSG/Belehrungsbogen/belehrungsbogen_eltern_englisch.pdf?__blob=publicationFile","x")</f>
        <v>x</v>
      </c>
      <c r="EY205" s="112" t="str">
        <f>HYPERLINK("http://www.bzga.de/infomaterialien/?sid=236","x")</f>
        <v>x</v>
      </c>
      <c r="EZ205" s="112" t="str">
        <f>HYPERLINK("https://www.mh-hannover.de/fileadmin/mhh/bilder/aktuelles_presse/pressestelle/bilder/Pilzvergif_English.pdf","x")</f>
        <v>x</v>
      </c>
      <c r="FA205" s="112"/>
      <c r="FB205" s="112" t="str">
        <f>HYPERLINK("http://static.apotheken-umschau.de/media/gp/article_506373/bildwoerterbuch.pdf","x")</f>
        <v>x</v>
      </c>
      <c r="FC205" s="112" t="str">
        <f>HYPERLINK("https://www.studentenwerke.de/sites/default/files/gesundheitswoerterbuch.pdf","x")</f>
        <v>x</v>
      </c>
      <c r="FD205" s="112" t="str">
        <f t="shared" si="70"/>
        <v>x</v>
      </c>
      <c r="FE205" s="112" t="str">
        <f>HYPERLINK("http://sghanstedt.elbnetz.com/ueber-uns/","x")</f>
        <v>x</v>
      </c>
      <c r="FF205" s="112" t="str">
        <f>HYPERLINK("http://www.fuhlenhagen.com/pdf_dateien/uebertzungshilfe_aerzte_mehrsprachig.pdf","x")</f>
        <v>x</v>
      </c>
      <c r="FG205" s="112" t="str">
        <f>HYPERLINK("http://www.tipdoc.de/grafik/asyl/Gesundheitsheft_Asyl.pdf","x")</f>
        <v>x</v>
      </c>
      <c r="FH205" s="111"/>
      <c r="FI205" s="111"/>
      <c r="FJ205" s="112" t="str">
        <f>HYPERLINK("http://www.bundesgesundheitsministerium.de/fileadmin/dateien/Publikationen/Gesundheit/Broschueren/Ratgeber_Asylsuchende/Ratgeber_Asylsuchende_engl.pdf","x")</f>
        <v>x</v>
      </c>
      <c r="FK205" s="112" t="str">
        <f>HYPERLINK("http://www.rki.de/DE/Content/Infekt/Impfen/Materialien/Downloads-Impfkalender/Impfkalender_Englisch.pdf?__blob=publicationFile","x")</f>
        <v>x</v>
      </c>
      <c r="FL205" s="112" t="str">
        <f>HYPERLINK("http://www.ethno-medizinisches-zentrum.de/images/PDF-Files/impfwegweiser_englisch_2013_online.pdf","x")</f>
        <v>x</v>
      </c>
      <c r="FM205" s="112"/>
      <c r="FN205" s="112" t="str">
        <f>HYPERLINK("http://www.rki.de/DE/Content/Infekt/Impfen/Materialien/Glossar-Downloads/glossar-de-englisch.pdf?__blob=publicationFile","x")</f>
        <v>x</v>
      </c>
      <c r="FO205" s="112" t="str">
        <f>HYPERLINK("http://www.euro.who.int/__data/assets/pdf_file/0005/160754/VPDs_Signs-symptoms-complications.pdf?ua=1","x")</f>
        <v>x</v>
      </c>
      <c r="FP205" s="112" t="str">
        <f>HYPERLINK("http://www.rki.de/DE/Content/Infekt/Impfen/Materialien/Downloads-MMR/MMR-Impfinfo-englisch.pdf?__blob=publicationFile","x")</f>
        <v>x</v>
      </c>
      <c r="FQ205" s="112" t="str">
        <f>HYPERLINK("http://www.rki.de/DE/Content/InfAZ/P/Polio/Ausbruch_Syrien/Informationsblatt_Polio_Englisch.pdf?__blob=publicationFile","x")</f>
        <v>x</v>
      </c>
      <c r="FR205" s="112" t="str">
        <f>HYPERLINK("http://www.rki.de/DE/Content/Infekt/Impfen/Materialien/Downloads_HepA/Aufklaerung_HAV-Impfung_Englisch.pdf?__blob=publicationFile","x")</f>
        <v>x</v>
      </c>
      <c r="FS205" s="112" t="str">
        <f>HYPERLINK("http://www.rki.de/DE/Content/Infekt/Impfen/Materialien/Downloads_Pneumokokken/Aufklaerung_Pneumo-Impfung_Englisch.pdf?__blob=publicationFile","x")</f>
        <v>x</v>
      </c>
      <c r="FT205" s="112" t="str">
        <f>HYPERLINK("http://www.rki.de/DE/Content/Infekt/Impfen/Materialien/Downloads-DTaPIPVHibHepB/DTaPIPVHibHepB-englisch.pdf?__blob=publicationFile","x")</f>
        <v>x</v>
      </c>
      <c r="FU205" s="112" t="str">
        <f>HYPERLINK("http://www.rki.de/DE/Content/Infekt/Impfen/Materialien/Downloads-Varizellen/Varizellen-Impfinfo-englisch.pdf;jsessionid=65B697F4EE7EDA8A1ED9E2C4CD6C74EC.2_cid363?__blob=publicationFile","x")</f>
        <v>x</v>
      </c>
      <c r="FV205" s="112" t="str">
        <f>HYPERLINK("http://www.rki.de/DE/Content/Infekt/Impfen/Materialien/Downloads-Tdap-IPV/Tdap-IPV-englisch.pdf?__blob=publicationFile","x")</f>
        <v>x</v>
      </c>
      <c r="FW205" s="112" t="str">
        <f>HYPERLINK("http://www.rki.de/DE/Content/Infekt/Impfen/Materialien/Downloads-Influenza_nasal/Influenza_nasal-englisch.pdf?__blob=publicationFile","x")</f>
        <v>x</v>
      </c>
      <c r="FX205" s="111"/>
      <c r="FY205" s="112"/>
      <c r="FZ205" s="112"/>
      <c r="GA205" s="111"/>
      <c r="GB205" s="111"/>
      <c r="GC205" s="111"/>
      <c r="GD205" s="112" t="str">
        <f>HYPERLINK("http://www.ethno-medizinisches-zentrum.de/images/PDF-Files/lf_diabete_englisch.pdf","x")</f>
        <v>x</v>
      </c>
      <c r="GE205" s="111"/>
      <c r="GF205" s="111"/>
      <c r="GG205" s="111"/>
      <c r="GH205" s="112"/>
      <c r="GI205" s="111"/>
      <c r="GJ205" s="111"/>
      <c r="GK205" s="112" t="str">
        <f>HYPERLINK("http://www.tipdoc.de/bus/pdf/hiv/HIV%20ESP_Webseite.pdf","x")</f>
        <v>x</v>
      </c>
      <c r="GL205" s="111"/>
      <c r="GM205" s="112" t="str">
        <f>HYPERLINK("http://www.rki.de/DE/Content/Infekt/Impfen/Materialien/Downloads-Influenza/Influenza-englisch.pdf?__blob=publicationFile","x")</f>
        <v>x</v>
      </c>
      <c r="GN205" s="111"/>
      <c r="GO205" s="112" t="str">
        <f>HYPERLINK("http://www.aponet.de/englisch/20151111-so-unterscheiden-sich-grippe-und-erkaeltung.html","x")</f>
        <v>x</v>
      </c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2" t="str">
        <f t="shared" si="71"/>
        <v>x</v>
      </c>
      <c r="HD205" s="112" t="str">
        <f>HYPERLINK("https://www.zahnaerzte-wl.de/images/_PDF-suche/KZV_ZÄK/ENDSTAND_Ankreuzbogen_Ich_verstehe.pdf","x")</f>
        <v>x</v>
      </c>
      <c r="HE205" s="112" t="str">
        <f>HYPERLINK("https://www.zahnaerzte-wl.de/images/_PDF-suche/KZV_ZÄK/Anschreiben_Patienten_englisch.pdf","x")</f>
        <v>x</v>
      </c>
      <c r="HF205" s="112" t="str">
        <f>HYPERLINK("https://www.zahnaerzte-wl.de/images/_PDF-suche/KZV_ZÄK/Fragebogen_englisch.pdf","x")</f>
        <v>x</v>
      </c>
      <c r="HG205" s="112" t="str">
        <f>HYPERLINK("https://www.zahnaerzte-wl.de/images/_PDF-suche/KZV_ZÄK/Patientenerhebungsbogen_englisch.pdf","x")</f>
        <v>x</v>
      </c>
      <c r="HH205" s="112"/>
      <c r="HI205" s="112" t="str">
        <f>HYPERLINK("http://www.bvkm.de/fileadmin/web_data/Behinderung_und_Migration_englisch_2014.pdf","x")</f>
        <v>x</v>
      </c>
      <c r="HJ205" s="112"/>
      <c r="HK205" s="112" t="str">
        <f>HYPERLINK("http://www.psychenet.de/en/mental-health/knowledge/depression.html","x")</f>
        <v>x</v>
      </c>
      <c r="HL205" s="111"/>
      <c r="HM205" s="112" t="str">
        <f>HYPERLINK("http://www.psychenet.de/en/mental-health/knowledge/psychoses.html","x")</f>
        <v>x</v>
      </c>
      <c r="HN205" s="112" t="str">
        <f>HYPERLINK("http://www.psychenet.de/en/mental-health/knowledge/somatoform-disorders.html","x")</f>
        <v>x</v>
      </c>
      <c r="HO205" s="112" t="str">
        <f>HYPERLINK("http://www.psychenet.de/en/mental-health/knowledge/anorexia.html","x")</f>
        <v>x</v>
      </c>
      <c r="HP205" s="112" t="str">
        <f>HYPERLINK("http://www.psychenet.de/en/mental-health/knowledge/bulimia.html","x")</f>
        <v>x</v>
      </c>
      <c r="HQ205" s="112" t="str">
        <f>HYPERLINK("http://www.psychenet.de/en/mental-health/knowledge/bipolar-disorder.html","x")</f>
        <v>x</v>
      </c>
      <c r="HR205" s="112" t="str">
        <f>HYPERLINK("http://www.psychenet.de/en/mental-health/knowledge/panic-and-agoraphobia.html","x")</f>
        <v>x</v>
      </c>
      <c r="HS205" s="112" t="str">
        <f>HYPERLINK("http://www.psychenet.de/en/mental-health/knowledge/social-phobia.html","x")</f>
        <v>x</v>
      </c>
      <c r="HT205" s="112" t="str">
        <f>HYPERLINK("http://www.psychenet.de/en/mental-health/knowledge/generalized-anxiety-disorder.html","x")</f>
        <v>x</v>
      </c>
      <c r="HU205" s="112"/>
      <c r="HV205" s="112" t="str">
        <f>HYPERLINK("http://www.psychenet.de/en/mental-health/knowledge/information-and-support.html","x")</f>
        <v>x</v>
      </c>
      <c r="HW205" s="112"/>
      <c r="HX205" s="112" t="str">
        <f>HYPERLINK("http://www.bkk-psychisch-gesund.de/fileadmin/user_upload/Dokumente/Versicherte/Broschueren/Wegweiser_Psychotherapie_englisch.pdf","x")</f>
        <v>x</v>
      </c>
      <c r="HY205" s="112" t="str">
        <f t="shared" si="72"/>
        <v>x</v>
      </c>
      <c r="HZ205" s="112" t="str">
        <f t="shared" si="73"/>
        <v>x</v>
      </c>
      <c r="IA205" s="112" t="str">
        <f>HYPERLINK("http://peacefulheart.se/wp-content/uploads/2012/02/TTT_English_2013.pdf","x")</f>
        <v>x</v>
      </c>
      <c r="IB205" s="112"/>
      <c r="IC205" s="112"/>
      <c r="ID205" s="112" t="str">
        <f>HYPERLINK("http://www.susannestein.de/VIA-online/trauma-picture-book.pdf","x")</f>
        <v>x</v>
      </c>
      <c r="IE205" s="112" t="str">
        <f>HYPERLINK("http://www.psychenet.de/en/mental-health/knowledge/alcohol-in-adolescence.html","x")</f>
        <v>x</v>
      </c>
      <c r="IF205" s="112"/>
      <c r="IG205" s="112"/>
      <c r="IH205" s="111"/>
      <c r="II205" s="112" t="str">
        <f>HYPERLINK("http://www.caritas.de/hilfeundberatung/onlineberatung/suchtberatung/haeufiggestelltefragensucht/haeufiggestelltefragen-sucht","x")</f>
        <v>x</v>
      </c>
      <c r="IJ205" s="112" t="str">
        <f>HYPERLINK("http://www.dhs.de/fileadmin/user_upload/pdf/Broschueren/Ein_Angebot_an_alle-Englisch.pdf","x")</f>
        <v>x</v>
      </c>
      <c r="IK205" s="112" t="str">
        <f>HYPERLINK("http://www.bamf.de/SharedDocs/Anlagen/EN/Publikationen/Flyer/Lassen-Sie-Sich-Beraten/lassen-sie-sich-beraten.pdf?__blob=publicationFile","x")</f>
        <v>x</v>
      </c>
      <c r="IL205" s="115" t="str">
        <f>HYPERLINK("http://www.bamf.de/SharedDocs/Anlagen/EN/Publikationen/Flyer/flyer-erstorientierung-asylsuchende.pdf?__blob=publicationFile","x")</f>
        <v>x</v>
      </c>
      <c r="IM205" s="112" t="str">
        <f>HYPERLINK("http://www.frnrw.de/index.php/inhaltliche-themen/arbeitshilfen/item/3710-erstinfos-fuer-asylsuchende","x")</f>
        <v>x</v>
      </c>
      <c r="IN205" s="112" t="str">
        <f>HYPERLINK("http://www.bamf.de/SharedDocs/Anlagen/EN/Publikationen/Broschueren/willkommen-in-deutschland.pdf;jsessionid=2D72CB108E4AC02BBB9659E7D9A589B2.1_cid368?__blob=publicationFile","x")</f>
        <v>x</v>
      </c>
      <c r="IO205" s="112"/>
      <c r="IP205" s="112"/>
      <c r="IQ205" s="112" t="str">
        <f>HYPERLINK("http://www.bamf.de/SharedDocs/Anlagen/EN/Publikationen/Flyer/Lernen-Sie-Deutsch/lernen-sie-deutsch.pdf?__blob=publicationFile","x")</f>
        <v>x</v>
      </c>
      <c r="IR205" s="112" t="str">
        <f>HYPERLINK("http://www.asyl.net/fileadmin/user_upload/redaktion/Dokumente/Arbeitshilfen/150910_Wie_l%C3%A4uft_ein_Asylverfahren_ab_%C3%9Cberblickstext_Englisch.pdf","x")</f>
        <v>x</v>
      </c>
      <c r="IS205" s="111"/>
      <c r="IT205" s="112" t="str">
        <f>HYPERLINK("http://www.bamf.de/SharedDocs/Anlagen/EN/Publikationen/Flyer/ablauf-asylverfahren.pdf;jsessionid=DBD4307960D761935FCC3E0325D459A1.1_cid294?__blob=publicationFile","x")</f>
        <v>x</v>
      </c>
      <c r="IU205" s="111"/>
      <c r="IV205" s="112" t="str">
        <f>HYPERLINK("http://www.asyl.net/fileadmin/user_upload/infoblatt_anhoerung/Infoblatt_2015_en_fin.pdf","x")</f>
        <v>x</v>
      </c>
      <c r="IW205" s="112"/>
      <c r="IX205" s="112" t="str">
        <f>HYPERLINK("http://www.berlin.de/labo/willkommen-in-berlin/service/downloads/artikel.273193.php","x")</f>
        <v>x</v>
      </c>
      <c r="IY205" s="112" t="str">
        <f>HYPERLINK("http://www.bamf.de/SharedDocs/Anlagen/EN/Publikationen/Broschueren/broschuere-eat-a4.pdf?__blob=publicationFile","x")</f>
        <v>x</v>
      </c>
      <c r="IZ205" s="111"/>
      <c r="JA205" s="112" t="str">
        <f>HYPERLINK("http://fluechtlingsrat-bw.de/informationen-fuer-fluechtlinge.html","x")</f>
        <v>x</v>
      </c>
      <c r="JB205" s="111"/>
      <c r="JC205" s="112" t="str">
        <f>HYPERLINK("http://www.bamf.de/SharedDocs/Anlagen/EN/Publikationen/Flyer/20150223_ura2_en.pdf?__blob=publicationFile","x")</f>
        <v>x</v>
      </c>
      <c r="JD205" s="111"/>
      <c r="JE205" s="112"/>
      <c r="JF205" s="112"/>
      <c r="JG205" s="112" t="str">
        <f>HYPERLINK("http://www.bamf.de/SharedDocs/Anlagen/EN/Publikationen/Flyer/Ehegattennachzug/ehegattennachzug.pdf?__blob=publicationFile","x")</f>
        <v>x</v>
      </c>
      <c r="JH205" s="112" t="str">
        <f>HYPERLINK("https://familyreunion-syria.diplo.de/webportal/index.html#start","x")</f>
        <v>x</v>
      </c>
      <c r="JI205" s="112" t="str">
        <f>HYPERLINK("http://ec.europa.eu/dgs/home-affairs/what-we-do/networks/european_migration_network/docs/emn-glossary-en-version.pdf","x")</f>
        <v>x</v>
      </c>
      <c r="JJ205" s="112"/>
      <c r="JK205" s="112" t="str">
        <f>HYPERLINK("https://www.arbeitsagentur.de/web/wcm/idc/groups/public/documents/webdatei/mdaw/mjgz/~edisp/l6019022dstbai784628.pdf?_ba.sid=L6019022DSTBAI784625","x")</f>
        <v>x</v>
      </c>
      <c r="JL205" s="112" t="str">
        <f>HYPERLINK("http://www.kub-berlin.org/formularprojekt/de/englisch-antraege-und-anlagen-uebersetzungshilfen/","x")</f>
        <v>x</v>
      </c>
      <c r="JM205" s="112" t="str">
        <f>HYPERLINK("https://www.arbeitsagentur.de/web/content/DE/Formulare/Detail/index.htm?dfContentId=L6019022DSTBAI485740","x")</f>
        <v>x</v>
      </c>
      <c r="JN205" s="112"/>
      <c r="JO205" s="112"/>
      <c r="JP205" s="112"/>
      <c r="JQ205" s="112"/>
      <c r="JR205" s="112" t="str">
        <f>HYPERLINK("http://www.ibla-germany.de/merkblaetter.php","x")</f>
        <v>x</v>
      </c>
      <c r="JS205" s="112"/>
      <c r="JT205" s="112" t="str">
        <f>HYPERLINK("http://www.b-umf.de/images/willkommen/willkommensbroschureenglisch-web.pdf","x")</f>
        <v>x</v>
      </c>
      <c r="JU205" s="111"/>
      <c r="JV205" s="111"/>
      <c r="JW205" s="112"/>
      <c r="JX205" s="112" t="str">
        <f>HYPERLINK("https://www.arbeitsagentur.de/web/wcm/idc/groups/public/documents/webdatei/mdaw/mjgz/~edisp/l6019022dstbai784636.pdf?_ba.sid=L6019022DSTBAI784633","x")</f>
        <v>x</v>
      </c>
      <c r="JY205" s="112"/>
      <c r="JZ205" s="112"/>
      <c r="KA205" s="112"/>
      <c r="KB205" s="112" t="str">
        <f>HYPERLINK("http://www.refugeeguide.de/dl/RefugeeGuide_en_925.pdf","x")</f>
        <v>x</v>
      </c>
      <c r="KC205" s="112" t="str">
        <f>HYPERLINK("http://www.gesetze-im-internet.de/englisch_gg/basic_law_for_the_federal_republic_of_germany.pdf","x")</f>
        <v>x</v>
      </c>
      <c r="KD205" s="112" t="str">
        <f>HYPERLINK("http://www.wedel.de/fileadmin/user_upload/media/pdf/Rathaus_und_Politik/20160118_PM_Broschuere.pdf","x")</f>
        <v>x</v>
      </c>
      <c r="KE205" s="112" t="str">
        <f>HYPERLINK("http://www.frauenrechte.de/online/images/downloads/allgemein/TDF_Flyer_Women_Men.pdf","x")</f>
        <v>x</v>
      </c>
      <c r="KF205" s="112" t="str">
        <f>HYPERLINK("http://sab.landtag.sachsen.de/dokumente/landtagskurier/Grundwerte-A5-international_web_08012016.pdf","x")</f>
        <v>x</v>
      </c>
      <c r="KG205" s="112"/>
      <c r="KH205" s="112"/>
      <c r="KI205" s="112"/>
      <c r="KJ205" s="112"/>
      <c r="KK205" s="112"/>
      <c r="KL205" s="112"/>
      <c r="KM205" s="112"/>
      <c r="KN205" s="112"/>
      <c r="KO205" s="112"/>
      <c r="KP205" s="112"/>
      <c r="KQ205" s="112"/>
      <c r="KR205" s="112"/>
      <c r="KS205" s="112"/>
      <c r="KT205" s="112"/>
      <c r="KU205" s="112"/>
      <c r="KV205" s="112"/>
      <c r="KW205" s="112"/>
      <c r="KX205" s="112"/>
      <c r="KY205" s="112"/>
      <c r="KZ205" s="112"/>
      <c r="LA205" s="112"/>
      <c r="LB205" s="112"/>
      <c r="LC205" s="111"/>
      <c r="LD205" s="112"/>
      <c r="LE205" s="112"/>
      <c r="LF205" s="112"/>
      <c r="LG205" s="112"/>
      <c r="LH205" s="112"/>
      <c r="LI205" s="112"/>
      <c r="LJ205" s="112"/>
      <c r="LK205" s="112"/>
      <c r="LL205" s="112"/>
      <c r="LM205" s="112"/>
      <c r="LN205" s="112"/>
      <c r="LO205" s="112"/>
      <c r="LP205" s="112"/>
      <c r="LQ205" s="112"/>
      <c r="LR205" s="112"/>
      <c r="LS205" s="112"/>
      <c r="LT205" s="112"/>
      <c r="LU205" s="112"/>
      <c r="LV205" s="112"/>
      <c r="LW205" s="112"/>
      <c r="LX205" s="112"/>
      <c r="LY205" s="112"/>
      <c r="LZ205" s="112"/>
      <c r="MA205" s="112"/>
      <c r="MB205" s="112"/>
      <c r="MC205" s="111"/>
      <c r="MD205" s="112" t="str">
        <f>HYPERLINK("http://www.rki.de/DE/Content/Infekt/IfSG/Belehrungsbogen/belehrungsbogen_lebensmittel_englisch.pdf?__blob=publicationFile","x")</f>
        <v>x</v>
      </c>
      <c r="ME205" s="112"/>
      <c r="MF205" s="112" t="str">
        <f>HYPERLINK("http://www.gdv.de/wp-content/uploads/2016/01/Information_Brandschutz_Fluechtlingsheim_-Sicherheit_mehrsprachig.pdf","x")</f>
        <v>x</v>
      </c>
      <c r="MG205" s="112" t="str">
        <f>HYPERLINK("http://www.gdv.de/wp-content/uploads/2016/01/Information_Verhalten-im-Brandfall_mehrsprachig.pdf","x")</f>
        <v>x</v>
      </c>
      <c r="MH205" s="112" t="str">
        <f>HYPERLINK("http://www.aha-region.de/fileadmin/Download/pdf/aha_Plakat_Muelltrennung_en.pdf","x")</f>
        <v>x</v>
      </c>
      <c r="MI205" s="112" t="str">
        <f>HYPERLINK("http://www.kindersicherheit.de/pdf/2012_poster_achtunggiftig_8sprachig.pdf","x")</f>
        <v>x</v>
      </c>
    </row>
    <row r="206" spans="1:347" x14ac:dyDescent="0.25">
      <c r="A206" s="102" t="s">
        <v>24</v>
      </c>
      <c r="B206" s="127" t="s">
        <v>1</v>
      </c>
      <c r="C206" s="102"/>
      <c r="D206" s="102"/>
      <c r="E206" s="102"/>
      <c r="F206" s="102"/>
      <c r="G206" s="102"/>
      <c r="H206" s="102"/>
      <c r="I206" s="102"/>
      <c r="J206" s="102"/>
      <c r="K206" s="103"/>
      <c r="L206" s="112" t="str">
        <f>HYPERLINK("http://sghanstedt.elbnetz.com/ueber-uns/","x")</f>
        <v>x</v>
      </c>
      <c r="M206" s="111"/>
      <c r="N206" s="112" t="str">
        <f>HYPERLINK("http://www.ag-fluechtlingshilfe-wetterau.de/uploads/infos/170.pdf","x")</f>
        <v>x</v>
      </c>
      <c r="O206" s="112" t="str">
        <f>HYPERLINK("http://www.ag-fluechtlingshilfe-wetterau.de/uploads/infos/220.pdf","x")</f>
        <v>x</v>
      </c>
      <c r="P206" s="112" t="str">
        <f>HYPERLINK("http://www.awb-ahrweiler.de/admin/data/ddownload/Abfall%20Sonderhinweise-Arabisch%202015.pdf","x")</f>
        <v>x</v>
      </c>
      <c r="Q206" s="112" t="str">
        <f>HYPERLINK("http://www.ag-fluechtlingshilfe-wetterau.de/uploads/infos/221.pdf","x")</f>
        <v>x</v>
      </c>
      <c r="R206" s="112" t="str">
        <f>HYPERLINK("http://www.konto.org/download/merkblatt-basiskonto-asylbewerber-arabisch.pdf","x")</f>
        <v>x</v>
      </c>
      <c r="S206" s="112"/>
      <c r="T206" s="112" t="str">
        <f>HYPERLINK("https://antworten.sparkasse.de/wp-content/uploads/2015/10/Arabisch.pdf","x")</f>
        <v>x</v>
      </c>
      <c r="U206" s="112" t="str">
        <f>HYPERLINK("http://www.ag-fluechtlingshilfe-wetterau.de/uploads/infos/191.pdf","x")</f>
        <v>x</v>
      </c>
      <c r="V206" s="112"/>
      <c r="W206" s="112"/>
      <c r="X20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6" s="112"/>
      <c r="AA206" s="112"/>
      <c r="AB206" s="112"/>
      <c r="AC206" s="112"/>
      <c r="AD206" s="112" t="str">
        <f>HYPERLINK("http://www.rundfunkbeitrag.de/e175/e1629/Informationsflyer_Buergerinnen_und_Buerger_arabisch.pdf","x")</f>
        <v>x</v>
      </c>
      <c r="AE206" s="112"/>
      <c r="AF206" s="112" t="str">
        <f>HYPERLINK("http://www.kub-berlin.org/formularprojekt/de/arabisch-antraege-und-anlagen/","x")</f>
        <v>x</v>
      </c>
      <c r="AG206" s="112" t="str">
        <f>HYPERLINK("http://asyl-in-moenchengladbach.de/wp-content/uploads/2015/11/100711-Flyer_arab.pdf","x")</f>
        <v>x</v>
      </c>
      <c r="AH206" s="111"/>
      <c r="AI206" s="112" t="str">
        <f>HYPERLINK("https://www.adac.de/sp/stiftung/_mmm/pdf/SGE_FOL_Verkehrssicherheit_Fl%C3%BCchtlinge_A3_01_16_Internet_250277.pdf","x")</f>
        <v>x</v>
      </c>
      <c r="AJ206" s="112" t="str">
        <f>HYPERLINK("http://www.stadt-koeln.de/mediaasset/content/العربية_kvb_kinderleicht_und_spielend_einfach__arabisch_.pdf","x")</f>
        <v>x</v>
      </c>
      <c r="AK206" s="112" t="str">
        <f>HYPERLINK("https://www.vrsinfo.de/fileadmin/Dateien/downloadcenter/Folder_MobilPassTicket_Refugees01012016.pdf","x")</f>
        <v>x</v>
      </c>
      <c r="AL206" s="112" t="str">
        <f>HYPERLINK("https://www.vrsinfo.de/fileadmin/Dateien/downloadcenter/Willkommen_im_VRS2016_Druck.pdf","x")</f>
        <v>x</v>
      </c>
      <c r="AM206" s="112"/>
      <c r="AN206" s="112" t="str">
        <f>HYPERLINK("https://www.deutschebahn.com/file/de/2191748/eYdgZpqGpp5sMJ2KMKtg2r8aE4Q/10123812/data/infos_fuer_fluechtlinge.pdf","x")</f>
        <v>x</v>
      </c>
      <c r="AO206" s="112"/>
      <c r="AP206" s="112"/>
      <c r="AQ206" s="112"/>
      <c r="AR206" s="112"/>
      <c r="AS206" s="112"/>
      <c r="AT206" s="112" t="str">
        <f>HYPERLINK("http://www.koelnerkarneval.de/fileadmin/content/images/news/Festkomitee_Flyer_DE_AR.pdf","x")</f>
        <v>x</v>
      </c>
      <c r="AU206" s="112"/>
      <c r="AV206" s="114" t="str">
        <f>HYPERLINK("http://www.studentenwerke.de/de/content/illustriertes-wohnheimw%C3%B6rterbuch-1","x")</f>
        <v>x</v>
      </c>
      <c r="AW206" s="114" t="str">
        <f t="shared" ref="AW206:AW236" si="78">HYPERLINK("http://sab.landtag.sachsen.de/dokumente/landtagskurier/SAB_DeutschLernen_DinA5_WEB141115.pdf","x")</f>
        <v>x</v>
      </c>
      <c r="AX206" s="114" t="str">
        <f t="shared" ref="AX206:AX236" si="79">HYPERLINK("http://sab.landtag.sachsen.de/dokumente/landtagskurier/SAB_PL_Lernposter_WEB091115.pdf","x")</f>
        <v>x</v>
      </c>
      <c r="AY206" s="112" t="str">
        <f>HYPERLINK("http://fi-lohmar-siegburg.de/data/documents/Findefix_arabisch-Bildwoerterbuch.pdf","x")</f>
        <v>x</v>
      </c>
      <c r="AZ206" s="111"/>
      <c r="BA206" s="112" t="str">
        <f t="shared" ref="BA206:BA236" si="8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206" s="112" t="str">
        <f t="shared" ref="BB206:BB236" si="81">HYPERLINK("http://wie-kann-ich-helfen.info/WoerterbuchAnalphabet_innen_%28c%29_Dagmar_Schmeelcke.pdf","x")</f>
        <v>x</v>
      </c>
      <c r="BC206" s="112"/>
      <c r="BD206" s="112" t="str">
        <f>HYPERLINK("http://www.rehavista.de/?at=Mat_Boardmaker&amp;d=1&amp;dtype=mat&amp;id=1014","x")</f>
        <v>x</v>
      </c>
      <c r="BE206" s="112" t="str">
        <f>HYPERLINK("http://fi-lohmar-siegburg.de/data/documents/communicationboard-arabic-english.pdf","x")</f>
        <v>x</v>
      </c>
      <c r="BF206" s="112" t="str">
        <f>HYPERLINK("http://fi-lohmar-siegburg.de/data/documents/communicationboard-arabic-french.pdf","x")</f>
        <v>x</v>
      </c>
      <c r="BG206" s="111"/>
      <c r="BH206" s="112" t="str">
        <f>HYPERLINK("http://www.refugeephrasebook.de/pdf/germany150920.pdf","x")</f>
        <v>x</v>
      </c>
      <c r="BI206" s="112" t="str">
        <f>HYPERLINK("https://www.advanced-online.eu/downloads/RefugeePhrasebookCards_German-Arabic.pdf","x")</f>
        <v>x</v>
      </c>
      <c r="BJ206" s="112" t="str">
        <f>HYPERLINK("http://www.klett-sprachen.de/download/8638/W100255_Refugees_Welcome_Wortschatz.pdf","x")</f>
        <v>x</v>
      </c>
      <c r="BK206" s="112" t="str">
        <f>HYPERLINK("http://www.agf-trier.de/sites/default/files/bersetzungshilfe%20allgemein%20Arab..pdf","x")</f>
        <v>x</v>
      </c>
      <c r="BL206" s="112" t="str">
        <f>HYPERLINK("http://www.bundessprachenamt.de/deutsch/wir_ueber_uns/nachrichten/2015/20151103/Verständigungshilfe_Syrisch-Arabisch_07_12_2015.pdf","x")</f>
        <v>x</v>
      </c>
      <c r="BM206" s="112" t="str">
        <f>HYPERLINK("http://www.frnrw.de/images/Aus_den_Initiativen/Ehrenamtler/2015/Dictionary_x10_print-2.pdf","x")</f>
        <v>x</v>
      </c>
      <c r="BN206" s="112" t="str">
        <f>HYPERLINK("http://www.medbox.org/toolboxes/kleines-worterbuch-little-dictionary-deutsch-englisch-arabisch/preview","x")</f>
        <v>x</v>
      </c>
      <c r="BO206" s="111"/>
      <c r="BP206" s="111"/>
      <c r="BQ206" s="112" t="str">
        <f>HYPERLINK("https://www.friedensdorf.de/documents/Woerterbuch_Arabisch.pdf","x")</f>
        <v>x</v>
      </c>
      <c r="BR206" s="111"/>
      <c r="BS206" s="112" t="str">
        <f t="shared" ref="BS206:BS236" si="82">HYPERLINK("http://www.goethe.de/lrn/prj/wnd/deu/lti/deindex.htm#13322010","x")</f>
        <v>x</v>
      </c>
      <c r="BT206" s="112" t="str">
        <f>HYPERLINK("http://de.langenscheidt.com/doc/arabisch-deutsch-sprachfuehrer.pdf","x")</f>
        <v>x</v>
      </c>
      <c r="BU206" s="111"/>
      <c r="BV206" s="112" t="str">
        <f t="shared" ref="BV206:BV236" si="83">HYPERLINK("https://s3-eu-west-1.amazonaws.com/lingolia/download/lingolia_daf.pdf","x")</f>
        <v>x</v>
      </c>
      <c r="BW206" s="112" t="str">
        <f>HYPERLINK("http://www.welcomegrooves.de/wp-content/uploads/2015/10/welcomegrooves_DE-ARABISCH.pdf","x")</f>
        <v>x</v>
      </c>
      <c r="BX206" s="112"/>
      <c r="BY206" s="112"/>
      <c r="BZ206" s="112" t="str">
        <f>HYPERLINK("http://fluechtlingshilfe-nettetal.de/ausbildung/video-sprachkurse-deutsch-fuer-fluechtlinge/video-sprachkurs-syrisch-deutsch/","x")</f>
        <v>x</v>
      </c>
      <c r="CA206" s="112" t="str">
        <f t="shared" ref="CA206:CA236" si="84">HYPERLINK("http://www.hueber.de/shared/uebungen/schritte-plus","x")</f>
        <v>x</v>
      </c>
      <c r="CB206" s="112" t="str">
        <f t="shared" ref="CB206:CB236" si="85">HYPERLINK("https://www.hueber.de/shared/uebungen/menschen-hier/ab/a1-1/menu.html","x")</f>
        <v>x</v>
      </c>
      <c r="CC206" s="112" t="str">
        <f t="shared" ref="CC206:CC236" si="86">HYPERLINK("http://www.goethe-verlag.com/DE/","x")</f>
        <v>x</v>
      </c>
      <c r="CD206" s="112"/>
      <c r="CE206" s="112"/>
      <c r="CF206" s="112" t="str">
        <f>HYPERLINK("http://www.agf-trier.de/sites/default/files/bersetzungshilfe%20%20f%C3%BCr%20Frauen%20Arab..pdf","x")</f>
        <v>x</v>
      </c>
      <c r="CG206" s="112" t="str">
        <f>HYPERLINK("http://www.braunschweig.de/leben/frauen/hilfe/Ohne-Gewalt-leben.pdf","x")</f>
        <v>x</v>
      </c>
      <c r="CH206" s="112" t="str">
        <f>HYPERLINK("http://mifkjf.rlp.de/fileadmin/mifkjf/Frauen/Gewalt_gegen_Frauen/Downloads/Broschueren_Flyer/Flyer_Gewalt_arabisch_fuer_ANSICHT.pdf","x")</f>
        <v>x</v>
      </c>
      <c r="CI206" s="112"/>
      <c r="CJ206" s="112" t="str">
        <f>HYPERLINK("https://www.hilfetelefon.de/fileadmin/hilfetelefon_de/Materialien/weitere_werbemittel/Klappflyer_Vorder-_und_Rueckseite_opt2.pdf","x")</f>
        <v>x</v>
      </c>
      <c r="CK206" s="112" t="str">
        <f t="shared" ref="CK206:CK236" si="87">HYPERLINK("http://www.e-migrantinnen.de/index.php?de_wichtige-links","x")</f>
        <v>x</v>
      </c>
      <c r="CL206" s="112" t="str">
        <f>HYPERLINK("http://www.frauenberatungsstelle.de/pdf/Migrantinnen-beraten-Migrantinnen.pdf","x")</f>
        <v>x</v>
      </c>
      <c r="CM206" s="112"/>
      <c r="CN206" s="112"/>
      <c r="CO206" s="112"/>
      <c r="CP206" s="112" t="str">
        <f>HYPERLINK("http://www.schwanger-und-viele-fragen.de/ar/","x")</f>
        <v>x</v>
      </c>
      <c r="CQ206" s="112"/>
      <c r="CR20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6" s="112"/>
      <c r="CT206" s="112"/>
      <c r="CU206" s="112" t="str">
        <f>HYPERLINK("http://www.profamilia.de/fileadmin/publikationen/Erwachsene/mehrsprachig/verhuetung_arabisch.pdf","x")</f>
        <v>x</v>
      </c>
      <c r="CV206" s="112"/>
      <c r="CW206" s="112"/>
      <c r="CX206" s="112"/>
      <c r="CY206" s="112" t="str">
        <f>HYPERLINK("http://www.caritas-schwarzwald-alb-donau.de/68854.html","x")</f>
        <v>x</v>
      </c>
      <c r="CZ206" s="112"/>
      <c r="DA206" s="112" t="str">
        <f>HYPERLINK("http://sichere-orte-schaffen.de/wp-content/uploads/Minibrosch_Fluechtlinge_multilang.pdf","x")</f>
        <v>x</v>
      </c>
      <c r="DB206" s="112"/>
      <c r="DC206" s="115" t="str">
        <f>HYPERLINK("http://www.kindersicherheit.de/pdf/2012_Bilderbuch-Gift-Arabisch.pdf","x")</f>
        <v>x</v>
      </c>
      <c r="DD206" s="112"/>
      <c r="DE206" s="112"/>
      <c r="DF206" s="112" t="str">
        <f t="shared" ref="DF206:DF236" si="88">HYPERLINK("http://fi-lohmar-siegburg.de/data/documents/130-37_Inklusion_im_Anfangsunterricht_-_Poster_mit_Situationsbildern.pdf","x")</f>
        <v>x</v>
      </c>
      <c r="DG206" s="115" t="str">
        <f t="shared" ref="DG206:DG236" si="89">HYPERLINK("http://s3-eu-west-1.amazonaws.com/lingolia/calendar/2016/lingolia_2016_de.pdf","x")</f>
        <v>x</v>
      </c>
      <c r="DH206" s="112" t="str">
        <f t="shared" ref="DH206:DH236" si="90">HYPERLINK("http://www.bibliomedia.ch/de/angebote/img/Wimmelbild.jpg","x")</f>
        <v>x</v>
      </c>
      <c r="DI206" s="112" t="str">
        <f t="shared" ref="DI206:DI236" si="91">HYPERLINK("http://www.bibliomedia.ch/de/angebote/dokumente/Wimmelbild_Fehler.jpg","x")</f>
        <v>x</v>
      </c>
      <c r="DJ206" s="112" t="str">
        <f>HYPERLINK("http://www.bibliomedia.ch/de/angebote/dokumente/Glossar_arabisch.pdf","x")</f>
        <v>x</v>
      </c>
      <c r="DK206" s="112"/>
      <c r="DL206" s="112" t="str">
        <f>HYPERLINK("http://www.carlsen.de/sites/default/files/Walter-ebook_arabisch_klein.pdf","x")</f>
        <v>x</v>
      </c>
      <c r="DM206" s="112"/>
      <c r="DN206" s="112"/>
      <c r="DO206" s="112" t="str">
        <f>HYPERLINK("http://www.wdrmaus.de/sachgeschichten/maus-international/","x")</f>
        <v>x</v>
      </c>
      <c r="DP206" s="111"/>
      <c r="DQ206" s="112" t="str">
        <f>HYPERLINK("http://tipdoc.de/bus/grafik/kinder-tip/SCHULTIP_give_didacta.pdf","x")</f>
        <v>x</v>
      </c>
      <c r="DR206" s="112" t="str">
        <f>HYPERLINK("https://broschueren.nordrheinwestfalendirekt.de/broschuerenservice/msw/ar-das-schulsystem-in-nordrhein-westfalen-einfach-und-schnell-erklaert/1901","x")</f>
        <v>x</v>
      </c>
      <c r="DS206" s="112" t="str">
        <f>HYPERLINK("http://bildung.koeln.de/materialbibliothek/download.php?idx=7479da9798519efb4e1944d46a76011b","x")</f>
        <v>x</v>
      </c>
      <c r="DT206" s="112" t="str">
        <f>HYPERLINK("http://bildung.koeln.de/materialbibliothek/download.php?idx=dd3a964c240308ea1c8e0d161e49e314","x")</f>
        <v>x</v>
      </c>
      <c r="DU206" s="112"/>
      <c r="DV206" s="112" t="str">
        <f>HYPERLINK("https://www.bmbf.de/pub/Kausa_Elternbroschuere_arabisch.pdf","x")</f>
        <v>x</v>
      </c>
      <c r="DW206" s="112"/>
      <c r="DX206" s="112" t="str">
        <f>HYPERLINK("http://www.wissenschaft.nrw.de/studium/informieren/informationen-fuer-fluechtlinge-die-in-nrw-studieren-moechten/","x")</f>
        <v>x</v>
      </c>
      <c r="DY206" s="112" t="str">
        <f>HYPERLINK("http://www.bamf.de/SharedDocs/Anlagen/DE/Publikationen/Flyer/AnerkennungBerufsabschluss/berufliche_anerkennung_akademische-heilberufe_ar.pdf?__blob=publicationFile","x")</f>
        <v>x</v>
      </c>
      <c r="DZ206" s="112" t="str">
        <f>HYPERLINK("http://www.bamf.de/SharedDocs/Anlagen/DE/Publikationen/Flyer/AnerkennungBerufsabschluss/anerkennung-berufsabschluss_ar.pdf?__blob=publicationFile","x")</f>
        <v>x</v>
      </c>
      <c r="EA206" s="112" t="str">
        <f>HYPERLINK("http://www.bamf.de/SharedDocs/Anlagen/DE/Publikationen/Flyer/AnerkennungBerufsabschluss/anerkennung-berufsabschluss_ausland_ar.pdf?__blob=publicationFile","x")</f>
        <v>x</v>
      </c>
      <c r="EB206" s="112" t="str">
        <f>HYPERLINK("http://www.bamf.de/SharedDocs/Anlagen/DE/Publikationen/Broschueren/willkommen-in-deutschland-info-blaue-karte-eu_ar.pdf?__blob=publicationFile","x")</f>
        <v>x</v>
      </c>
      <c r="EC206" s="112" t="str">
        <f>HYPERLINK("http://www.bamf.de/SharedDocs/Anlagen/DE/Publikationen/Flyer/Berufsbezsprachf-ESF-BAMF/berufsbezsprachf-esf-bamf_ar.pdf?__blob=publicationFile","x")</f>
        <v>x</v>
      </c>
      <c r="ED206" s="111"/>
      <c r="EE206" s="111"/>
      <c r="EF206" s="111"/>
      <c r="EG206" s="111"/>
      <c r="EH206" s="111"/>
      <c r="EI206" s="111"/>
      <c r="EJ206" s="112"/>
      <c r="EK206" s="112" t="str">
        <f>HYPERLINK("http://fluechtlingsrat-bw.de/files/Dateien/Dokumente/Materialbestellung/2014-12-flyer%20arbeitserlaubnis%20AR%20WEB_final.pdf","x")</f>
        <v>x</v>
      </c>
      <c r="EL206" s="112" t="str">
        <f>HYPERLINK("http://www.aponet.de/arabisch/20151019-fuer-den-notfall-wichtige-rufnummern-im-ueberblick.html","x")</f>
        <v>x</v>
      </c>
      <c r="EM206" s="112" t="str">
        <f>HYPERLINK("http://www.kvs-sachsen.de/fileadmin/img/Mitglieder/Asylbewerber/Allg-Informationen/Anlage_1_Arabisch_LEK.pdf","x")</f>
        <v>x</v>
      </c>
      <c r="EN206" s="112" t="str">
        <f>HYPERLINK("http://www.medizin-hilft-fluechtlingen.de/images/Dokumente/gSch/gSch_arab.pdf","x")</f>
        <v>x</v>
      </c>
      <c r="EO206" s="112" t="str">
        <f>HYPERLINK("http://www.aponet.de/arabisch/20151016-medizinische-leistungen-fuer-asylbewerber.html","x")</f>
        <v>x</v>
      </c>
      <c r="EP206" s="117" t="str">
        <f>HYPERLINK("http://www.medi-bild.de/pdf/anamnese/Welche_Sprache.pdf","x")</f>
        <v>x</v>
      </c>
      <c r="EQ206" s="117" t="str">
        <f>HYPERLINK("http://www.armut-gesundheit.de/fileadmin/redakteur/dokumente/Anamnesebogen%20-%20Arabischnew.pdf","x")</f>
        <v>x</v>
      </c>
      <c r="ER206" s="112" t="str">
        <f>HYPERLINK("http://www.kvs-sachsen.de/fileadmin/img/Mitglieder/Asylbewerber/Allg-Informationen/Anlagen_2-1_2-2_Arabisch_LEK.pdf","x")</f>
        <v>x</v>
      </c>
      <c r="ES206" s="112"/>
      <c r="ET206" s="112" t="str">
        <f>HYPERLINK("http://www.pharmazeutische-zeitung.de/fileadmin/pdf/Fragebogen_PZ_43_2015.pdf","x")</f>
        <v>x</v>
      </c>
      <c r="EU206" s="112" t="str">
        <f>HYPERLINK("http://www.medizin-hilft-fluechtlingen.de/images/Dokumente/ein/ein_arab.pdf","x")</f>
        <v>x</v>
      </c>
      <c r="EV206" s="112" t="str">
        <f>HYPERLINK("http://www.adler-apotheke-hh.de/fileadmin/user_upload/PDF-Dateien/Dosierzettel_mehrsprachig_AUF_0_.pdf","x")</f>
        <v>x</v>
      </c>
      <c r="EW206" s="112" t="str">
        <f t="shared" ref="EW206:EW236" si="92">HYPERLINK("http://www.lak-rlp.de/fileadmin/redakteure/pdf/download/Piktogramme_Dosieretiketten_AoG.pdf","x")</f>
        <v>x</v>
      </c>
      <c r="EX206" s="112" t="str">
        <f>HYPERLINK("http://www.rki.de/DE/Content/Infekt/IfSG/Belehrungsbogen/belehrungsbogen_eltern_arabisch.pdf?__blob=publicationFile","x")</f>
        <v>x</v>
      </c>
      <c r="EY206" s="112" t="str">
        <f>HYPERLINK("http://www.bzga.de/infomaterialien/?sid=236","x")</f>
        <v>x</v>
      </c>
      <c r="EZ206" s="112" t="str">
        <f>HYPERLINK("https://www.mh-hannover.de/fileadmin/mhh/bilder/aktuelles_presse/presseinformationen_news/150921_Pilz_Vergif_Arab_3.pdf","x")</f>
        <v>x</v>
      </c>
      <c r="FA206" s="112"/>
      <c r="FB206" s="112" t="str">
        <f>HYPERLINK("http://static.apotheken-umschau.de/media/gp/article_506373/bildwoerterbuch.pdf","x")</f>
        <v>x</v>
      </c>
      <c r="FC206" s="111"/>
      <c r="FD206" s="112" t="str">
        <f t="shared" ref="FD206:FD236" si="93">HYPERLINK("http://mige.ix-tech.de/index.php?id=241","x")</f>
        <v>x</v>
      </c>
      <c r="FE206" s="112" t="str">
        <f>HYPERLINK("http://sghanstedt.elbnetz.com/ueber-uns/","x")</f>
        <v>x</v>
      </c>
      <c r="FF206" s="112" t="str">
        <f>HYPERLINK("http://www.fuhlenhagen.com/pdf_dateien/uebertzungshilfe_aerzte_mehrsprachig.pdf","x")</f>
        <v>x</v>
      </c>
      <c r="FG206" s="112" t="str">
        <f>HYPERLINK("http://www.tipdoc.de/grafik/asyl/Gesundheitsheft_Asyl.pdf","x")</f>
        <v>x</v>
      </c>
      <c r="FH206" s="111"/>
      <c r="FI206" s="111"/>
      <c r="FJ206" s="112" t="str">
        <f>HYPERLINK("http://www.bundesgesundheitsministerium.de/fileadmin/dateien/Publikationen/Gesundheit/Broschueren/Ratgeber_Asylsuchende/Ratgeber_Asylsuchende_arab.PDF","x")</f>
        <v>x</v>
      </c>
      <c r="FK206" s="112" t="str">
        <f>HYPERLINK("http://www.rki.de/DE/Content/Infekt/Impfen/Materialien/Downloads-Impfkalender/Impfkalender_Arabisch.pdf?__blob=publicationFile","x")</f>
        <v>x</v>
      </c>
      <c r="FL206" s="112" t="str">
        <f>HYPERLINK("http://www.ethno-medizinisches-zentrum.de/images/PDF-Files/impfwegweiser_arabbisch_2013_online.pdf","x")</f>
        <v>x</v>
      </c>
      <c r="FM206" s="112"/>
      <c r="FN206" s="112" t="str">
        <f>HYPERLINK("http://www.rki.de/DE/Content/Infekt/Impfen/Materialien/Glossar-Downloads/glossar-de-arabisch.pdf?__blob=publicationFile","x")</f>
        <v>x</v>
      </c>
      <c r="FO206" s="112"/>
      <c r="FP206" s="112" t="str">
        <f>HYPERLINK("http://www.rki.de/DE/Content/Infekt/Impfen/Materialien/Downloads-MMR/MMR-Impfinfo-arabisch.pdf?__blob=publicationFile","x")</f>
        <v>x</v>
      </c>
      <c r="FQ206" s="112" t="str">
        <f>HYPERLINK("http://www.rki.de/DE/Content/InfAZ/P/Polio/Ausbruch_Syrien/Informationsblatt_Polio_Arabisch.pdf?__blob=publicationFile","x")</f>
        <v>x</v>
      </c>
      <c r="FR206" s="112" t="str">
        <f>HYPERLINK("http://www.rki.de/DE/Content/Infekt/Impfen/Materialien/Downloads_HepA/Aufklaerung_HAV-Impfung_arabisch.pdf?__blob=publicationFile","x")</f>
        <v>x</v>
      </c>
      <c r="FS206" s="112" t="str">
        <f>HYPERLINK("http://www.rki.de/DE/Content/Infekt/Impfen/Materialien/Downloads_Pneumokokken/Aufklaerung_Pneumo-Impfung_Arabisch.pdf?__blob=publicationFile","x")</f>
        <v>x</v>
      </c>
      <c r="FT206" s="112" t="str">
        <f>HYPERLINK("http://www.rki.de/DE/Content/Infekt/Impfen/Materialien/Downloads-DTaPIPVHibHepB/DTaPIPVHibHepB_arabisch.pdf?__blob=publicationFile","x")</f>
        <v>x</v>
      </c>
      <c r="FU206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6" s="112" t="str">
        <f>HYPERLINK("http://www.rki.de/DE/Content/Infekt/Impfen/Materialien/Downloads-Tdap-IPV/Tdap-IPV-arabisch.pdf?__blob=publicationFile","x")</f>
        <v>x</v>
      </c>
      <c r="FW206" s="112" t="str">
        <f>HYPERLINK("http://www.rki.de/DE/Content/Infekt/Impfen/Materialien/Downloads-Influenza_nasal/Influenza_nasal-arabisch.pdf?__blob=publicationFile","x")</f>
        <v>x</v>
      </c>
      <c r="FX206" s="112" t="str">
        <f>HYPERLINK("http://www.medical-tribune.de/fileadmin/PDF/Arthrose_arabisch.pdf","x")</f>
        <v>x</v>
      </c>
      <c r="FY206" s="112" t="str">
        <f>HYPERLINK("http://www.medical-tribune.de/fileadmin/PDF/Asthma_arabisch.pdf","x")</f>
        <v>x</v>
      </c>
      <c r="FZ206" s="112" t="str">
        <f>HYPERLINK("http://www.medical-tribune.de/fileadmin/PDF/Bluthochdruck_arabisch.pdf","x")</f>
        <v>x</v>
      </c>
      <c r="GA206" s="112"/>
      <c r="GB206" s="112" t="str">
        <f>HYPERLINK("http://www.medical-tribune.de/fileadmin/PDF/COPD_arabisch.pdf","x")</f>
        <v>x</v>
      </c>
      <c r="GC206" s="112"/>
      <c r="GD206" s="112" t="str">
        <f>HYPERLINK("http://www.ethno-medizinisches-zentrum.de/images/PDF-Files/lf_diabete_arab.pdf","x")</f>
        <v>x</v>
      </c>
      <c r="GE206" s="112"/>
      <c r="GF206" s="112"/>
      <c r="GG206" s="112"/>
      <c r="GH206" s="112"/>
      <c r="GI206" s="112" t="str">
        <f>HYPERLINK("http://www.tipdoc.de/bus/pdf/hepatitis/Hep_B_Webseite.pdf","x")</f>
        <v>x</v>
      </c>
      <c r="GJ206" s="112" t="str">
        <f>HYPERLINK("http://www.tipdoc.de/bus/pdf/hepatitis/Hep_C_Webseite.pdf","x")</f>
        <v>x</v>
      </c>
      <c r="GK206" s="111"/>
      <c r="GL206" s="111"/>
      <c r="GM206" s="112" t="str">
        <f>HYPERLINK("http://www.rki.de/DE/Content/Infekt/Impfen/Materialien/Downloads-Influenza/Influenza-arabisch.pdf?__blob=publicationFile","x")</f>
        <v>x</v>
      </c>
      <c r="GN206" s="112"/>
      <c r="GO206" s="112" t="str">
        <f>HYPERLINK("http://www.aponet.de/arabisch/20151111-so-unterscheiden-sich-grippe-und-erkaeltung.html","x")</f>
        <v>x</v>
      </c>
      <c r="GP206" s="112" t="str">
        <f>HYPERLINK("http://www.tipdoc.de/grafik/pdf/kopflaeuse/Kopflaeuse_ARAB.pdf","x")</f>
        <v>x</v>
      </c>
      <c r="GQ206" s="112"/>
      <c r="GR206" s="112" t="str">
        <f>HYPERLINK("http://www.tipdoc.com/bus/pdf/kraetze/tipdoc_Scabies_ARAB.pdf","x")</f>
        <v>x</v>
      </c>
      <c r="GS206" s="112" t="str">
        <f>HYPERLINK("http://www.tipdoc.com/bus/pdf/MagenDarmHaende/MagenDarmHaende_Arab.pdf","x")</f>
        <v>x</v>
      </c>
      <c r="GT206" s="112"/>
      <c r="GU206" s="112" t="str">
        <f>HYPERLINK("http://www.medical-tribune.de/fileadmin/PDF/Rueckenschmerzen_arabisch.pdf","x")</f>
        <v>x</v>
      </c>
      <c r="GV206" s="112"/>
      <c r="GW206" s="112"/>
      <c r="GX206" s="112" t="str">
        <f>HYPERLINK("http://www.medical-tribune.de/fileadmin/PDF/Schwindel_arabisch.pdf","x")</f>
        <v>x</v>
      </c>
      <c r="GY206" s="112"/>
      <c r="GZ206" s="112"/>
      <c r="HA206" s="112"/>
      <c r="HB206" s="112"/>
      <c r="HC206" s="112" t="str">
        <f t="shared" ref="HC206:HC236" si="94">HYPERLINK("https://www.zahnaerzte-wl.de/images/_PDF-suche/KZV_ZÄK/piktogrammheft.pdf","x")</f>
        <v>x</v>
      </c>
      <c r="HD206" s="112" t="str">
        <f>HYPERLINK("https://www.zahnaerzte-wl.de/images/_PDF-suche/KZV_ZÄK/ENDSTAND_Ankreuzbogen_Ich_verstehe.pdf","x")</f>
        <v>x</v>
      </c>
      <c r="HE206" s="112" t="str">
        <f>HYPERLINK("https://www.zahnaerzte-wl.de/images/_PDF-suche/KZV_ZÄK/Anschreiben_Patienten_arabisch.pdf","x")</f>
        <v>x</v>
      </c>
      <c r="HF206" s="112" t="str">
        <f>HYPERLINK("https://www.zahnaerzte-wl.de/images/_PDF-suche/KZV_ZÄK/Fragebogen_arabisch.pdf","x")</f>
        <v>x</v>
      </c>
      <c r="HG206" s="112" t="str">
        <f>HYPERLINK("https://www.zahnaerzte-wl.de/images/_PDF-suche/KZV_ZÄK/Patientenerhebungsbogen_arabisch.pdf","x")</f>
        <v>x</v>
      </c>
      <c r="HH206" s="112"/>
      <c r="HI206" s="112"/>
      <c r="HJ206" s="112" t="str">
        <f>HYPERLINK("http://www.ibbc-berlin.de/media/Bro_de-arab.pdf","x")</f>
        <v>x</v>
      </c>
      <c r="HK206" s="112"/>
      <c r="HL206" s="112" t="str">
        <f>HYPERLINK("http://www.ethno-medizinisches-zentrum.de/images/PDF-Files/lf_depression__arab.pdf","x")</f>
        <v>x</v>
      </c>
      <c r="HM206" s="112"/>
      <c r="HN206" s="112"/>
      <c r="HO206" s="112"/>
      <c r="HP206" s="112"/>
      <c r="HQ206" s="112"/>
      <c r="HR206" s="112"/>
      <c r="HS206" s="112"/>
      <c r="HT206" s="112"/>
      <c r="HU206" s="112"/>
      <c r="HV206" s="112"/>
      <c r="HW206" s="112"/>
      <c r="HX206" s="112" t="str">
        <f>HYPERLINK("http://www.bkk-psychisch-gesund.de/fileadmin/user_upload/Dokumente/Versicherte/Broschueren/Wegweiser_Psychotherapie_arabisch.pdf","x")</f>
        <v>x</v>
      </c>
      <c r="HY206" s="112" t="str">
        <f t="shared" ref="HY206:HY236" si="95">HYPERLINK("http://www.selfhelpfortrauma.org/","x")</f>
        <v>x</v>
      </c>
      <c r="HZ206" s="112" t="str">
        <f t="shared" ref="HZ206:HZ236" si="96">HYPERLINK("http://peacefulheart.se/wp-content/uploads/2014/12/Resolving-Yesterday-20141201-Self-Tapping.pdf","x")</f>
        <v>x</v>
      </c>
      <c r="IA206" s="112"/>
      <c r="IB206" s="112"/>
      <c r="IC206" s="112"/>
      <c r="ID206" s="112" t="str">
        <f>HYPERLINK("http://www.susannestein.de/VIA-online/trauma-bilderbuch-arabisch.pdf","x")</f>
        <v>x</v>
      </c>
      <c r="IE206" s="112"/>
      <c r="IF206" s="112"/>
      <c r="IG206" s="112"/>
      <c r="IH206" s="111"/>
      <c r="II206" s="112"/>
      <c r="IJ206" s="112"/>
      <c r="IK206" s="112" t="str">
        <f>HYPERLINK("http://www.bamf.de/SharedDocs/Anlagen/DE/Publikationen/Flyer/Lassen-Sie-Sich-Beraten/lassen-sie-sich-beraten_ar.pdf?__blob=publicationFile","x")</f>
        <v>x</v>
      </c>
      <c r="IL206" s="112" t="str">
        <f>HYPERLINK("http://www.bamf.de/SharedDocs/Anlagen/DE/Publikationen/Flyer/flyer-erstorientierung-asylsuchende_arabisch.pdf?__blob=publicationFile","x")</f>
        <v>x</v>
      </c>
      <c r="IM206" s="111"/>
      <c r="IN206" s="112" t="str">
        <f>HYPERLINK("https://www.bamf.de/SharedDocs/Anlagen/DE/Publikationen/Broschueren/willkommen-in-deutschland_ar.pdf?__blob=publicationFile","x")</f>
        <v>x</v>
      </c>
      <c r="IO206" s="112"/>
      <c r="IP206" s="111"/>
      <c r="IQ206" s="112" t="str">
        <f>HYPERLINK("http://www.bamf.de/SharedDocs/Anlagen/DE/Publikationen/Flyer/Lernen-Sie-Deutsch/lernen-sie-deutsch_ar.pdf?__blob=publicationFile","x")</f>
        <v>x</v>
      </c>
      <c r="IR206" s="112" t="str">
        <f>HYPERLINK("http://www.asyl.net/fileadmin/user_upload/redaktion/Dokumente/Arbeitshilfen/150910_Wie_l%C3%A4uft_ein_Asylverfahren_ab_%C3%9Cberblickstext_Arabisch.pdf","x")</f>
        <v>x</v>
      </c>
      <c r="IS206" s="111"/>
      <c r="IT206" s="111"/>
      <c r="IU206" s="111"/>
      <c r="IV206" s="112" t="str">
        <f>HYPERLINK("http://www.asyl.net/fileadmin/user_upload/infoblatt_anhoerung/Infoblatt_2015_ar_fin.pdf","x")</f>
        <v>x</v>
      </c>
      <c r="IW206" s="112" t="str">
        <f>HYPERLINK("http://efi-landsberg.de/asyl/wp-content/uploads/2014/04/Merkblatt-Asylbewerber-Fluechtlinge.pdf","x")</f>
        <v>x</v>
      </c>
      <c r="IX206" s="112"/>
      <c r="IY206" s="112" t="str">
        <f>HYPERLINK("http://www.bamf.de/SharedDocs/Anlagen/DE/Publikationen/Broschueren/broschuere-eat-a4-ar-arabisch.pdf?__blob=publicationFile","x")</f>
        <v>x</v>
      </c>
      <c r="IZ206" s="111"/>
      <c r="JA206" s="112" t="str">
        <f>HYPERLINK("http://fluechtlingsrat-bw.de/informationen-fuer-fluechtlinge.html","x")</f>
        <v>x</v>
      </c>
      <c r="JB206" s="111"/>
      <c r="JC206" s="112"/>
      <c r="JD206" s="111"/>
      <c r="JE206" s="112"/>
      <c r="JF206" s="112"/>
      <c r="JG206" s="112" t="str">
        <f>HYPERLINK("http://www.bamf.de/SharedDocs/Anlagen/DE/Publikationen/Flyer/Ehegattennachzug/ehegattennachzug-ar.pdf?__blob=publicationFile","x")</f>
        <v>x</v>
      </c>
      <c r="JH206" s="112" t="str">
        <f>HYPERLINK("https://familyreunion-syria.diplo.de/webportal/index.html#start","x")</f>
        <v>x</v>
      </c>
      <c r="JI206" s="111"/>
      <c r="JJ206" s="112"/>
      <c r="JK206" s="112" t="str">
        <f>HYPERLINK("https://www.arbeitsagentur.de/web/wcm/idc/groups/public/documents/webdatei/mdaw/mjgz/~edisp/l6019022dstbai784629.pdf?_ba.sid=L6019022DSTBAI788745","x")</f>
        <v>x</v>
      </c>
      <c r="JL206" s="112" t="str">
        <f>HYPERLINK("http://www.kub-berlin.org/formularprojekt/de/arabisch-antraege-und-anlagen/","x")</f>
        <v>x</v>
      </c>
      <c r="JM206" s="112" t="str">
        <f>HYPERLINK("https://www.arbeitsagentur.de/web/content/DE/Formulare/Detail/index.htm?dfContentId=L6019022DSTBAI485740","x")</f>
        <v>x</v>
      </c>
      <c r="JN206" s="112"/>
      <c r="JO206" s="112"/>
      <c r="JP206" s="112"/>
      <c r="JQ206" s="112"/>
      <c r="JR206" s="112" t="str">
        <f>HYPERLINK("http://www.ibla-germany.de/merkblaetter.php","x")</f>
        <v>x</v>
      </c>
      <c r="JS206" s="112"/>
      <c r="JT206" s="112" t="str">
        <f>HYPERLINK("http://www.b-umf.de/images/willkommen/willkommensbroschurearabisch-web.pdf","x")</f>
        <v>x</v>
      </c>
      <c r="JU206" s="111"/>
      <c r="JV206" s="111"/>
      <c r="JW206" s="112"/>
      <c r="JX206" s="112"/>
      <c r="JY206" s="112"/>
      <c r="JZ206" s="112"/>
      <c r="KA206" s="112" t="str">
        <f>HYPERLINK("http://www.kas.de/wf/de/33.43117/","x")</f>
        <v>x</v>
      </c>
      <c r="KB206" s="112" t="str">
        <f>HYPERLINK("http://www.refugeeguide.de/dl/RefugeeGuide_ar_930.pdf","x")</f>
        <v>x</v>
      </c>
      <c r="KC206" s="112" t="str">
        <f>HYPERLINK("http://www.bpb.de/shop/buecher/grundgesetz/215136/grundgesetz-auf-arabisch","x")</f>
        <v>x</v>
      </c>
      <c r="KD206" s="112" t="str">
        <f>HYPERLINK("http://www.wedel.de/fileadmin/user_upload/media/pdf/Rathaus_und_Politik/20160118_PM_Broschuere.pdf","x")</f>
        <v>x</v>
      </c>
      <c r="KE206" s="112" t="str">
        <f>HYPERLINK("http://www.frauenrechte.de/online/images/downloads/allgemein/TDF_Flyer_Women_Men.pdf","x")</f>
        <v>x</v>
      </c>
      <c r="KF206" s="112" t="str">
        <f>HYPERLINK("http://sab.landtag.sachsen.de/dokumente/landtagskurier/Grundwerte-A5-international_web_08012016.pdf","x")</f>
        <v>x</v>
      </c>
      <c r="KG206" s="112"/>
      <c r="KH206" s="112"/>
      <c r="KI206" s="112"/>
      <c r="KJ206" s="112"/>
      <c r="KK206" s="112"/>
      <c r="KL206" s="112"/>
      <c r="KM206" s="112"/>
      <c r="KN206" s="112"/>
      <c r="KO206" s="112"/>
      <c r="KP206" s="112"/>
      <c r="KQ206" s="112"/>
      <c r="KR206" s="112"/>
      <c r="KS206" s="112"/>
      <c r="KT206" s="112"/>
      <c r="KU206" s="112"/>
      <c r="KV206" s="112"/>
      <c r="KW206" s="112"/>
      <c r="KX206" s="112"/>
      <c r="KY206" s="112"/>
      <c r="KZ206" s="112"/>
      <c r="LA206" s="112"/>
      <c r="LB206" s="112"/>
      <c r="LC206" s="111"/>
      <c r="LD206" s="111"/>
      <c r="LE206" s="111"/>
      <c r="LF206" s="111"/>
      <c r="LG206" s="112"/>
      <c r="LH206" s="111"/>
      <c r="LI206" s="111"/>
      <c r="LJ206" s="111"/>
      <c r="LK206" s="111"/>
      <c r="LL206" s="111"/>
      <c r="LM206" s="111"/>
      <c r="LN206" s="111"/>
      <c r="LO206" s="111"/>
      <c r="LP206" s="111"/>
      <c r="LQ206" s="111"/>
      <c r="LR206" s="111"/>
      <c r="LS206" s="111"/>
      <c r="LT206" s="112"/>
      <c r="LU206" s="111"/>
      <c r="LV206" s="111"/>
      <c r="LW206" s="111"/>
      <c r="LX206" s="111"/>
      <c r="LY206" s="111"/>
      <c r="LZ206" s="112" t="str">
        <f>HYPERLINK("http://www.bjf.info/projekte/cinemanya","x")</f>
        <v>x</v>
      </c>
      <c r="MA206" s="111"/>
      <c r="MB206" s="111"/>
      <c r="MC206" s="111"/>
      <c r="MD206" s="112" t="str">
        <f>HYPERLINK("http://www.rki.de/DE/Content/Infekt/IfSG/Belehrungsbogen/belehrungsbogen_lebensmittel_arabisch.pdf?__blob=publicationFile","x")</f>
        <v>x</v>
      </c>
      <c r="ME206" s="111"/>
      <c r="MF206" s="112" t="str">
        <f>HYPERLINK("http://www.gdv.de/wp-content/uploads/2016/01/Information_Brandschutz_Fluechtlingsheim_-Sicherheit_mehrsprachig.pdf","x")</f>
        <v>x</v>
      </c>
      <c r="MG206" s="112" t="str">
        <f>HYPERLINK("http://www.gdv.de/wp-content/uploads/2016/01/Information_Verhalten-im-Brandfall_mehrsprachig.pdf","x")</f>
        <v>x</v>
      </c>
      <c r="MH206" s="112" t="str">
        <f>HYPERLINK("http://www.aha-region.de/fileadmin/Download/pdf/aha_Plakat_Muelltrennung_ar.pdf","x")</f>
        <v>x</v>
      </c>
      <c r="MI206" s="112" t="str">
        <f>HYPERLINK("http://www.kindersicherheit.de/pdf/2012_poster_achtunggiftig_8sprachig.pdf","x")</f>
        <v>x</v>
      </c>
    </row>
    <row r="207" spans="1:347" x14ac:dyDescent="0.25">
      <c r="A207" s="102" t="s">
        <v>24</v>
      </c>
      <c r="B207" s="127" t="s">
        <v>480</v>
      </c>
      <c r="C207" s="102"/>
      <c r="D207" s="102"/>
      <c r="E207" s="102"/>
      <c r="F207" s="102"/>
      <c r="G207" s="102"/>
      <c r="H207" s="102"/>
      <c r="I207" s="102"/>
      <c r="J207" s="102"/>
      <c r="K207" s="103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 t="str">
        <f>HYPERLINK("https://www.vrsinfo.de/fileadmin/Dateien/downloadcenter/Folder_MobilPassTicket_Refugees01012016.pdf","x")</f>
        <v>x</v>
      </c>
      <c r="AL207" s="112" t="str">
        <f>HYPERLINK("https://www.vrsinfo.de/fileadmin/Dateien/downloadcenter/Willkommen_im_VRS2016_Druck.pdf","x")</f>
        <v>x</v>
      </c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3"/>
      <c r="AW207" s="114" t="str">
        <f t="shared" si="78"/>
        <v>x</v>
      </c>
      <c r="AX207" s="114" t="str">
        <f t="shared" si="79"/>
        <v>x</v>
      </c>
      <c r="AY207" s="112" t="str">
        <f>HYPERLINK("http://fi-lohmar-siegburg.de/data/documents/Findefix_kurdisch-Bildwoerterbuch.pdf","x")</f>
        <v>x</v>
      </c>
      <c r="AZ207" s="111"/>
      <c r="BA207" s="112" t="str">
        <f t="shared" si="80"/>
        <v>x</v>
      </c>
      <c r="BB207" s="112" t="str">
        <f t="shared" si="81"/>
        <v>x</v>
      </c>
      <c r="BC207" s="111"/>
      <c r="BD207" s="111"/>
      <c r="BE207" s="111"/>
      <c r="BF207" s="111"/>
      <c r="BG207" s="111"/>
      <c r="BH207" s="112" t="str">
        <f>HYPERLINK("http://www.refugeephrasebook.de/pdf/germany150920.pdf","x")</f>
        <v>x</v>
      </c>
      <c r="BI207" s="112" t="str">
        <f>HYPERLINK("https://www.advanced-online.eu/downloads/RefugeePhrasebookCards_German-Kurdish-Kurmanji.pdf","x")</f>
        <v>x</v>
      </c>
      <c r="BJ207" s="111"/>
      <c r="BK207" s="111"/>
      <c r="BL207" s="111"/>
      <c r="BM207" s="112" t="str">
        <f>HYPERLINK("http://www.frnrw.de/images/Aus_den_Initiativen/Ehrenamtler/2015/Dictionary_x10_print-2.pdf","x")</f>
        <v>x</v>
      </c>
      <c r="BN207" s="111"/>
      <c r="BO207" s="111"/>
      <c r="BP207" s="111"/>
      <c r="BQ207" s="111"/>
      <c r="BR207" s="111"/>
      <c r="BS207" s="112" t="str">
        <f t="shared" si="82"/>
        <v>x</v>
      </c>
      <c r="BT207" s="112"/>
      <c r="BU207" s="111"/>
      <c r="BV207" s="112" t="str">
        <f t="shared" si="83"/>
        <v>x</v>
      </c>
      <c r="BW207" s="112"/>
      <c r="BX207" s="112"/>
      <c r="BY207" s="112"/>
      <c r="BZ207" s="112"/>
      <c r="CA207" s="112" t="str">
        <f t="shared" si="84"/>
        <v>x</v>
      </c>
      <c r="CB207" s="112" t="str">
        <f t="shared" si="85"/>
        <v>x</v>
      </c>
      <c r="CC207" s="112" t="str">
        <f t="shared" si="86"/>
        <v>x</v>
      </c>
      <c r="CD207" s="112"/>
      <c r="CE207" s="112"/>
      <c r="CF207" s="111"/>
      <c r="CG207" s="112" t="str">
        <f>HYPERLINK("http://www.braunschweig.de/leben/frauen/hilfe/Ohne-Gewalt-leben.pdf","x")</f>
        <v>x</v>
      </c>
      <c r="CH207" s="112"/>
      <c r="CI207" s="112"/>
      <c r="CJ207" s="112"/>
      <c r="CK207" s="112" t="str">
        <f t="shared" si="87"/>
        <v>x</v>
      </c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 t="str">
        <f>HYPERLINK("http://sichere-orte-schaffen.de/wp-content/uploads/Minibrosch_Fluechtlinge_multilang.pdf","x")</f>
        <v>x</v>
      </c>
      <c r="DB207" s="112"/>
      <c r="DC207" s="115"/>
      <c r="DD207" s="112"/>
      <c r="DE207" s="112"/>
      <c r="DF207" s="112" t="str">
        <f t="shared" si="88"/>
        <v>x</v>
      </c>
      <c r="DG207" s="115" t="str">
        <f t="shared" si="89"/>
        <v>x</v>
      </c>
      <c r="DH207" s="112" t="str">
        <f t="shared" si="90"/>
        <v>x</v>
      </c>
      <c r="DI207" s="112" t="str">
        <f t="shared" si="91"/>
        <v>x</v>
      </c>
      <c r="DJ207" s="111"/>
      <c r="DK207" s="111"/>
      <c r="DL207" s="112" t="str">
        <f>HYPERLINK("http://www.carlsen.de/sites/default/files/Walter-ebook_kurdisch_klein.pdf","x")</f>
        <v>x</v>
      </c>
      <c r="DM207" s="112"/>
      <c r="DN207" s="111"/>
      <c r="DO207" s="112" t="str">
        <f>HYPERLINK("http://www.wdrmaus.de/sachgeschichten/maus-international/","x")</f>
        <v>x</v>
      </c>
      <c r="DP207" s="111"/>
      <c r="DQ207" s="111"/>
      <c r="DR207" s="111"/>
      <c r="DS207" s="112" t="str">
        <f>HYPERLINK("http://bildung.koeln.de/materialbibliothek/download.php?idx=fc4887ef7fe884e5adf460bb238faf37","x")</f>
        <v>x</v>
      </c>
      <c r="DT207" s="112" t="str">
        <f>HYPERLINK("http://bildung.koeln.de/materialbibliothek/download.php?idx=99fc6dbeceefa7442b292c74ac93ba58","x")</f>
        <v>x</v>
      </c>
      <c r="DU207" s="112"/>
      <c r="DV207" s="111"/>
      <c r="DW207" s="111"/>
      <c r="DX207" s="111"/>
      <c r="DY207" s="111"/>
      <c r="DZ207" s="111"/>
      <c r="EA207" s="111"/>
      <c r="EB207" s="112"/>
      <c r="EC207" s="111"/>
      <c r="ED207" s="111"/>
      <c r="EE207" s="111"/>
      <c r="EF207" s="111"/>
      <c r="EG207" s="111"/>
      <c r="EH207" s="111"/>
      <c r="EI207" s="111"/>
      <c r="EJ207" s="112"/>
      <c r="EK207" s="112"/>
      <c r="EL207" s="111"/>
      <c r="EM207" s="112" t="str">
        <f>HYPERLINK("http://www.kvs-sachsen.de/fileadmin/img/Mitglieder/Asylbewerber/Allg-Informationen/Anlage_1_Kurmandschi_LEK.pdf","x")</f>
        <v>x</v>
      </c>
      <c r="EN207" s="111"/>
      <c r="EO207" s="111"/>
      <c r="EP207" s="117" t="str">
        <f>HYPERLINK("http://www.medi-bild.de/pdf/anamnese/Welche_Sprache.pdf","x")</f>
        <v>x</v>
      </c>
      <c r="EQ207" s="117" t="str">
        <f>HYPERLINK("http://www.medknowledge.de/migration/tipdoc/anamnesebogen/tipdoc_Anamnese_kurdi.pdf","x")</f>
        <v>x</v>
      </c>
      <c r="ER207" s="112" t="str">
        <f>HYPERLINK("http://www.kvs-sachsen.de/fileadmin/img/Mitglieder/Asylbewerber/Allg-Informationen/Anlagen_2-1_2-2_Kurmandschi_LEK.pdf","x")</f>
        <v>x</v>
      </c>
      <c r="ES207" s="111"/>
      <c r="ET207" s="111"/>
      <c r="EU207" s="111"/>
      <c r="EV207" s="111"/>
      <c r="EW207" s="112" t="str">
        <f t="shared" si="92"/>
        <v>x</v>
      </c>
      <c r="EX207" s="111"/>
      <c r="EY207" s="111"/>
      <c r="EZ207" s="112" t="str">
        <f>HYPERLINK("https://www.mh-hannover.de/fileadmin/mhh/bilder/aktuelles_presse/presseinformationen_news/-Pilzvergif_kurdisch_2.pdf","x")</f>
        <v>x</v>
      </c>
      <c r="FA207" s="112"/>
      <c r="FB207" s="111"/>
      <c r="FC207" s="111"/>
      <c r="FD207" s="112" t="str">
        <f t="shared" si="93"/>
        <v>x</v>
      </c>
      <c r="FE207" s="112" t="str">
        <f>HYPERLINK("http://sghanstedt.elbnetz.com/ueber-uns/","x")</f>
        <v>x</v>
      </c>
      <c r="FF207" s="111"/>
      <c r="FG207" s="111"/>
      <c r="FH207" s="111"/>
      <c r="FI207" s="111"/>
      <c r="FJ207" s="112" t="str">
        <f>HYPERLINK("http://www.bundesgesundheitsministerium.de/fileadmin/dateien/Publikationen/Gesundheit/Broschueren/Ratgeber_Asylsuchende/Ratgeber_Asylsuchende_kurd.pdf","x")</f>
        <v>x</v>
      </c>
      <c r="FK207" s="112" t="str">
        <f>HYPERLINK("http://www.rki.de/DE/Content/Infekt/Impfen/Materialien/Downloads-Impfkalender/Impfkalender_Kurdisch.pdf?__blob=publicationFile","x")</f>
        <v>x</v>
      </c>
      <c r="FL207" s="112" t="str">
        <f>HYPERLINK("http://www.ethno-medizinisches-zentrum.de/images/PDF-Files/impfwegweiser_kurdisch_2014_online.pdf","x")</f>
        <v>x</v>
      </c>
      <c r="FM207" s="112"/>
      <c r="FN207" s="112" t="str">
        <f>HYPERLINK("http://www.rki.de/DE/Content/Infekt/Impfen/Materialien/Glossar-Downloads/glossar-de-kurdisch.pdf?__blob=publicationFile","x")</f>
        <v>x</v>
      </c>
      <c r="FO207" s="112"/>
      <c r="FP207" s="112" t="str">
        <f>HYPERLINK("http://www.rki.de/DE/Content/Infekt/Impfen/Materialien/Downloads-MMR/MMR-Impfinfo-kurdisch.pdf?__blob=publicationFile","x")</f>
        <v>x</v>
      </c>
      <c r="FQ207" s="112"/>
      <c r="FR207" s="112" t="str">
        <f>HYPERLINK("http://www.rki.de/DE/Content/Infekt/Impfen/Materialien/Downloads_HepA/Aufklaerung_HAV-Impfung_Kurdisch.pdf?__blob=publicationFile","x")</f>
        <v>x</v>
      </c>
      <c r="FS207" s="112" t="str">
        <f>HYPERLINK("http://www.rki.de/DE/Content/Infekt/Impfen/Materialien/Downloads_Pneumokokken/Aufklaerung_Pneumo-Impfung_Kurdisch.pdf?__blob=publicationFile","x")</f>
        <v>x</v>
      </c>
      <c r="FT207" s="112" t="str">
        <f>HYPERLINK("http://www.rki.de/DE/Content/Infekt/Impfen/Materialien/Downloads-DTaPIPVHibHepB/DTaPIPVHibHepB-kurdisch.pdf?__blob=publicationFile","x")</f>
        <v>x</v>
      </c>
      <c r="FU207" s="112" t="str">
        <f>HYPERLINK("http://www.rki.de/DE/Content/Infekt/Impfen/Materialien/Downloads-Varizellen/Varizellen-Impfinfo-kurdisch.pdf;jsessionid=65B697F4EE7EDA8A1ED9E2C4CD6C74EC.2_cid363?__blob=publicationFile","x")</f>
        <v>x</v>
      </c>
      <c r="FV207" s="112" t="str">
        <f>HYPERLINK("http://www.rki.de/DE/Content/Infekt/Impfen/Materialien/Downloads-Tdap-IPV/Tdap-IPV-kurdisch.pdf?__blob=publicationFile","x")</f>
        <v>x</v>
      </c>
      <c r="FW207" s="112" t="str">
        <f>HYPERLINK("http://www.rki.de/DE/Content/Infekt/Impfen/Materialien/Downloads-Influenza_nasal/Influenza_nasal-kurdisch.pdf?__blob=publicationFile","x")</f>
        <v>x</v>
      </c>
      <c r="FX207" s="111"/>
      <c r="FY207" s="112"/>
      <c r="FZ207" s="112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1"/>
      <c r="GK207" s="111"/>
      <c r="GL207" s="111"/>
      <c r="GM207" s="112" t="str">
        <f>HYPERLINK("http://www.rki.de/DE/Content/Infekt/Impfen/Materialien/Downloads-Influenza/Influenza-kurdisch.pdf?__blob=publicationFile","x")</f>
        <v>x</v>
      </c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2" t="str">
        <f t="shared" si="94"/>
        <v>x</v>
      </c>
      <c r="HD207" s="112" t="str">
        <f>HYPERLINK("https://www.zahnaerzte-wl.de/images/_PDF-suche/KZV_ZÄK/ENDSTAND_Ankreuzbogen_Ich_verstehe.pdf","x")</f>
        <v>x</v>
      </c>
      <c r="HE207" s="112" t="str">
        <f>HYPERLINK("https://www.zahnaerzte-wl.de/images/_PDF-suche/KZV_ZÄK/Anschreiben_Patienten_kurdisch_kurmandschi.pdf","x")</f>
        <v>x</v>
      </c>
      <c r="HF207" s="112" t="str">
        <f>HYPERLINK("https://www.zahnaerzte-wl.de/images/_PDF-suche/KZV_ZÄK/Fragebogen_kurdisch-kurmandschi.pdf","x")</f>
        <v>x</v>
      </c>
      <c r="HG207" s="112" t="str">
        <f>HYPERLINK("https://www.zahnaerzte-wl.de/images/_PDF-suche/KZV_ZÄK/Patientenerhebungsbogen_kurdisch-kurmandschi.pdf","x")</f>
        <v>x</v>
      </c>
      <c r="HH207" s="112"/>
      <c r="HI207" s="112"/>
      <c r="HJ207" s="112"/>
      <c r="HK207" s="112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2" t="str">
        <f t="shared" si="95"/>
        <v>x</v>
      </c>
      <c r="HZ207" s="112" t="str">
        <f t="shared" si="96"/>
        <v>x</v>
      </c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2"/>
      <c r="IL207" s="112" t="str">
        <f>HYPERLINK("http://www.bamf.de/SharedDocs/Anlagen/DE/Publikationen/Flyer/flyer-erstorientierung-asylsuchende_kurdisch.pdf?__blob=publicationFile","x")</f>
        <v>x</v>
      </c>
      <c r="IM207" s="111"/>
      <c r="IN207" s="111"/>
      <c r="IO207" s="111"/>
      <c r="IP207" s="111"/>
      <c r="IQ207" s="112" t="str">
        <f>HYPERLINK("http://www.bamf.de/SharedDocs/Anlagen/DE/Publikationen/Flyer/Lernen-Sie-Deutsch/lernen-sie-deutsch_ku.pdf?__blob=publicationFile","x")</f>
        <v>x</v>
      </c>
      <c r="IR207" s="112"/>
      <c r="IS207" s="111"/>
      <c r="IT207" s="111"/>
      <c r="IU207" s="111"/>
      <c r="IV207" s="112" t="str">
        <f>HYPERLINK("http://www.asyl.net/fileadmin/user_upload/infoblatt_anhoerung/Kurd_final.pdf","x")</f>
        <v>x</v>
      </c>
      <c r="IW207" s="112"/>
      <c r="IX207" s="112"/>
      <c r="IY207" s="112"/>
      <c r="IZ207" s="111"/>
      <c r="JA207" s="111"/>
      <c r="JB207" s="111"/>
      <c r="JC207" s="112"/>
      <c r="JD207" s="111"/>
      <c r="JE207" s="112"/>
      <c r="JF207" s="112"/>
      <c r="JG207" s="111"/>
      <c r="JH207" s="111"/>
      <c r="JI207" s="111"/>
      <c r="JJ207" s="112"/>
      <c r="JK207" s="112"/>
      <c r="JL207" s="112"/>
      <c r="JM207" s="112"/>
      <c r="JN207" s="112"/>
      <c r="JO207" s="112"/>
      <c r="JP207" s="112"/>
      <c r="JQ207" s="112"/>
      <c r="JR207" s="112"/>
      <c r="JS207" s="112"/>
      <c r="JT207" s="111"/>
      <c r="JU207" s="111"/>
      <c r="JV207" s="111"/>
      <c r="JW207" s="112"/>
      <c r="JX207" s="112"/>
      <c r="JY207" s="112"/>
      <c r="JZ207" s="112"/>
      <c r="KA207" s="112"/>
      <c r="KB207" s="112" t="str">
        <f>HYPERLINK("http://www.refugeeguide.de/dl/RefugeeGuide_ku_1214.pdf","x")</f>
        <v>x</v>
      </c>
      <c r="KC207" s="111"/>
      <c r="KD207" s="112" t="str">
        <f>HYPERLINK("http://www.wedel.de/fileadmin/user_upload/media/pdf/Rathaus_und_Politik/20160118_PM_Broschuere.pdf","x")</f>
        <v>x</v>
      </c>
      <c r="KE207" s="112"/>
      <c r="KF207" s="111"/>
      <c r="KG207" s="112"/>
      <c r="KH207" s="112"/>
      <c r="KI207" s="112"/>
      <c r="KJ207" s="112"/>
      <c r="KK207" s="112"/>
      <c r="KL207" s="112"/>
      <c r="KM207" s="112"/>
      <c r="KN207" s="112"/>
      <c r="KO207" s="112"/>
      <c r="KP207" s="112"/>
      <c r="KQ207" s="112"/>
      <c r="KR207" s="112"/>
      <c r="KS207" s="112"/>
      <c r="KT207" s="112"/>
      <c r="KU207" s="112"/>
      <c r="KV207" s="112"/>
      <c r="KW207" s="112"/>
      <c r="KX207" s="112"/>
      <c r="KY207" s="112"/>
      <c r="KZ207" s="112"/>
      <c r="LA207" s="112"/>
      <c r="LB207" s="112"/>
      <c r="LC207" s="111"/>
      <c r="LD207" s="111"/>
      <c r="LE207" s="111"/>
      <c r="LF207" s="111"/>
      <c r="LG207" s="111"/>
      <c r="LH207" s="111"/>
      <c r="LI207" s="111"/>
      <c r="LJ207" s="111"/>
      <c r="LK207" s="111"/>
      <c r="LL207" s="111"/>
      <c r="LM207" s="111"/>
      <c r="LN207" s="111"/>
      <c r="LO207" s="111"/>
      <c r="LP207" s="111"/>
      <c r="LQ207" s="111"/>
      <c r="LR207" s="111"/>
      <c r="LS207" s="111"/>
      <c r="LT207" s="111"/>
      <c r="LU207" s="111"/>
      <c r="LV207" s="111"/>
      <c r="LW207" s="111"/>
      <c r="LX207" s="111"/>
      <c r="LY207" s="111"/>
      <c r="LZ207" s="111"/>
      <c r="MA207" s="111"/>
      <c r="MB207" s="111"/>
      <c r="MC207" s="111"/>
      <c r="MD207" s="111"/>
      <c r="ME207" s="111"/>
      <c r="MF207" s="111"/>
      <c r="MG207" s="111"/>
      <c r="MH207" s="111"/>
      <c r="MI207" s="111"/>
    </row>
    <row r="208" spans="1:347" x14ac:dyDescent="0.25">
      <c r="A208" s="102" t="s">
        <v>156</v>
      </c>
      <c r="B208" s="127" t="s">
        <v>7</v>
      </c>
      <c r="C208" s="102"/>
      <c r="D208" s="102"/>
      <c r="E208" s="102"/>
      <c r="F208" s="102"/>
      <c r="G208" s="102"/>
      <c r="H208" s="102"/>
      <c r="I208" s="102"/>
      <c r="J208" s="102"/>
      <c r="K208" s="103"/>
      <c r="L208" s="111"/>
      <c r="M208" s="111"/>
      <c r="N208" s="112" t="str">
        <f>HYPERLINK("http://www.ag-fluechtlingshilfe-wetterau.de/uploads/infos/170.pdf","x")</f>
        <v>x</v>
      </c>
      <c r="O208" s="112"/>
      <c r="P208" s="112" t="str">
        <f>HYPERLINK("https://willkommensteamelmshorn.files.wordpress.com/2015/11/sortieranleitung_pinneberg_2015_russisch.pdf","x")</f>
        <v>x</v>
      </c>
      <c r="Q208" s="112"/>
      <c r="R208" s="112"/>
      <c r="S208" s="112"/>
      <c r="T208" s="112"/>
      <c r="U208" s="112"/>
      <c r="V208" s="112"/>
      <c r="W208" s="111"/>
      <c r="X208" s="112"/>
      <c r="Y208" s="111"/>
      <c r="Z208" s="111"/>
      <c r="AA208" s="111"/>
      <c r="AB208" s="111"/>
      <c r="AC208" s="111"/>
      <c r="AD208" s="112" t="str">
        <f>HYPERLINK("http://www.rundfunkbeitrag.de/e175/e1634/Informationsflyer_Buerginnen_und_Buerger_russisch.pdf","x")</f>
        <v>x</v>
      </c>
      <c r="AE208" s="111"/>
      <c r="AF208" s="112" t="str">
        <f>HYPERLINK("http://www.kub-berlin.org/formularprojekt/de/russisch-antraege-und-anlagen/","x")</f>
        <v>x</v>
      </c>
      <c r="AG208" s="111"/>
      <c r="AH208" s="112" t="str">
        <f>HYPERLINK("http://sghanstedt.elbnetz.com/ueber-uns/","x")</f>
        <v>x</v>
      </c>
      <c r="AI208" s="111"/>
      <c r="AJ208" s="111"/>
      <c r="AK208" s="111"/>
      <c r="AL208" s="111"/>
      <c r="AM208" s="111"/>
      <c r="AN208" s="111"/>
      <c r="AO208" s="112"/>
      <c r="AP208" s="112"/>
      <c r="AQ208" s="112"/>
      <c r="AR208" s="112"/>
      <c r="AS208" s="112"/>
      <c r="AT208" s="112"/>
      <c r="AU208" s="112"/>
      <c r="AV208" s="113"/>
      <c r="AW208" s="114" t="str">
        <f t="shared" si="78"/>
        <v>x</v>
      </c>
      <c r="AX208" s="114" t="str">
        <f t="shared" si="79"/>
        <v>x</v>
      </c>
      <c r="AY208" s="111"/>
      <c r="AZ208" s="111"/>
      <c r="BA208" s="112" t="str">
        <f t="shared" si="80"/>
        <v>x</v>
      </c>
      <c r="BB208" s="112" t="str">
        <f t="shared" si="81"/>
        <v>x</v>
      </c>
      <c r="BC208" s="111"/>
      <c r="BD208" s="111"/>
      <c r="BE208" s="111"/>
      <c r="BF208" s="111"/>
      <c r="BG208" s="111"/>
      <c r="BH208" s="111"/>
      <c r="BI208" s="111"/>
      <c r="BJ208" s="111"/>
      <c r="BK208" s="112" t="str">
        <f>HYPERLINK("http://www.agf-trier.de/sites/default/files/bersetzungshilfe%20russisch%20allgemein.pdf","x")</f>
        <v>x</v>
      </c>
      <c r="BL208" s="111"/>
      <c r="BM208" s="112" t="str">
        <f>HYPERLINK("http://www.frnrw.de/images/Aus_den_Initiativen/Ehrenamtler/2015/Dictionary_x10_print-2.pdf","x")</f>
        <v>x</v>
      </c>
      <c r="BN208" s="111"/>
      <c r="BO208" s="111"/>
      <c r="BP208" s="111"/>
      <c r="BQ208" s="111"/>
      <c r="BR208" s="111"/>
      <c r="BS208" s="112" t="str">
        <f t="shared" si="82"/>
        <v>x</v>
      </c>
      <c r="BT208" s="112"/>
      <c r="BU208" s="111"/>
      <c r="BV208" s="112" t="str">
        <f t="shared" si="83"/>
        <v>x</v>
      </c>
      <c r="BW208" s="112" t="str">
        <f>HYPERLINK("http://www.welcomegrooves.de/wp-content/uploads/2015/10/welcomegrooves_DE-RUSSISCH.pdf","x")</f>
        <v>x</v>
      </c>
      <c r="BX208" s="112"/>
      <c r="BY208" s="112"/>
      <c r="BZ208" s="112"/>
      <c r="CA208" s="112" t="str">
        <f t="shared" si="84"/>
        <v>x</v>
      </c>
      <c r="CB208" s="112" t="str">
        <f t="shared" si="85"/>
        <v>x</v>
      </c>
      <c r="CC208" s="112" t="str">
        <f t="shared" si="86"/>
        <v>x</v>
      </c>
      <c r="CD208" s="112"/>
      <c r="CE208" s="112"/>
      <c r="CF208" s="112" t="str">
        <f>HYPERLINK("http://www.agf-trier.de/sites/default/files/bersetzungshilfe%20russisch%20f%C3%BCr%20Frauen.pdf","x")</f>
        <v>x</v>
      </c>
      <c r="CG208" s="112" t="str">
        <f>HYPERLINK("http://www.braunschweig.de/leben/frauen/hilfe/Ohne-Gewalt-leben.pdf","x")</f>
        <v>x</v>
      </c>
      <c r="CH208" s="112" t="str">
        <f>HYPERLINK("http://mifkjf.rlp.de/fileadmin/mifkjf/Frauen/Gewalt_gegen_Frauen/Downloads/Broschueren_Flyer/Flyer_Gewalt_russisch.pdf","x")</f>
        <v>x</v>
      </c>
      <c r="CI208" s="112" t="str">
        <f>HYPERLINK("https://www.hilfetelefon.de/fileadmin/hilfetelefon_de/Materialien/Flyer/Infoflyer_Hilfetelefon_Gewalt_gegen_Frauen141105_b2.pdf","x")</f>
        <v>x</v>
      </c>
      <c r="CJ208" s="112" t="str">
        <f>HYPERLINK("https://www.hilfetelefon.de/fileadmin/hilfetelefon_de/Materialien/weitere_werbemittel/Klappflyer_Vorder-_und_Rueckseite_opt2.pdf","x")</f>
        <v>x</v>
      </c>
      <c r="CK208" s="112" t="str">
        <f t="shared" si="87"/>
        <v>x</v>
      </c>
      <c r="CL208" s="112" t="str">
        <f>HYPERLINK("http://www.frauenberatungsstelle.de/pdf/Migrantinnen-beraten-Migrantinnen.pdf","x")</f>
        <v>x</v>
      </c>
      <c r="CM208" s="112"/>
      <c r="CN208" s="112"/>
      <c r="CO208" s="112"/>
      <c r="CP208" s="112" t="str">
        <f>HYPERLINK("http://www.schwanger-und-viele-fragen.de/ru/","x")</f>
        <v>x</v>
      </c>
      <c r="CQ208" s="112"/>
      <c r="CR208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08" s="112"/>
      <c r="CT208" s="112"/>
      <c r="CU208" s="112" t="str">
        <f>HYPERLINK("http://www.profamilia.de/fileadmin/publikationen/Erwachsene/mehrsprachig/verhuetung_russisch_2011.pdf","x")</f>
        <v>x</v>
      </c>
      <c r="CV208" s="112" t="str">
        <f>HYPERLINK("http://www.profamilia.de/fileadmin/publikationen/Erwachsene/mehrsprachig/Pille_danach_russisch_2012.pdf","x")</f>
        <v>x</v>
      </c>
      <c r="CW208" s="112" t="str">
        <f>HYPERLINK("http://www.profamilia.de/fileadmin/publikationen/Reihe_Verhuetungsmethoden/Einleger_Russisch.pdf","x")</f>
        <v>x</v>
      </c>
      <c r="CX208" s="112" t="str">
        <f>HYPERLINK("http://www.profamilia.de/fileadmin/publikationen/Erwachsene/mehrsprachig/schwangerschaftsabbruch_russisch.pdf","x")</f>
        <v>x</v>
      </c>
      <c r="CY208" s="112" t="str">
        <f>HYPERLINK("http://www.caritas-schwarzwald-alb-donau.de/68854.html","x")</f>
        <v>x</v>
      </c>
      <c r="CZ208" s="112" t="str">
        <f>HYPERLINK("http://www.dgfpi.de/tl_files/download/medien/unwissen-macht-ru.pdf","x")</f>
        <v>x</v>
      </c>
      <c r="DA208" s="112"/>
      <c r="DB208" s="112"/>
      <c r="DC208" s="115" t="str">
        <f>HYPERLINK("http://www.kindersicherheit.de/pdf/2012_Bilderbuch-Gift-Russisch.pdf","x")</f>
        <v>x</v>
      </c>
      <c r="DD208" s="112"/>
      <c r="DE208" s="112"/>
      <c r="DF208" s="112" t="str">
        <f t="shared" si="88"/>
        <v>x</v>
      </c>
      <c r="DG208" s="115" t="str">
        <f t="shared" si="89"/>
        <v>x</v>
      </c>
      <c r="DH208" s="112" t="str">
        <f t="shared" si="90"/>
        <v>x</v>
      </c>
      <c r="DI208" s="112" t="str">
        <f t="shared" si="91"/>
        <v>x</v>
      </c>
      <c r="DJ208" s="112" t="str">
        <f>HYPERLINK("http://www.bibliomedia.ch/de/angebote/dokumente/Glossar_russisch.pdf","x")</f>
        <v>x</v>
      </c>
      <c r="DK208" s="112"/>
      <c r="DL208" s="112"/>
      <c r="DM208" s="112"/>
      <c r="DN208" s="112"/>
      <c r="DO208" s="112"/>
      <c r="DP208" s="111"/>
      <c r="DQ208" s="112" t="str">
        <f>HYPERLINK("http://tipdoc.de/bus/grafik/kinder-tip/SCHULTIP_give_didacta.pdf","x")</f>
        <v>x</v>
      </c>
      <c r="DR208" s="112" t="str">
        <f>HYPERLINK("https://broschueren.nordrheinwestfalendirekt.de/broschuerenservice/msw/rus-das-schulsystem-in-nordrhein-westfalen-einfach-und-schnell-erklaert/1905","x")</f>
        <v>x</v>
      </c>
      <c r="DS208" s="112" t="str">
        <f>HYPERLINK("http://bildung.koeln.de/materialbibliothek/download.php?idx=89409237e8c48c84d1f410e2c231c942","x")</f>
        <v>x</v>
      </c>
      <c r="DT208" s="112" t="str">
        <f>HYPERLINK("http://bildung.koeln.de/materialbibliothek/download.php?idx=3e35937e1b8f8986880efaf07701a323","x")</f>
        <v>x</v>
      </c>
      <c r="DU208" s="112"/>
      <c r="DV208" s="112" t="str">
        <f>HYPERLINK("https://www.bmbf.de/pub/Kausa_Elternbroschuere_russisch.pdf","x")</f>
        <v>x</v>
      </c>
      <c r="DW208" s="112"/>
      <c r="DX208" s="112"/>
      <c r="DY208" s="112" t="str">
        <f>HYPERLINK("http://www.bamf.de/SharedDocs/Anlagen/DE/Publikationen/Flyer/AnerkennungBerufsabschluss/berufliche_anerkennung_akademische-heilberufe_ru.pdf?__blob=publicationFile","x")</f>
        <v>x</v>
      </c>
      <c r="DZ208" s="112" t="str">
        <f>HYPERLINK("http://www.bamf.de/SharedDocs/Anlagen/RU/Publikationen/Flyer/AnerkennungBerufsabschluss/anerkennung-berufsabschluss.pdf?__blob=publicationFile","x")</f>
        <v>x</v>
      </c>
      <c r="EA208" s="112" t="str">
        <f>HYPERLINK("http://www.bamf.de/SharedDocs/Anlagen/RU/Publikationen/Flyer/AnerkennungBerufsabschluss/anerkennung-berufsabschluss_ausland.pdf?__blob=publicationFile","x")</f>
        <v>x</v>
      </c>
      <c r="EB208" s="112" t="str">
        <f>HYPERLINK("http://www.bamf.de/SharedDocs/Anlagen/DE/Publikationen/Broschueren/willkommen-in-deutschland-info-blaue-karte-eu_ru.pdf?__blob=publicationFile","x")</f>
        <v>x</v>
      </c>
      <c r="EC208" s="112" t="str">
        <f>HYPERLINK("http://www.bamf.de/SharedDocs/Anlagen/RU/Publikationen/Flyer/Berufsbezsprachf-ESF-BAMF/berufsbezsprachf-esf-bamf.pdf?__blob=publicationFile","x")</f>
        <v>x</v>
      </c>
      <c r="ED208" s="111"/>
      <c r="EE208" s="111"/>
      <c r="EF208" s="111"/>
      <c r="EG208" s="111"/>
      <c r="EH208" s="111"/>
      <c r="EI208" s="111"/>
      <c r="EJ208" s="112"/>
      <c r="EK208" s="112"/>
      <c r="EL208" s="112"/>
      <c r="EM208" s="112" t="str">
        <f>HYPERLINK("http://www.kvs-sachsen.de/fileadmin/img/Mitglieder/Asylbewerber/Allg-Informationen/Anlage_1_Russisch_LEK.pdf","x")</f>
        <v>x</v>
      </c>
      <c r="EN208" s="112" t="str">
        <f>HYPERLINK("http://www.medizin-hilft-fluechtlingen.de/images/Dokumente/gSch/gSch_ru.pdf","x")</f>
        <v>x</v>
      </c>
      <c r="EO208" s="111"/>
      <c r="EP208" s="117" t="str">
        <f>HYPERLINK("http://www.medi-bild.de/pdf/anamnese/Welche_Sprache.pdf","x")</f>
        <v>x</v>
      </c>
      <c r="EQ208" s="117" t="str">
        <f>HYPERLINK("http://www.armut-gesundheit.de/fileadmin/redakteur/dokumente/Anamnesebogen%20-%20russischnew.pdf","x")</f>
        <v>x</v>
      </c>
      <c r="ER208" s="112" t="str">
        <f>HYPERLINK("http://www.kvs-sachsen.de/fileadmin/img/Mitglieder/Asylbewerber/Allg-Informationen/Anlagen_2-1_2-2_Russisch_LEK.pdf","x")</f>
        <v>x</v>
      </c>
      <c r="ES208" s="111"/>
      <c r="ET208" s="111"/>
      <c r="EU208" s="111"/>
      <c r="EV208" s="111"/>
      <c r="EW208" s="112" t="str">
        <f t="shared" si="92"/>
        <v>x</v>
      </c>
      <c r="EX208" s="112" t="str">
        <f>HYPERLINK("http://www.rki.de/DE/Content/Infekt/IfSG/Belehrungsbogen/belehrungsbogen_eltern_russisch.pdf?__blob=publicationFile","x")</f>
        <v>x</v>
      </c>
      <c r="EY208" s="112" t="str">
        <f>HYPERLINK("http://www.bzga.de/infomaterialien/?sid=236","x")</f>
        <v>x</v>
      </c>
      <c r="EZ208" s="112" t="str">
        <f>HYPERLINK("https://www.mh-hannover.de/fileadmin/mhh/bilder/aktuelles_presse/presseinformationen_news/-Pilzvergif_RUSSISCH_2.pdf","x")</f>
        <v>x</v>
      </c>
      <c r="FA208" s="112"/>
      <c r="FB208" s="111"/>
      <c r="FC208" s="111"/>
      <c r="FD208" s="112" t="str">
        <f t="shared" si="93"/>
        <v>x</v>
      </c>
      <c r="FE208" s="112" t="str">
        <f>HYPERLINK("http://sghanstedt.elbnetz.com/ueber-uns/","x")</f>
        <v>x</v>
      </c>
      <c r="FF208" s="111"/>
      <c r="FG208" s="112" t="str">
        <f>HYPERLINK("http://www.tipdoc.de/grafik/asyl/Gesundheitsheft_Asyl.pdf","x")</f>
        <v>x</v>
      </c>
      <c r="FH208" s="111"/>
      <c r="FI208" s="111"/>
      <c r="FJ208" s="112"/>
      <c r="FK208" s="112" t="str">
        <f>HYPERLINK("http://www.rki.de/DE/Content/Infekt/Impfen/Materialien/Downloads-Impfkalender/Impfkalender_Russisch.pdf?__blob=publicationFile","x")</f>
        <v>x</v>
      </c>
      <c r="FL208" s="112" t="str">
        <f>HYPERLINK("http://www.ethno-medizinisches-zentrum.de/images/PDF-Files/impfwegweiser_russisch_2013_online.pdf","x")</f>
        <v>x</v>
      </c>
      <c r="FM208" s="112"/>
      <c r="FN208" s="112" t="str">
        <f>HYPERLINK("http://www.rki.de/DE/Content/Infekt/Impfen/Materialien/Glossar-Downloads/glossar-de-russisch.pdf?__blob=publicationFile","x")</f>
        <v>x</v>
      </c>
      <c r="FO208" s="112" t="str">
        <f>HYPERLINK("http://tvoyashkola10.ru/img/VPD-Signs,-symptoms-and-complications-RUS.pdf","x")</f>
        <v>x</v>
      </c>
      <c r="FP208" s="112" t="str">
        <f>HYPERLINK("http://www.rki.de/DE/Content/Infekt/Impfen/Materialien/Downloads-MMR/MMR-Impfinfo-russisch.pdf?__blob=publicationFile","x")</f>
        <v>x</v>
      </c>
      <c r="FQ208" s="112"/>
      <c r="FR208" s="112" t="str">
        <f>HYPERLINK("http://www.rki.de/DE/Content/Infekt/Impfen/Materialien/Downloads_HepA/Aufklaerung_HAV-Impfung_Russisch.pdf?__blob=publicationFile","x")</f>
        <v>x</v>
      </c>
      <c r="FS208" s="112" t="str">
        <f>HYPERLINK("http://www.rki.de/DE/Content/Infekt/Impfen/Materialien/Downloads_Pneumokokken/Aufklaerung_Pneumo-Impfung_Russisch.pdf?__blob=publicationFile","x")</f>
        <v>x</v>
      </c>
      <c r="FT208" s="112" t="str">
        <f>HYPERLINK("http://www.rki.de/DE/Content/Infekt/Impfen/Materialien/Downloads-DTaPIPVHibHepB/DTaPIPVHibHepB-russisch.pdf?__blob=publicationFile","x")</f>
        <v>x</v>
      </c>
      <c r="FU208" s="112" t="str">
        <f>HYPERLINK("http://www.rki.de/DE/Content/Infekt/Impfen/Materialien/Downloads-Varizellen/Varizellen-Impfinfo-russisch.pdf;jsessionid=65B697F4EE7EDA8A1ED9E2C4CD6C74EC.2_cid363?__blob=publicationFile","x")</f>
        <v>x</v>
      </c>
      <c r="FV208" s="112" t="str">
        <f>HYPERLINK("http://www.rki.de/DE/Content/Infekt/Impfen/Materialien/Downloads-Tdap-IPV/Tdap-IPV-russisch.pdf?__blob=publicationFile","x")</f>
        <v>x</v>
      </c>
      <c r="FW208" s="112" t="str">
        <f>HYPERLINK("http://www.rki.de/DE/Content/Infekt/Impfen/Materialien/Downloads-Influenza_nasal/Influenza_nasal-russisch.pdf?__blob=publicationFile","x")</f>
        <v>x</v>
      </c>
      <c r="FX208" s="112" t="str">
        <f>HYPERLINK("http://www.medical-tribune.de/fileadmin/PDF/PI_Arthrose_russ.pdf","x")</f>
        <v>x</v>
      </c>
      <c r="FY208" s="112" t="str">
        <f>HYPERLINK("http://www.medical-tribune.de/fileadmin/PDF/Astma_russisch.pdf","x")</f>
        <v>x</v>
      </c>
      <c r="FZ208" s="112" t="str">
        <f>HYPERLINK("http://www.medical-tribune.de/fileadmin/PDF/Bluthochdruck_russisch.pdf","x")</f>
        <v>x</v>
      </c>
      <c r="GA208" s="112" t="str">
        <f>HYPERLINK("http://www.medical-tribune.de/fileadmin/PDF/Cholesterin_russisch.pdf","x")</f>
        <v>x</v>
      </c>
      <c r="GB208" s="112" t="str">
        <f>HYPERLINK("http://www.medical-tribune.de/fileadmin/PDF/COPD-Bronchitis-russ.pdf","x")</f>
        <v>x</v>
      </c>
      <c r="GC208" s="112" t="str">
        <f>HYPERLINK("http://www.medical-tribune.de/fileadmin/PDF/PI_Demenz_russ.pdf","x")</f>
        <v>x</v>
      </c>
      <c r="GD208" s="112" t="str">
        <f>HYPERLINK("http://www.ethno-medizinisches-zentrum.de/images/PDF-Files/lf_diabete_russisch.pdf","x")</f>
        <v>x</v>
      </c>
      <c r="GE208" s="112" t="str">
        <f>HYPERLINK("http://www.medical-tribune.de/fileadmin/PDF/PI_Divertikel_russ.pdf","x")</f>
        <v>x</v>
      </c>
      <c r="GF208" s="112" t="str">
        <f>HYPERLINK("http://www.medical-tribune.de/fileadmin/PDF/PAVK_russ.pdf","x")</f>
        <v>x</v>
      </c>
      <c r="GG208" s="112" t="str">
        <f>HYPERLINK("http://www.medical-tribune.de/fileadmin/PDF/PI_Gallensteine_russ.pdf","x")</f>
        <v>x</v>
      </c>
      <c r="GH208" s="112" t="str">
        <f>HYPERLINK("http://www.medical-tribune.de/fileadmin/PDF/Gicht_russisch.pdf","x")</f>
        <v>x</v>
      </c>
      <c r="GI208" s="112" t="str">
        <f>HYPERLINK("http://www.tipdoc.de/bus/pdf/hepatitis/Hep_B_Webseite.pdf","x")</f>
        <v>x</v>
      </c>
      <c r="GJ208" s="112" t="str">
        <f>HYPERLINK("http://www.tipdoc.de/bus/pdf/hepatitis/Hep_C_Webseite.pdf","x")</f>
        <v>x</v>
      </c>
      <c r="GK208" s="112" t="str">
        <f>HYPERLINK("http://www.tipdoc.de/bus/pdf/hiv/HIV%20SRF_Webseite.pdf","x")</f>
        <v>x</v>
      </c>
      <c r="GL208" s="111"/>
      <c r="GM208" s="112" t="str">
        <f>HYPERLINK("http://www.rki.de/DE/Content/Infekt/Impfen/Materialien/Downloads-Influenza/Influenza-russisch.pdf?__blob=publicationFile","x")</f>
        <v>x</v>
      </c>
      <c r="GN208" s="112" t="str">
        <f>HYPERLINK("http://www.medical-tribune.de/fileadmin/PDF/PI_Erkaeltung_russ.pdf","x")</f>
        <v>x</v>
      </c>
      <c r="GO208" s="112"/>
      <c r="GP208" s="112" t="str">
        <f>HYPERLINK("http://www.tipdoc.de/grafik/pdf/kopflaeuse/Kopflaeuse_RUSS.pdf","x")</f>
        <v>x</v>
      </c>
      <c r="GQ208" s="112" t="str">
        <f>HYPERLINK("http://www.bing.com/search?q=Medical+tribune+KHK+russ&amp;qs=n&amp;form=QBRE&amp;pq=medical+tribune+khk+russ&amp;sc=0-16&amp;sp=-1&amp;sk=&amp;cvid=9C7440E0A0144B029D31F2004BF1F219","x")</f>
        <v>x</v>
      </c>
      <c r="GR208" s="112" t="str">
        <f>HYPERLINK("http://www.tipdoc.com/bus/pdf/kraetze/tipdoc_Scabies_RUSS.pdf","x")</f>
        <v>x</v>
      </c>
      <c r="GS208" s="112" t="str">
        <f>HYPERLINK("http://www.tipdoc.com/bus/pdf/MagenDarmHaende/MagenDarmHaende_RUSS.pdf","x")</f>
        <v>x</v>
      </c>
      <c r="GT208" s="112" t="str">
        <f>HYPERLINK("http://www.medical-tribune.de/fileadmin/PDF/Migraene_russ.pdf","x")</f>
        <v>x</v>
      </c>
      <c r="GU208" s="112" t="str">
        <f>HYPERLINK("http://www.medical-tribune.de/fileadmin/PDF/Rueckenschmerzen_russisch.pdf","x")</f>
        <v>x</v>
      </c>
      <c r="GV208" s="112" t="str">
        <f>HYPERLINK("http://www.medical-tribune.de/fileadmin/PDF/Schlafapnoe_russisch.pdf","x")</f>
        <v>x</v>
      </c>
      <c r="GW208" s="112" t="str">
        <f>HYPERLINK("http://www.medical-tribune.de/fileadmin/PDF/Schlafstoerungen_russisch.pdf","x")</f>
        <v>x</v>
      </c>
      <c r="GX208" s="112" t="str">
        <f>HYPERLINK("http://www.medical-tribune.de/fileadmin/PDF/Schwindel_russisch.pdf","x")</f>
        <v>x</v>
      </c>
      <c r="GY208" s="112" t="str">
        <f>HYPERLINK("http://www.medical-tribune.de/fileadmin/PDF/Sodbrennen_russisch.pdf","x")</f>
        <v>x</v>
      </c>
      <c r="GZ208" s="112" t="str">
        <f>HYPERLINK("http://www.medical-tribune.de/fileadmin/PDF/Sportverletzungen_russisch.pdf","x")</f>
        <v>x</v>
      </c>
      <c r="HA208" s="112" t="str">
        <f>HYPERLINK("http://www.medical-tribune.de/fileadmin/PDF/Thrombose_russisch.pdf","x")</f>
        <v>x</v>
      </c>
      <c r="HB208" s="112" t="str">
        <f>HYPERLINK("http://www.medical-tribune.de/fileadmin/PDF/Verstopfung_russisch.pdf","x")</f>
        <v>x</v>
      </c>
      <c r="HC208" s="112" t="str">
        <f t="shared" si="94"/>
        <v>x</v>
      </c>
      <c r="HD208" s="111"/>
      <c r="HE208" s="111"/>
      <c r="HF208" s="111"/>
      <c r="HG208" s="111"/>
      <c r="HH208" s="111"/>
      <c r="HI208" s="112" t="str">
        <f>HYPERLINK("http://www.bvkm.de/fileadmin/web_data/Behinderung_und_Migation_russisch_2014.pdf","x")</f>
        <v>x</v>
      </c>
      <c r="HJ208" s="111"/>
      <c r="HK208" s="112"/>
      <c r="HL208" s="112" t="str">
        <f>HYPERLINK("http://www.ethno-medizinisches-zentrum.de/images/PDF-Files/lf_depression_rus.pdf","x")</f>
        <v>x</v>
      </c>
      <c r="HM208" s="112"/>
      <c r="HN208" s="112"/>
      <c r="HO208" s="112"/>
      <c r="HP208" s="112"/>
      <c r="HQ208" s="112"/>
      <c r="HR208" s="112"/>
      <c r="HS208" s="112"/>
      <c r="HT208" s="112"/>
      <c r="HU208" s="112"/>
      <c r="HV208" s="112"/>
      <c r="HW208" s="112" t="str">
        <f>HYPERLINK("http://www.medical-tribune.de/fileadmin/PDF/RestlessLegs_russ.pdf","x")</f>
        <v>x</v>
      </c>
      <c r="HX208" s="112" t="str">
        <f>HYPERLINK("http://www.bkk-psychisch-gesund.de/fileadmin/user_upload/bkk-psychisch-gesund.de/PDFs/Migrantenwegweiser_Psychotherpie_russisch.pdf","x")</f>
        <v>x</v>
      </c>
      <c r="HY208" s="112" t="str">
        <f t="shared" si="95"/>
        <v>x</v>
      </c>
      <c r="HZ208" s="112" t="str">
        <f t="shared" si="96"/>
        <v>x</v>
      </c>
      <c r="IA208" s="112"/>
      <c r="IB208" s="112"/>
      <c r="IC208" s="112"/>
      <c r="ID208" s="112"/>
      <c r="IE208" s="112"/>
      <c r="IF208" s="112"/>
      <c r="IG208" s="112"/>
      <c r="IH208" s="112" t="str">
        <f>HYPERLINK("http://www.ethno-medizinisches-zentrum.de/images/PDF-Files/lf_mediensucht_ru_geschutzt.pdf","x")</f>
        <v>x</v>
      </c>
      <c r="II208" s="112" t="str">
        <f>HYPERLINK("http://www.caritas.de/hilfeundberatung/onlineberatung/suchtberatung/haeufiggestelltefragensucht/haeufiggestelltefragen-sucht","x")</f>
        <v>x</v>
      </c>
      <c r="IJ208" s="112" t="str">
        <f>HYPERLINK("http://www.bzga.de/infomaterialien/suchtvorbeugung/","x")</f>
        <v>x</v>
      </c>
      <c r="IK208" s="112" t="str">
        <f>HYPERLINK("http://www.bamf.de/SharedDocs/Anlagen/RU/Publikationen/Flyer/Lassen-Sie-Sich-Beraten/lassen-sie-sich-beraten.pdf?__blob=publicationFile","x")</f>
        <v>x</v>
      </c>
      <c r="IL208" s="112" t="str">
        <f>HYPERLINK("http://www.bamf.de/SharedDocs/Anlagen/DE/Publikationen/Flyer/flyer-erstorientierung-asylsuchende_russisch.pdf?__blob=publicationFile","x")</f>
        <v>x</v>
      </c>
      <c r="IM208" s="111"/>
      <c r="IN208" s="112" t="str">
        <f>HYPERLINK("https://www.bamf.de/SharedDocs/Anlagen/RU/Publikationen/Broschueren/willkommen-in-deutschland-ru.pdf?__blob=publicationFile","x")</f>
        <v>x</v>
      </c>
      <c r="IO208" s="112"/>
      <c r="IP208" s="111"/>
      <c r="IQ208" s="112" t="str">
        <f>HYPERLINK("http://www.bamf.de/SharedDocs/Anlagen/RU/Publikationen/Flyer/Lernen-Sie-Deutsch/lernen-sie-deutsch.pdf?__blob=publicationFile","x")</f>
        <v>x</v>
      </c>
      <c r="IR208" s="112"/>
      <c r="IS208" s="111"/>
      <c r="IT208" s="111"/>
      <c r="IU208" s="111"/>
      <c r="IV208" s="112" t="str">
        <f>HYPERLINK("http://www.asyl.net/fileadmin/user_upload/infoblatt_anhoerung/Infoblatt_2015_russ_fin.pdf","x")</f>
        <v>x</v>
      </c>
      <c r="IW208" s="112"/>
      <c r="IX208" s="112" t="str">
        <f>HYPERLINK("http://www.berlin.de/labo/willkommen-in-berlin/service/downloads/artikel.273193.php","x")</f>
        <v>x</v>
      </c>
      <c r="IY208" s="112" t="str">
        <f>HYPERLINK("http://www.bamf.de/SharedDocs/Anlagen/RU/Publikationen/Broschueren/broschuere-eat-a4.pdf?__blob=publicationFile","x")</f>
        <v>x</v>
      </c>
      <c r="IZ208" s="111"/>
      <c r="JA208" s="112" t="str">
        <f>HYPERLINK("http://fluechtlingsrat-bw.de/informationen-fuer-fluechtlinge.html","x")</f>
        <v>x</v>
      </c>
      <c r="JB208" s="111"/>
      <c r="JC208" s="112"/>
      <c r="JD208" s="111"/>
      <c r="JE208" s="112"/>
      <c r="JF208" s="112"/>
      <c r="JG208" s="112" t="str">
        <f>HYPERLINK("http://www.bamf.de/SharedDocs/Anlagen/RU/Publikationen/Flyer/Ehegattennachzug/ehegattennachzug.pdf?__blob=publicationFile","x")</f>
        <v>x</v>
      </c>
      <c r="JH208" s="112"/>
      <c r="JI208" s="111"/>
      <c r="JJ208" s="112"/>
      <c r="JK208" s="112"/>
      <c r="JL208" s="112" t="str">
        <f>HYPERLINK("http://www.kub-berlin.org/formularprojekt/de/russisch-antraege-und-anlagen/","x")</f>
        <v>x</v>
      </c>
      <c r="JM208" s="112" t="str">
        <f>HYPERLINK("https://www.arbeitsagentur.de/web/content/DE/Formulare/Detail/index.htm?dfContentId=L6019022DSTBAI485740","x")</f>
        <v>x</v>
      </c>
      <c r="JN208" s="112"/>
      <c r="JO208" s="112"/>
      <c r="JP208" s="112"/>
      <c r="JQ208" s="112"/>
      <c r="JR208" s="112" t="str">
        <f>HYPERLINK("http://www.ibla-germany.de/merkblaetter.php","x")</f>
        <v>x</v>
      </c>
      <c r="JS208" s="112"/>
      <c r="JT208" s="112" t="str">
        <f>HYPERLINK("http://www.b-umf.de/images/willkommensbroschurerussisch-web.pdf","x")</f>
        <v>x</v>
      </c>
      <c r="JU208" s="111"/>
      <c r="JV208" s="111"/>
      <c r="JW208" s="112"/>
      <c r="JX208" s="112"/>
      <c r="JY208" s="112"/>
      <c r="JZ208" s="112"/>
      <c r="KA208" s="112"/>
      <c r="KB208" s="112" t="str">
        <f>HYPERLINK("http://www.refugeeguide.de/dl/RefugeeGuide_ru_1207.pdf","x")</f>
        <v>x</v>
      </c>
      <c r="KC208" s="111"/>
      <c r="KD208" s="112" t="str">
        <f>HYPERLINK("http://www.wedel.de/fileadmin/user_upload/media/pdf/Rathaus_und_Politik/20160118_PM_Broschuere.pdf","x")</f>
        <v>x</v>
      </c>
      <c r="KE208" s="112"/>
      <c r="KF208" s="112" t="str">
        <f>HYPERLINK("http://sab.landtag.sachsen.de/dokumente/landtagskurier/Grundwerte-A5-international_web_08012016.pdf","x")</f>
        <v>x</v>
      </c>
      <c r="KG208" s="112"/>
      <c r="KH208" s="112"/>
      <c r="KI208" s="112"/>
      <c r="KJ208" s="112"/>
      <c r="KK208" s="112"/>
      <c r="KL208" s="112"/>
      <c r="KM208" s="112"/>
      <c r="KN208" s="112"/>
      <c r="KO208" s="112"/>
      <c r="KP208" s="112"/>
      <c r="KQ208" s="112"/>
      <c r="KR208" s="112"/>
      <c r="KS208" s="112"/>
      <c r="KT208" s="112"/>
      <c r="KU208" s="112"/>
      <c r="KV208" s="112"/>
      <c r="KW208" s="112"/>
      <c r="KX208" s="112"/>
      <c r="KY208" s="112"/>
      <c r="KZ208" s="112"/>
      <c r="LA208" s="112"/>
      <c r="LB208" s="112"/>
      <c r="LC208" s="111"/>
      <c r="LD208" s="111"/>
      <c r="LE208" s="111"/>
      <c r="LF208" s="111"/>
      <c r="LG208" s="111"/>
      <c r="LH208" s="111"/>
      <c r="LI208" s="111"/>
      <c r="LJ208" s="111"/>
      <c r="LK208" s="111"/>
      <c r="LL208" s="111"/>
      <c r="LM208" s="111"/>
      <c r="LN208" s="111"/>
      <c r="LO208" s="111"/>
      <c r="LP208" s="111"/>
      <c r="LQ208" s="111"/>
      <c r="LR208" s="111"/>
      <c r="LS208" s="111"/>
      <c r="LT208" s="111"/>
      <c r="LU208" s="111"/>
      <c r="LV208" s="111"/>
      <c r="LW208" s="111"/>
      <c r="LX208" s="111"/>
      <c r="LY208" s="111"/>
      <c r="LZ208" s="111"/>
      <c r="MA208" s="111"/>
      <c r="MB208" s="111"/>
      <c r="MC208" s="111"/>
      <c r="MD208" s="112" t="str">
        <f>HYPERLINK("http://www.rki.de/DE/Content/Infekt/IfSG/Belehrungsbogen/belehrungsbogen_lebensmittel_russisch.pdf?__blob=publicationFile","x")</f>
        <v>x</v>
      </c>
      <c r="ME208" s="111"/>
      <c r="MF208" s="111"/>
      <c r="MG208" s="111"/>
      <c r="MH208" s="111"/>
      <c r="MI208" s="112" t="str">
        <f>HYPERLINK("http://www.kindersicherheit.de/pdf/2012_poster_achtunggiftig_8sprachig.pdf","x")</f>
        <v>x</v>
      </c>
    </row>
    <row r="209" spans="1:347" x14ac:dyDescent="0.25">
      <c r="A209" s="102" t="s">
        <v>156</v>
      </c>
      <c r="B209" s="127" t="s">
        <v>154</v>
      </c>
      <c r="C209" s="102"/>
      <c r="D209" s="102"/>
      <c r="E209" s="102"/>
      <c r="F209" s="102"/>
      <c r="G209" s="102"/>
      <c r="H209" s="102"/>
      <c r="I209" s="102"/>
      <c r="J209" s="102"/>
      <c r="K209" s="103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3"/>
      <c r="AW209" s="114" t="str">
        <f t="shared" si="78"/>
        <v>x</v>
      </c>
      <c r="AX209" s="114" t="str">
        <f t="shared" si="79"/>
        <v>x</v>
      </c>
      <c r="AY209" s="111"/>
      <c r="AZ209" s="111"/>
      <c r="BA209" s="112" t="str">
        <f t="shared" si="80"/>
        <v>x</v>
      </c>
      <c r="BB209" s="112" t="str">
        <f t="shared" si="81"/>
        <v>x</v>
      </c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2" t="str">
        <f t="shared" si="82"/>
        <v>x</v>
      </c>
      <c r="BT209" s="112"/>
      <c r="BU209" s="111"/>
      <c r="BV209" s="112" t="str">
        <f t="shared" si="83"/>
        <v>x</v>
      </c>
      <c r="BW209" s="112"/>
      <c r="BX209" s="112"/>
      <c r="BY209" s="112"/>
      <c r="BZ209" s="112"/>
      <c r="CA209" s="112" t="str">
        <f t="shared" si="84"/>
        <v>x</v>
      </c>
      <c r="CB209" s="112" t="str">
        <f t="shared" si="85"/>
        <v>x</v>
      </c>
      <c r="CC209" s="112" t="str">
        <f t="shared" si="86"/>
        <v>x</v>
      </c>
      <c r="CD209" s="112"/>
      <c r="CE209" s="112"/>
      <c r="CF209" s="111"/>
      <c r="CG209" s="111"/>
      <c r="CH209" s="111"/>
      <c r="CI209" s="111"/>
      <c r="CJ209" s="111"/>
      <c r="CK209" s="112" t="str">
        <f t="shared" si="87"/>
        <v>x</v>
      </c>
      <c r="CL209" s="112"/>
      <c r="CM209" s="112"/>
      <c r="CN209" s="112"/>
      <c r="CO209" s="112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2"/>
      <c r="DA209" s="112"/>
      <c r="DB209" s="112"/>
      <c r="DC209" s="115"/>
      <c r="DD209" s="112"/>
      <c r="DE209" s="112"/>
      <c r="DF209" s="112" t="str">
        <f t="shared" si="88"/>
        <v>x</v>
      </c>
      <c r="DG209" s="115" t="str">
        <f t="shared" si="89"/>
        <v>x</v>
      </c>
      <c r="DH209" s="112" t="str">
        <f t="shared" si="90"/>
        <v>x</v>
      </c>
      <c r="DI209" s="112" t="str">
        <f t="shared" si="91"/>
        <v>x</v>
      </c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8"/>
      <c r="EQ209" s="118"/>
      <c r="ER209" s="111"/>
      <c r="ES209" s="111"/>
      <c r="ET209" s="111"/>
      <c r="EU209" s="111"/>
      <c r="EV209" s="111"/>
      <c r="EW209" s="112" t="str">
        <f t="shared" si="92"/>
        <v>x</v>
      </c>
      <c r="EX209" s="111"/>
      <c r="EY209" s="111"/>
      <c r="EZ209" s="111"/>
      <c r="FA209" s="111"/>
      <c r="FB209" s="111"/>
      <c r="FC209" s="111"/>
      <c r="FD209" s="112" t="str">
        <f t="shared" si="93"/>
        <v>x</v>
      </c>
      <c r="FE209" s="111"/>
      <c r="FF209" s="111"/>
      <c r="FG209" s="111"/>
      <c r="FH209" s="111"/>
      <c r="FI209" s="111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1"/>
      <c r="FW209" s="111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1"/>
      <c r="GK209" s="111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2" t="str">
        <f t="shared" si="94"/>
        <v>x</v>
      </c>
      <c r="HD209" s="112" t="str">
        <f>HYPERLINK("https://www.zahnaerzte-wl.de/images/_PDF-suche/KZV_ZÄK/ENDSTAND_Ankreuzbogen_Ich_verstehe.pdf","x")</f>
        <v>x</v>
      </c>
      <c r="HE209" s="112" t="str">
        <f>HYPERLINK("https://www.zahnaerzte-wl.de/images/_PDF-suche/KZV_ZÄK/Anschreiben_Patienten_usbekisch.pdf","x")</f>
        <v>x</v>
      </c>
      <c r="HF209" s="112" t="str">
        <f>HYPERLINK("https://www.zahnaerzte-wl.de/images/_PDF-suche/KZV_ZÄK/Fragebogen_usbekisch.pdf","x")</f>
        <v>x</v>
      </c>
      <c r="HG209" s="112" t="str">
        <f>HYPERLINK("https://www.zahnaerzte-wl.de/images/_PDF-suche/KZV_ZÄK/Patientenerhebungsbogen_usbekisch.pdf","x")</f>
        <v>x</v>
      </c>
      <c r="HH209" s="112"/>
      <c r="HI209" s="112"/>
      <c r="HJ209" s="112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2" t="str">
        <f t="shared" si="95"/>
        <v>x</v>
      </c>
      <c r="HZ209" s="112" t="str">
        <f t="shared" si="96"/>
        <v>x</v>
      </c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  <c r="IY209" s="111"/>
      <c r="IZ209" s="111"/>
      <c r="JA209" s="111"/>
      <c r="JB209" s="111"/>
      <c r="JC209" s="111"/>
      <c r="JD209" s="111"/>
      <c r="JE209" s="111"/>
      <c r="JF209" s="111"/>
      <c r="JG209" s="111"/>
      <c r="JH209" s="111"/>
      <c r="JI209" s="111"/>
      <c r="JJ209" s="111"/>
      <c r="JK209" s="111"/>
      <c r="JL209" s="111"/>
      <c r="JM209" s="111"/>
      <c r="JN209" s="111"/>
      <c r="JO209" s="111"/>
      <c r="JP209" s="111"/>
      <c r="JQ209" s="111"/>
      <c r="JR209" s="111"/>
      <c r="JS209" s="111"/>
      <c r="JT209" s="111"/>
      <c r="JU209" s="111"/>
      <c r="JV209" s="111"/>
      <c r="JW209" s="111"/>
      <c r="JX209" s="111"/>
      <c r="JY209" s="111"/>
      <c r="JZ209" s="111"/>
      <c r="KA209" s="111"/>
      <c r="KB209" s="111"/>
      <c r="KC209" s="111"/>
      <c r="KD209" s="111"/>
      <c r="KE209" s="111"/>
      <c r="KF209" s="111"/>
      <c r="KG209" s="111"/>
      <c r="KH209" s="111"/>
      <c r="KI209" s="111"/>
      <c r="KJ209" s="111"/>
      <c r="KK209" s="111"/>
      <c r="KL209" s="111"/>
      <c r="KM209" s="111"/>
      <c r="KN209" s="111"/>
      <c r="KO209" s="111"/>
      <c r="KP209" s="111"/>
      <c r="KQ209" s="111"/>
      <c r="KR209" s="111"/>
      <c r="KS209" s="111"/>
      <c r="KT209" s="111"/>
      <c r="KU209" s="111"/>
      <c r="KV209" s="111"/>
      <c r="KW209" s="111"/>
      <c r="KX209" s="111"/>
      <c r="KY209" s="111"/>
      <c r="KZ209" s="111"/>
      <c r="LA209" s="111"/>
      <c r="LB209" s="111"/>
      <c r="LC209" s="111"/>
      <c r="LD209" s="111"/>
      <c r="LE209" s="111"/>
      <c r="LF209" s="111"/>
      <c r="LG209" s="111"/>
      <c r="LH209" s="111"/>
      <c r="LI209" s="111"/>
      <c r="LJ209" s="111"/>
      <c r="LK209" s="111"/>
      <c r="LL209" s="111"/>
      <c r="LM209" s="111"/>
      <c r="LN209" s="111"/>
      <c r="LO209" s="111"/>
      <c r="LP209" s="111"/>
      <c r="LQ209" s="111"/>
      <c r="LR209" s="111"/>
      <c r="LS209" s="111"/>
      <c r="LT209" s="111"/>
      <c r="LU209" s="111"/>
      <c r="LV209" s="111"/>
      <c r="LW209" s="111"/>
      <c r="LX209" s="111"/>
      <c r="LY209" s="111"/>
      <c r="LZ209" s="111"/>
      <c r="MA209" s="111"/>
      <c r="MB209" s="111"/>
      <c r="MC209" s="111"/>
      <c r="MD209" s="111"/>
      <c r="ME209" s="111"/>
      <c r="MF209" s="111"/>
      <c r="MG209" s="111"/>
      <c r="MH209" s="111"/>
      <c r="MI209" s="111"/>
    </row>
    <row r="210" spans="1:347" x14ac:dyDescent="0.25">
      <c r="A210" s="102" t="s">
        <v>137</v>
      </c>
      <c r="B210" s="127" t="s">
        <v>135</v>
      </c>
      <c r="C210" s="102"/>
      <c r="D210" s="102"/>
      <c r="E210" s="102"/>
      <c r="F210" s="102"/>
      <c r="G210" s="102"/>
      <c r="H210" s="102"/>
      <c r="I210" s="102"/>
      <c r="J210" s="102"/>
      <c r="K210" s="103"/>
      <c r="L210" s="111"/>
      <c r="M210" s="111"/>
      <c r="N210" s="112" t="str">
        <f>HYPERLINK("http://www.ag-fluechtlingshilfe-wetterau.de/uploads/infos/170.pdf","x")</f>
        <v>x</v>
      </c>
      <c r="O210" s="112"/>
      <c r="P210" s="112"/>
      <c r="Q210" s="112"/>
      <c r="R210" s="112"/>
      <c r="S210" s="112"/>
      <c r="T210" s="112"/>
      <c r="U210" s="112"/>
      <c r="V210" s="112"/>
      <c r="W210" s="111"/>
      <c r="X210" s="112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2"/>
      <c r="AP210" s="112"/>
      <c r="AQ210" s="112"/>
      <c r="AR210" s="112"/>
      <c r="AS210" s="112"/>
      <c r="AT210" s="112"/>
      <c r="AU210" s="112"/>
      <c r="AV210" s="113"/>
      <c r="AW210" s="114" t="str">
        <f t="shared" si="78"/>
        <v>x</v>
      </c>
      <c r="AX210" s="114" t="str">
        <f t="shared" si="79"/>
        <v>x</v>
      </c>
      <c r="AY210" s="111"/>
      <c r="AZ210" s="111"/>
      <c r="BA210" s="112" t="str">
        <f t="shared" si="80"/>
        <v>x</v>
      </c>
      <c r="BB210" s="112" t="str">
        <f t="shared" si="81"/>
        <v>x</v>
      </c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2" t="str">
        <f t="shared" si="82"/>
        <v>x</v>
      </c>
      <c r="BT210" s="112"/>
      <c r="BU210" s="111"/>
      <c r="BV210" s="112" t="str">
        <f t="shared" si="83"/>
        <v>x</v>
      </c>
      <c r="BW210" s="112"/>
      <c r="BX210" s="112"/>
      <c r="BY210" s="112"/>
      <c r="BZ210" s="112"/>
      <c r="CA210" s="112" t="str">
        <f t="shared" si="84"/>
        <v>x</v>
      </c>
      <c r="CB210" s="112" t="str">
        <f t="shared" si="85"/>
        <v>x</v>
      </c>
      <c r="CC210" s="112" t="str">
        <f t="shared" si="86"/>
        <v>x</v>
      </c>
      <c r="CD210" s="112"/>
      <c r="CE210" s="112"/>
      <c r="CF210" s="111"/>
      <c r="CG210" s="111"/>
      <c r="CH210" s="111"/>
      <c r="CI210" s="111"/>
      <c r="CJ210" s="112" t="str">
        <f>HYPERLINK("https://www.hilfetelefon.de/fileadmin/hilfetelefon_de/Materialien/weitere_werbemittel/Klappflyer_Vorder-_und_Rueckseite_opt2.pdf","x")</f>
        <v>x</v>
      </c>
      <c r="CK210" s="112" t="str">
        <f t="shared" si="87"/>
        <v>x</v>
      </c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5"/>
      <c r="DD210" s="112"/>
      <c r="DE210" s="112"/>
      <c r="DF210" s="112" t="str">
        <f t="shared" si="88"/>
        <v>x</v>
      </c>
      <c r="DG210" s="115" t="str">
        <f t="shared" si="89"/>
        <v>x</v>
      </c>
      <c r="DH210" s="112" t="str">
        <f t="shared" si="90"/>
        <v>x</v>
      </c>
      <c r="DI210" s="112" t="str">
        <f t="shared" si="91"/>
        <v>x</v>
      </c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2"/>
      <c r="DV210" s="112" t="str">
        <f>HYPERLINK("https://www.bmbf.de/pub/KAUSA_Elternratgeber_deutsch_chinesisch_bf.pdf","x")</f>
        <v>x</v>
      </c>
      <c r="DW210" s="111"/>
      <c r="DX210" s="111"/>
      <c r="DY210" s="111"/>
      <c r="DZ210" s="111"/>
      <c r="EA210" s="111"/>
      <c r="EB210" s="112"/>
      <c r="EC210" s="111"/>
      <c r="ED210" s="111"/>
      <c r="EE210" s="111"/>
      <c r="EF210" s="111"/>
      <c r="EG210" s="111"/>
      <c r="EH210" s="111"/>
      <c r="EI210" s="111"/>
      <c r="EJ210" s="112"/>
      <c r="EK210" s="112"/>
      <c r="EL210" s="111"/>
      <c r="EM210" s="112" t="str">
        <f>HYPERLINK("http://www.kvs-sachsen.de/fileadmin/img/Mitglieder/Asylbewerber/Allg-Informationen/Anlage_1_Chinesisch_LEK.pdf","x")</f>
        <v>x</v>
      </c>
      <c r="EN210" s="111"/>
      <c r="EO210" s="111"/>
      <c r="EP210" s="117" t="str">
        <f>HYPERLINK("http://www.medi-bild.de/pdf/anamnese/Welche_Sprache.pdf","x")</f>
        <v>x</v>
      </c>
      <c r="EQ210" s="117" t="str">
        <f>HYPERLINK("http://www.medknowledge.de/migration/tipdoc/anamnesebogen/tipdoc_Anamnese_chin.pdf","x")</f>
        <v>x</v>
      </c>
      <c r="ER210" s="112" t="str">
        <f>HYPERLINK("http://www.kvs-sachsen.de/fileadmin/img/Mitglieder/Asylbewerber/Allg-Informationen/Anlagen_2-1_2-2_Chinesisch_LEK.pdf","x")</f>
        <v>x</v>
      </c>
      <c r="ES210" s="112"/>
      <c r="ET210" s="112"/>
      <c r="EU210" s="111"/>
      <c r="EV210" s="111"/>
      <c r="EW210" s="112" t="str">
        <f t="shared" si="92"/>
        <v>x</v>
      </c>
      <c r="EX210" s="111"/>
      <c r="EY210" s="111"/>
      <c r="EZ210" s="111"/>
      <c r="FA210" s="111"/>
      <c r="FB210" s="111"/>
      <c r="FC210" s="111"/>
      <c r="FD210" s="112" t="str">
        <f t="shared" si="93"/>
        <v>x</v>
      </c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2" t="str">
        <f t="shared" si="94"/>
        <v>x</v>
      </c>
      <c r="HD210" s="111"/>
      <c r="HE210" s="111"/>
      <c r="HF210" s="111"/>
      <c r="HG210" s="111"/>
      <c r="HH210" s="111"/>
      <c r="HI210" s="111"/>
      <c r="HJ210" s="111"/>
      <c r="HK210" s="112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2" t="str">
        <f t="shared" si="95"/>
        <v>x</v>
      </c>
      <c r="HZ210" s="112" t="str">
        <f t="shared" si="96"/>
        <v>x</v>
      </c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2"/>
      <c r="IL210" s="111"/>
      <c r="IM210" s="111"/>
      <c r="IN210" s="111"/>
      <c r="IO210" s="111"/>
      <c r="IP210" s="111"/>
      <c r="IQ210" s="112"/>
      <c r="IR210" s="112"/>
      <c r="IS210" s="111"/>
      <c r="IT210" s="111"/>
      <c r="IU210" s="111"/>
      <c r="IV210" s="112" t="str">
        <f>HYPERLINK("http://www.asyl.net/fileadmin/user_upload/infoblatt_anhoerung/Chin_final.pdf","x")</f>
        <v>x</v>
      </c>
      <c r="IW210" s="112"/>
      <c r="IX210" s="112"/>
      <c r="IY210" s="112" t="str">
        <f>HYPERLINK("http://www.bamf.de/SharedDocs/Anlagen/DE/Publikationen/Broschueren/broschuere-eat-a4-zh-chinesisch.pdf?__blob=publicationFile","x")</f>
        <v>x</v>
      </c>
      <c r="IZ210" s="111"/>
      <c r="JA210" s="111"/>
      <c r="JB210" s="111"/>
      <c r="JC210" s="112"/>
      <c r="JD210" s="111"/>
      <c r="JE210" s="112"/>
      <c r="JF210" s="112"/>
      <c r="JG210" s="111"/>
      <c r="JH210" s="111"/>
      <c r="JI210" s="111"/>
      <c r="JJ210" s="112"/>
      <c r="JK210" s="112"/>
      <c r="JL210" s="112"/>
      <c r="JM210" s="112"/>
      <c r="JN210" s="112"/>
      <c r="JO210" s="112"/>
      <c r="JP210" s="112"/>
      <c r="JQ210" s="112"/>
      <c r="JR210" s="112" t="str">
        <f>HYPERLINK("http://www.ibla-germany.de/merkblaetter.php","x")</f>
        <v>x</v>
      </c>
      <c r="JS210" s="112"/>
      <c r="JT210" s="111"/>
      <c r="JU210" s="111"/>
      <c r="JV210" s="111"/>
      <c r="JW210" s="112"/>
      <c r="JX210" s="112"/>
      <c r="JY210" s="111"/>
      <c r="JZ210" s="111"/>
      <c r="KA210" s="111"/>
      <c r="KB210" s="111"/>
      <c r="KC210" s="111"/>
      <c r="KD210" s="111"/>
      <c r="KE210" s="111"/>
      <c r="KF210" s="111"/>
      <c r="KG210" s="111"/>
      <c r="KH210" s="111"/>
      <c r="KI210" s="111"/>
      <c r="KJ210" s="111"/>
      <c r="KK210" s="111"/>
      <c r="KL210" s="111"/>
      <c r="KM210" s="111"/>
      <c r="KN210" s="111"/>
      <c r="KO210" s="111"/>
      <c r="KP210" s="111"/>
      <c r="KQ210" s="111"/>
      <c r="KR210" s="111"/>
      <c r="KS210" s="111"/>
      <c r="KT210" s="111"/>
      <c r="KU210" s="111"/>
      <c r="KV210" s="111"/>
      <c r="KW210" s="111"/>
      <c r="KX210" s="111"/>
      <c r="KY210" s="111"/>
      <c r="KZ210" s="111"/>
      <c r="LA210" s="111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1"/>
      <c r="MD210" s="111"/>
      <c r="ME210" s="111"/>
      <c r="MF210" s="111"/>
      <c r="MG210" s="111"/>
      <c r="MH210" s="111"/>
      <c r="MI210" s="111"/>
    </row>
    <row r="211" spans="1:347" x14ac:dyDescent="0.25">
      <c r="A211" s="102" t="s">
        <v>395</v>
      </c>
      <c r="B211" s="127" t="s">
        <v>4</v>
      </c>
      <c r="C211" s="102"/>
      <c r="D211" s="102"/>
      <c r="E211" s="102"/>
      <c r="F211" s="102"/>
      <c r="G211" s="102"/>
      <c r="H211" s="102"/>
      <c r="I211" s="102"/>
      <c r="J211" s="102"/>
      <c r="K211" s="103"/>
      <c r="L211" s="111"/>
      <c r="M211" s="111"/>
      <c r="N211" s="112" t="str">
        <f>HYPERLINK("http://www.ag-fluechtlingshilfe-wetterau.de/uploads/infos/170.pdf","x")</f>
        <v>x</v>
      </c>
      <c r="O211" s="112" t="str">
        <f>HYPERLINK("http://www.ag-fluechtlingshilfe-wetterau.de/uploads/infos/220.pdf","x")</f>
        <v>x</v>
      </c>
      <c r="P211" s="112" t="str">
        <f>HYPERLINK("http://www.awb-ahrweiler.de/admin/data/ddownload/Abfall%20Sonderhinweise-englisch_2014.pdf","x")</f>
        <v>x</v>
      </c>
      <c r="Q211" s="112" t="str">
        <f>HYPERLINK("http://www.ag-fluechtlingshilfe-wetterau.de/uploads/infos/221.pdf","x")</f>
        <v>x</v>
      </c>
      <c r="R211" s="112" t="str">
        <f>HYPERLINK("http://www.konto.org/download/merkblatt-basiskonto-asylbewerber-english.pdf","x")</f>
        <v>x</v>
      </c>
      <c r="S211" s="112"/>
      <c r="T211" s="112" t="str">
        <f>HYPERLINK("https://antworten.sparkasse.de/wp-content/uploads/2015/10/English.pdf","x")</f>
        <v>x</v>
      </c>
      <c r="U211" s="112" t="str">
        <f>HYPERLINK("http://www.ag-fluechtlingshilfe-wetterau.de/uploads/infos/191.pdf","x")</f>
        <v>x</v>
      </c>
      <c r="V211" s="112"/>
      <c r="W211" s="112"/>
      <c r="X211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11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11" s="112"/>
      <c r="AA211" s="112"/>
      <c r="AB211" s="112"/>
      <c r="AC211" s="112" t="str">
        <f>HYPERLINK("http://www.vzhh.de/vzhh/409638/vzhh_refugees_telephone_internet.pdf","x")</f>
        <v>x</v>
      </c>
      <c r="AD211" s="112" t="str">
        <f>HYPERLINK("http://www.vzhh.de/vzhh/410647/vzhh_refugees_rundfunk.pdf","x")</f>
        <v>x</v>
      </c>
      <c r="AE211" s="112" t="str">
        <f>HYPERLINK("http://www.vzhh.de/vzhh/411476/vzhh_refugees_rundfunk_befreiung.pdf","x")</f>
        <v>x</v>
      </c>
      <c r="AF211" s="112" t="str">
        <f>HYPERLINK("http://www.kub-berlin.org/formularprojekt/de/englisch-antraege-und-anlagen-uebersetzungshilfen/","x")</f>
        <v>x</v>
      </c>
      <c r="AG211" s="112" t="str">
        <f>HYPERLINK("http://asyl-in-moenchengladbach.de/wp-content/uploads/2015/11/100711-Flyer_GB.pdf","x")</f>
        <v>x</v>
      </c>
      <c r="AH211" s="112" t="str">
        <f>HYPERLINK("http://sghanstedt.elbnetz.com/ueber-uns/","x")</f>
        <v>x</v>
      </c>
      <c r="AI211" s="112" t="str">
        <f>HYPERLINK("https://www.adac.de/sp/stiftung/_mmm/pdf/SGE_FOL_Verkehrssicherheit_Fl%C3%BCchtlinge_A3_01_16_Internet_250277.pdf","x")</f>
        <v>x</v>
      </c>
      <c r="AJ211" s="112" t="str">
        <f>HYPERLINK("http://www.stadt-koeln.de/mediaasset/content/kvb_kinderleicht_und_spielend_einfach__englisch_.pdf","x")</f>
        <v>x</v>
      </c>
      <c r="AK211" s="112" t="str">
        <f>HYPERLINK("https://www.vrsinfo.de/fileadmin/Dateien/downloadcenter/Folder_MobilPassTicket_Refugees01012016.pdf","x")</f>
        <v>x</v>
      </c>
      <c r="AL211" s="112" t="str">
        <f>HYPERLINK("https://www.vrsinfo.de/fileadmin/Dateien/downloadcenter/Willkommen_im_VRS2016_Druck.pdf","x")</f>
        <v>x</v>
      </c>
      <c r="AM211" s="112"/>
      <c r="AN211" s="112" t="str">
        <f>HYPERLINK("https://www.deutschebahn.com/file/de/2191748/eYdgZpqGpp5sMJ2KMKtg2r8aE4Q/10123812/data/infos_fuer_fluechtlinge.pdf","x")</f>
        <v>x</v>
      </c>
      <c r="AO211" s="112"/>
      <c r="AP211" s="112"/>
      <c r="AQ211" s="112"/>
      <c r="AR211" s="112"/>
      <c r="AS211" s="112"/>
      <c r="AT211" s="112"/>
      <c r="AU211" s="112" t="str">
        <f>HYPERLINK("http://www.stadt-koeln.de/mediaasset/content/festkomitee_flyer_2016_d_gb.pdf","x")</f>
        <v>x</v>
      </c>
      <c r="AV211" s="113"/>
      <c r="AW211" s="114" t="str">
        <f t="shared" si="78"/>
        <v>x</v>
      </c>
      <c r="AX211" s="114" t="str">
        <f t="shared" si="79"/>
        <v>x</v>
      </c>
      <c r="AY211" s="112" t="str">
        <f>HYPERLINK("http://fi-lohmar-siegburg.de/data/documents/Findefix_arabisch-Bildwoerterbuch.pdf","x")</f>
        <v>x</v>
      </c>
      <c r="AZ211" s="111"/>
      <c r="BA211" s="112" t="str">
        <f t="shared" si="80"/>
        <v>x</v>
      </c>
      <c r="BB211" s="112" t="str">
        <f t="shared" si="81"/>
        <v>x</v>
      </c>
      <c r="BC211" s="111"/>
      <c r="BD211" s="111"/>
      <c r="BE211" s="112" t="str">
        <f>HYPERLINK("http://fi-lohmar-siegburg.de/data/documents/communicationboard-arabic-english.pdf","x")</f>
        <v>x</v>
      </c>
      <c r="BF211" s="112"/>
      <c r="BG211" s="111"/>
      <c r="BH211" s="112" t="str">
        <f>HYPERLINK("http://www.refugeephrasebook.de/pdf/germany150920.pdf","x")</f>
        <v>x</v>
      </c>
      <c r="BI211" s="112" t="str">
        <f>HYPERLINK("https://www.advanced-online.eu/downloads/RefugeePhrasebookCards_German-English.pdf","x")</f>
        <v>x</v>
      </c>
      <c r="BJ211" s="112" t="str">
        <f>HYPERLINK("http://www.klett-sprachen.de/download/8638/W100255_Refugees_Welcome_Wortschatz.pdf","x")</f>
        <v>x</v>
      </c>
      <c r="BK211" s="111"/>
      <c r="BL211" s="112" t="str">
        <f>HYPERLINK("http://www.bundessprachenamt.de/deutsch/wir_ueber_uns/nachrichten/2015/20151103/Verständigungshilfe_Englisch_26_11_2015.pdf","x")</f>
        <v>x</v>
      </c>
      <c r="BM211" s="112" t="str">
        <f>HYPERLINK("http://www.frnrw.de/images/Aus_den_Initiativen/Ehrenamtler/2015/Dictionary_x10_print-2.pdf","x")</f>
        <v>x</v>
      </c>
      <c r="BN211" s="112" t="str">
        <f>HYPERLINK("http://www.medbox.org/toolboxes/kleines-worterbuch-little-dictionary-deutsch-englisch-arabisch/preview","x")</f>
        <v>x</v>
      </c>
      <c r="BO211" s="112" t="str">
        <f>HYPERLINK("http://mylanguages.org/dari_phrases.php","x")</f>
        <v>x</v>
      </c>
      <c r="BP211" s="111"/>
      <c r="BQ211" s="111"/>
      <c r="BR211" s="111"/>
      <c r="BS211" s="112" t="str">
        <f t="shared" si="82"/>
        <v>x</v>
      </c>
      <c r="BT211" s="112"/>
      <c r="BU211" s="111"/>
      <c r="BV211" s="112" t="str">
        <f t="shared" si="83"/>
        <v>x</v>
      </c>
      <c r="BW211" s="112" t="str">
        <f>HYPERLINK("http://www.welcomegrooves.de/wp-content/uploads/2015/10/welcomegrooves_DE-ENGLISH1.pdf","x")</f>
        <v>x</v>
      </c>
      <c r="BX211" s="112"/>
      <c r="BY211" s="112"/>
      <c r="BZ211" s="112"/>
      <c r="CA211" s="112" t="str">
        <f t="shared" si="84"/>
        <v>x</v>
      </c>
      <c r="CB211" s="112" t="str">
        <f t="shared" si="85"/>
        <v>x</v>
      </c>
      <c r="CC211" s="112" t="str">
        <f t="shared" si="86"/>
        <v>x</v>
      </c>
      <c r="CD211" s="112"/>
      <c r="CE211" s="112"/>
      <c r="CF211" s="111"/>
      <c r="CG211" s="112" t="str">
        <f>HYPERLINK("http://www.braunschweig.de/leben/frauen/hilfe/Ohne-Gewalt-leben.pdf","x")</f>
        <v>x</v>
      </c>
      <c r="CH211" s="112" t="str">
        <f>HYPERLINK("http://mifkjf.rlp.de/fileadmin/mifkjf/Frauen/Gewalt_gegen_Frauen/Downloads/Broschueren_Flyer/Flyer_Gewalt_englisch.pdf","x")</f>
        <v>x</v>
      </c>
      <c r="CI211" s="112" t="str">
        <f>HYPERLINK("https://www.hilfetelefon.de/fileadmin/hilfetelefon_de/Materialien/Flyer/Infoflyer_Hilfetelefon_Gewalt_gegen_Frauen141105_b2.pdf","x")</f>
        <v>x</v>
      </c>
      <c r="CJ211" s="112" t="str">
        <f>HYPERLINK("https://www.hilfetelefon.de/fileadmin/hilfetelefon_de/Materialien/weitere_werbemittel/Klappflyer_Vorder-_und_Rueckseite_opt2.pdf","x")</f>
        <v>x</v>
      </c>
      <c r="CK211" s="112" t="str">
        <f t="shared" si="87"/>
        <v>x</v>
      </c>
      <c r="CL211" s="112" t="str">
        <f>HYPERLINK("http://www.frauenberatungsstelle.de/pdf/Migrantinnen-beraten-Migrantinnen.pdf","x")</f>
        <v>x</v>
      </c>
      <c r="CM211" s="112" t="str">
        <f>HYPERLINK("http://www.frauenleben.org/spezielle_beratungsangebote/sexualisierte_gewalt.htm","x")</f>
        <v>x</v>
      </c>
      <c r="CN211" s="112"/>
      <c r="CO211" s="112"/>
      <c r="CP211" s="112" t="str">
        <f>HYPERLINK("http://www.schwanger-und-viele-fragen.de/en/","x")</f>
        <v>x</v>
      </c>
      <c r="CQ211" s="112"/>
      <c r="CR211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11" s="112" t="str">
        <f>HYPERLINK("http://en.beststart.org/for_parents/are-you-looking-resources-languages-other-english-and-french","x")</f>
        <v>x</v>
      </c>
      <c r="CT211" s="112"/>
      <c r="CU211" s="112" t="str">
        <f>HYPERLINK("http://www.profamilia.de/fileadmin/publikationen/Erwachsene/mehrsprachig/Bro_Verhuetung_engl_2013.pdf","x")</f>
        <v>x</v>
      </c>
      <c r="CV211" s="112" t="str">
        <f>HYPERLINK("http://www.profamilia.de/fileadmin/publikationen/Erwachsene/mehrsprachig/Bro_Pille_danach_Faltblatt_140122_RZ.pdf","x")</f>
        <v>x</v>
      </c>
      <c r="CW211" s="112" t="str">
        <f>HYPERLINK("http://www.profamilia.de/fileadmin/publikationen/Reihe_Verhuetungsmethoden/Einleger_englisch.pdf","x")</f>
        <v>x</v>
      </c>
      <c r="CX211" s="112" t="str">
        <f>HYPERLINK("http://www.profamilia.de/fileadmin/publikationen/Reihe_Koerper_und_Sexualtitaet/Schwangerschaftsabbruch_englisch_2010.pdf","x")</f>
        <v>x</v>
      </c>
      <c r="CY211" s="112" t="str">
        <f>HYPERLINK("http://www.caritas-schwarzwald-alb-donau.de/68854.html","x")</f>
        <v>x</v>
      </c>
      <c r="CZ211" s="112" t="str">
        <f>HYPERLINK("http://www.dgfpi.de/tl_files/download/medien/unwissen-macht-en.pdf","x")</f>
        <v>x</v>
      </c>
      <c r="DA211" s="112"/>
      <c r="DB211" s="112"/>
      <c r="DC211" s="115" t="str">
        <f>HYPERLINK("http://www.kindersicherheit.de/pdf/2013_BAG_Tomi_and_Mila_Deutsch_English.pdf","x")</f>
        <v>x</v>
      </c>
      <c r="DD211" s="112"/>
      <c r="DE211" s="112"/>
      <c r="DF211" s="112" t="str">
        <f t="shared" si="88"/>
        <v>x</v>
      </c>
      <c r="DG211" s="115" t="str">
        <f t="shared" si="89"/>
        <v>x</v>
      </c>
      <c r="DH211" s="112" t="str">
        <f t="shared" si="90"/>
        <v>x</v>
      </c>
      <c r="DI211" s="112" t="str">
        <f t="shared" si="91"/>
        <v>x</v>
      </c>
      <c r="DJ211" s="112"/>
      <c r="DK211" s="112"/>
      <c r="DL211" s="112"/>
      <c r="DM211" s="112"/>
      <c r="DN211" s="112"/>
      <c r="DO211" s="112" t="str">
        <f>HYPERLINK("http://www.wdrmaus.de/sachgeschichten/maus-international/","x")</f>
        <v>x</v>
      </c>
      <c r="DP211" s="111"/>
      <c r="DQ211" s="111"/>
      <c r="DR211" s="112" t="str">
        <f>HYPERLINK("https://broschueren.nordrheinwestfalendirekt.de/broschuerenservice/msw/eng-das-schulsystem-in-nordrhein-westfalen-einfach-und-schnell-erklaert/1902","x")</f>
        <v>x</v>
      </c>
      <c r="DS211" s="112" t="str">
        <f>HYPERLINK("http://bildung.koeln.de/materialbibliothek/download.php?idx=8e2a9f658e9fa830ce17dc18f0fb0268","x")</f>
        <v>x</v>
      </c>
      <c r="DT211" s="112" t="str">
        <f>HYPERLINK("http://bildung.koeln.de/materialbibliothek/download.php?idx=90aff7e7259385cadb46c517317f1446","x")</f>
        <v>x</v>
      </c>
      <c r="DU211" s="112"/>
      <c r="DV211" s="112" t="str">
        <f>HYPERLINK("https://www.bmbf.de/pub/Kausa_Elternbroschuere_englisch.pdf","x")</f>
        <v>x</v>
      </c>
      <c r="DW211" s="112"/>
      <c r="DX211" s="112" t="str">
        <f>HYPERLINK("http://www.wissenschaft.nrw.de/studium/informieren/informationen-fuer-fluechtlinge-die-in-nrw-studieren-moechten/","x")</f>
        <v>x</v>
      </c>
      <c r="DY211" s="112" t="str">
        <f>HYPERLINK("http://www.bamf.de/SharedDocs/Anlagen/DE/Publikationen/Flyer/AnerkennungBerufsabschluss/berufliche_anerkennung_akademische-heilberufe_en.pdf?__blob=publicationFile","x")</f>
        <v>x</v>
      </c>
      <c r="DZ211" s="112" t="str">
        <f>HYPERLINK("http://www.bamf.de/SharedDocs/Anlagen/EN/Publikationen/Flyer/AnerkennungBerufsabschluss/anerkennung-berufsabschluss.pdf?__blob=publicationFile","x")</f>
        <v>x</v>
      </c>
      <c r="EA211" s="112" t="str">
        <f>HYPERLINK("http://www.bamf.de/SharedDocs/Anlagen/EN/Publikationen/Flyer/AnerkennungBerufsabschluss/anerkennung-berufsabschluss_ausland.pdf?__blob=publicationFile","x")</f>
        <v>x</v>
      </c>
      <c r="EB211" s="112" t="str">
        <f>HYPERLINK("http://www.bamf.de/SharedDocs/Anlagen/EN/Publikationen/Broschueren/willkommen-in-deutschland-info-blaue-karte-eu_en.pdf?__blob=publicationFile","x")</f>
        <v>x</v>
      </c>
      <c r="EC211" s="112" t="str">
        <f>HYPERLINK("http://www.bamf.de/SharedDocs/Anlagen/EN/Publikationen/Flyer/Berufsbezsprachf-ESF-BAMF/berufsbezsprachf-esf-bamf.pdf?__blob=publicationFile","x")</f>
        <v>x</v>
      </c>
      <c r="ED211" s="111"/>
      <c r="EE211" s="111"/>
      <c r="EF211" s="111"/>
      <c r="EG211" s="111"/>
      <c r="EH211" s="111"/>
      <c r="EI211" s="111"/>
      <c r="EJ211" s="112"/>
      <c r="EK211" s="112" t="str">
        <f>HYPERLINK("http://fluechtlingsrat-bw.de/files/Dateien/Dokumente/Materialbestellung/2014-12-flyer%20arbeitserlaubnis%20EN%20WEB.pdf","x")</f>
        <v>x</v>
      </c>
      <c r="EL211" s="112" t="str">
        <f>HYPERLINK("http://www.aponet.de/englisch/20151019-fuer-den-notfall-wichtige-rufnummern-im-ueberblick.html","x")</f>
        <v>x</v>
      </c>
      <c r="EM211" s="112" t="str">
        <f>HYPERLINK("http://www.kvs-sachsen.de/fileadmin/img/Mitglieder/Asylbewerber/Allg-Informationen/Anlage_1_Englisch_LEK.pdf","x")</f>
        <v>x</v>
      </c>
      <c r="EN211" s="112" t="str">
        <f>HYPERLINK("http://www.medizin-hilft-fluechtlingen.de/images/Dokumente/gSch/gSch_eng.pdf","x")</f>
        <v>x</v>
      </c>
      <c r="EO211" s="112" t="str">
        <f>HYPERLINK("http://www.aponet.de/englisch/medical-care-for-asylum-seekers.html","x")</f>
        <v>x</v>
      </c>
      <c r="EP211" s="117" t="str">
        <f>HYPERLINK("http://www.medi-bild.de/pdf/anamnese/Welche_Sprache.pdf","x")</f>
        <v>x</v>
      </c>
      <c r="EQ211" s="117" t="str">
        <f>HYPERLINK("http://www.armut-gesundheit.de/fileadmin/redakteur/dokumente/Anamnesebogen%20-%20englischnew.pdf","x")</f>
        <v>x</v>
      </c>
      <c r="ER211" s="112" t="str">
        <f>HYPERLINK("http://www.kvs-sachsen.de/fileadmin/img/Mitglieder/Asylbewerber/Allg-Informationen/Anlagen_2-1_2-2_Englisch_LEK.pdf","x")</f>
        <v>x</v>
      </c>
      <c r="ES211" s="111"/>
      <c r="ET211" s="111"/>
      <c r="EU211" s="112" t="str">
        <f>HYPERLINK("http://www.medizin-hilft-fluechtlingen.de/images/Dokumente/ein/ein_engl.pdf","x")</f>
        <v>x</v>
      </c>
      <c r="EV211" s="112" t="str">
        <f>HYPERLINK("http://www.adler-apotheke-hh.de/fileadmin/user_upload/PDF-Dateien/Dosierzettel_mehrsprachig_AUF_0_.pdf","x")</f>
        <v>x</v>
      </c>
      <c r="EW211" s="112" t="str">
        <f t="shared" si="92"/>
        <v>x</v>
      </c>
      <c r="EX211" s="112" t="str">
        <f>HYPERLINK("http://www.rki.de/DE/Content/Infekt/IfSG/Belehrungsbogen/belehrungsbogen_eltern_englisch.pdf?__blob=publicationFile","x")</f>
        <v>x</v>
      </c>
      <c r="EY211" s="112" t="str">
        <f>HYPERLINK("http://www.bzga.de/infomaterialien/?sid=236","x")</f>
        <v>x</v>
      </c>
      <c r="EZ211" s="112" t="str">
        <f>HYPERLINK("https://www.mh-hannover.de/fileadmin/mhh/bilder/aktuelles_presse/pressestelle/bilder/Pilzvergif_English.pdf","x")</f>
        <v>x</v>
      </c>
      <c r="FA211" s="112"/>
      <c r="FB211" s="112" t="str">
        <f>HYPERLINK("http://static.apotheken-umschau.de/media/gp/article_506373/bildwoerterbuch.pdf","x")</f>
        <v>x</v>
      </c>
      <c r="FC211" s="112" t="str">
        <f>HYPERLINK("https://www.studentenwerke.de/sites/default/files/gesundheitswoerterbuch.pdf","x")</f>
        <v>x</v>
      </c>
      <c r="FD211" s="112" t="str">
        <f t="shared" si="93"/>
        <v>x</v>
      </c>
      <c r="FE211" s="112" t="str">
        <f>HYPERLINK("http://sghanstedt.elbnetz.com/ueber-uns/","x")</f>
        <v>x</v>
      </c>
      <c r="FF211" s="112" t="str">
        <f>HYPERLINK("http://www.fuhlenhagen.com/pdf_dateien/uebertzungshilfe_aerzte_mehrsprachig.pdf","x")</f>
        <v>x</v>
      </c>
      <c r="FG211" s="112" t="str">
        <f>HYPERLINK("http://www.tipdoc.de/grafik/asyl/Gesundheitsheft_Asyl.pdf","x")</f>
        <v>x</v>
      </c>
      <c r="FH211" s="111"/>
      <c r="FI211" s="111"/>
      <c r="FJ211" s="112" t="str">
        <f>HYPERLINK("http://www.bundesgesundheitsministerium.de/fileadmin/dateien/Publikationen/Gesundheit/Broschueren/Ratgeber_Asylsuchende/Ratgeber_Asylsuchende_engl.pdf","x")</f>
        <v>x</v>
      </c>
      <c r="FK211" s="112" t="str">
        <f>HYPERLINK("http://www.rki.de/DE/Content/Infekt/Impfen/Materialien/Downloads-Impfkalender/Impfkalender_Englisch.pdf?__blob=publicationFile","x")</f>
        <v>x</v>
      </c>
      <c r="FL211" s="112" t="str">
        <f>HYPERLINK("http://www.ethno-medizinisches-zentrum.de/images/PDF-Files/impfwegweiser_englisch_2013_online.pdf","x")</f>
        <v>x</v>
      </c>
      <c r="FM211" s="112"/>
      <c r="FN211" s="112" t="str">
        <f>HYPERLINK("http://www.rki.de/DE/Content/Infekt/Impfen/Materialien/Glossar-Downloads/glossar-de-englisch.pdf?__blob=publicationFile","x")</f>
        <v>x</v>
      </c>
      <c r="FO211" s="112" t="str">
        <f>HYPERLINK("http://www.euro.who.int/__data/assets/pdf_file/0005/160754/VPDs_Signs-symptoms-complications.pdf?ua=1","x")</f>
        <v>x</v>
      </c>
      <c r="FP211" s="112" t="str">
        <f>HYPERLINK("http://www.rki.de/DE/Content/Infekt/Impfen/Materialien/Downloads-MMR/MMR-Impfinfo-englisch.pdf?__blob=publicationFile","x")</f>
        <v>x</v>
      </c>
      <c r="FQ211" s="112" t="str">
        <f>HYPERLINK("http://www.rki.de/DE/Content/InfAZ/P/Polio/Ausbruch_Syrien/Informationsblatt_Polio_Englisch.pdf?__blob=publicationFile","x")</f>
        <v>x</v>
      </c>
      <c r="FR211" s="112" t="str">
        <f>HYPERLINK("http://www.rki.de/DE/Content/Infekt/Impfen/Materialien/Downloads_HepA/Aufklaerung_HAV-Impfung_Englisch.pdf?__blob=publicationFile","x")</f>
        <v>x</v>
      </c>
      <c r="FS211" s="112" t="str">
        <f>HYPERLINK("http://www.rki.de/DE/Content/Infekt/Impfen/Materialien/Downloads_Pneumokokken/Aufklaerung_Pneumo-Impfung_Englisch.pdf?__blob=publicationFile","x")</f>
        <v>x</v>
      </c>
      <c r="FT211" s="112" t="str">
        <f>HYPERLINK("http://www.rki.de/DE/Content/Infekt/Impfen/Materialien/Downloads-DTaPIPVHibHepB/DTaPIPVHibHepB-englisch.pdf?__blob=publicationFile","x")</f>
        <v>x</v>
      </c>
      <c r="FU211" s="112" t="str">
        <f>HYPERLINK("http://www.rki.de/DE/Content/Infekt/Impfen/Materialien/Downloads-Varizellen/Varizellen-Impfinfo-englisch.pdf;jsessionid=65B697F4EE7EDA8A1ED9E2C4CD6C74EC.2_cid363?__blob=publicationFile","x")</f>
        <v>x</v>
      </c>
      <c r="FV211" s="112" t="str">
        <f>HYPERLINK("http://www.rki.de/DE/Content/Infekt/Impfen/Materialien/Downloads-Tdap-IPV/Tdap-IPV-englisch.pdf?__blob=publicationFile","x")</f>
        <v>x</v>
      </c>
      <c r="FW211" s="112" t="str">
        <f>HYPERLINK("http://www.rki.de/DE/Content/Infekt/Impfen/Materialien/Downloads-Influenza_nasal/Influenza_nasal-englisch.pdf?__blob=publicationFile","x")</f>
        <v>x</v>
      </c>
      <c r="FX211" s="111"/>
      <c r="FY211" s="112"/>
      <c r="FZ211" s="112"/>
      <c r="GA211" s="111"/>
      <c r="GB211" s="111"/>
      <c r="GC211" s="111"/>
      <c r="GD211" s="112" t="str">
        <f>HYPERLINK("http://www.ethno-medizinisches-zentrum.de/images/PDF-Files/lf_diabete_englisch.pdf","x")</f>
        <v>x</v>
      </c>
      <c r="GE211" s="111"/>
      <c r="GF211" s="111"/>
      <c r="GG211" s="111"/>
      <c r="GH211" s="112"/>
      <c r="GI211" s="111"/>
      <c r="GJ211" s="111"/>
      <c r="GK211" s="112" t="str">
        <f>HYPERLINK("http://www.tipdoc.de/bus/pdf/hiv/HIV%20ESP_Webseite.pdf","x")</f>
        <v>x</v>
      </c>
      <c r="GL211" s="111"/>
      <c r="GM211" s="112" t="str">
        <f>HYPERLINK("http://www.rki.de/DE/Content/Infekt/Impfen/Materialien/Downloads-Influenza/Influenza-englisch.pdf?__blob=publicationFile","x")</f>
        <v>x</v>
      </c>
      <c r="GN211" s="111"/>
      <c r="GO211" s="112" t="str">
        <f>HYPERLINK("http://www.aponet.de/englisch/20151111-so-unterscheiden-sich-grippe-und-erkaeltung.html","x")</f>
        <v>x</v>
      </c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2" t="str">
        <f t="shared" si="94"/>
        <v>x</v>
      </c>
      <c r="HD211" s="112" t="str">
        <f>HYPERLINK("https://www.zahnaerzte-wl.de/images/_PDF-suche/KZV_ZÄK/ENDSTAND_Ankreuzbogen_Ich_verstehe.pdf","x")</f>
        <v>x</v>
      </c>
      <c r="HE211" s="112" t="str">
        <f>HYPERLINK("https://www.zahnaerzte-wl.de/images/_PDF-suche/KZV_ZÄK/Anschreiben_Patienten_englisch.pdf","x")</f>
        <v>x</v>
      </c>
      <c r="HF211" s="112" t="str">
        <f>HYPERLINK("https://www.zahnaerzte-wl.de/images/_PDF-suche/KZV_ZÄK/Fragebogen_englisch.pdf","x")</f>
        <v>x</v>
      </c>
      <c r="HG211" s="112" t="str">
        <f>HYPERLINK("https://www.zahnaerzte-wl.de/images/_PDF-suche/KZV_ZÄK/Patientenerhebungsbogen_englisch.pdf","x")</f>
        <v>x</v>
      </c>
      <c r="HH211" s="112"/>
      <c r="HI211" s="112" t="str">
        <f>HYPERLINK("http://www.bvkm.de/fileadmin/web_data/Behinderung_und_Migration_englisch_2014.pdf","x")</f>
        <v>x</v>
      </c>
      <c r="HJ211" s="112"/>
      <c r="HK211" s="112" t="str">
        <f>HYPERLINK("http://www.psychenet.de/en/mental-health/knowledge/depression.html","x")</f>
        <v>x</v>
      </c>
      <c r="HL211" s="111"/>
      <c r="HM211" s="112" t="str">
        <f>HYPERLINK("http://www.psychenet.de/en/mental-health/knowledge/psychoses.html","x")</f>
        <v>x</v>
      </c>
      <c r="HN211" s="112" t="str">
        <f>HYPERLINK("http://www.psychenet.de/en/mental-health/knowledge/somatoform-disorders.html","x")</f>
        <v>x</v>
      </c>
      <c r="HO211" s="112" t="str">
        <f>HYPERLINK("http://www.psychenet.de/en/mental-health/knowledge/anorexia.html","x")</f>
        <v>x</v>
      </c>
      <c r="HP211" s="112" t="str">
        <f>HYPERLINK("http://www.psychenet.de/en/mental-health/knowledge/bulimia.html","x")</f>
        <v>x</v>
      </c>
      <c r="HQ211" s="112" t="str">
        <f>HYPERLINK("http://www.psychenet.de/en/mental-health/knowledge/bipolar-disorder.html","x")</f>
        <v>x</v>
      </c>
      <c r="HR211" s="112" t="str">
        <f>HYPERLINK("http://www.psychenet.de/en/mental-health/knowledge/panic-and-agoraphobia.html","x")</f>
        <v>x</v>
      </c>
      <c r="HS211" s="112" t="str">
        <f>HYPERLINK("http://www.psychenet.de/en/mental-health/knowledge/social-phobia.html","x")</f>
        <v>x</v>
      </c>
      <c r="HT211" s="112" t="str">
        <f>HYPERLINK("http://www.psychenet.de/en/mental-health/knowledge/generalized-anxiety-disorder.html","x")</f>
        <v>x</v>
      </c>
      <c r="HU211" s="112"/>
      <c r="HV211" s="112" t="str">
        <f>HYPERLINK("http://www.psychenet.de/en/mental-health/knowledge/information-and-support.html","x")</f>
        <v>x</v>
      </c>
      <c r="HW211" s="112"/>
      <c r="HX211" s="112" t="str">
        <f>HYPERLINK("http://www.bkk-psychisch-gesund.de/fileadmin/user_upload/Dokumente/Versicherte/Broschueren/Wegweiser_Psychotherapie_englisch.pdf","x")</f>
        <v>x</v>
      </c>
      <c r="HY211" s="112" t="str">
        <f t="shared" si="95"/>
        <v>x</v>
      </c>
      <c r="HZ211" s="112" t="str">
        <f t="shared" si="96"/>
        <v>x</v>
      </c>
      <c r="IA211" s="112" t="str">
        <f>HYPERLINK("http://peacefulheart.se/wp-content/uploads/2012/02/TTT_English_2013.pdf","x")</f>
        <v>x</v>
      </c>
      <c r="IB211" s="112"/>
      <c r="IC211" s="112"/>
      <c r="ID211" s="112" t="str">
        <f>HYPERLINK("http://www.susannestein.de/VIA-online/trauma-picture-book.pdf","x")</f>
        <v>x</v>
      </c>
      <c r="IE211" s="112" t="str">
        <f>HYPERLINK("http://www.psychenet.de/en/mental-health/knowledge/alcohol-in-adolescence.html","x")</f>
        <v>x</v>
      </c>
      <c r="IF211" s="112"/>
      <c r="IG211" s="112"/>
      <c r="IH211" s="111"/>
      <c r="II211" s="112" t="str">
        <f>HYPERLINK("http://www.caritas.de/hilfeundberatung/onlineberatung/suchtberatung/haeufiggestelltefragensucht/haeufiggestelltefragen-sucht","x")</f>
        <v>x</v>
      </c>
      <c r="IJ211" s="112" t="str">
        <f>HYPERLINK("http://www.dhs.de/fileadmin/user_upload/pdf/Broschueren/Ein_Angebot_an_alle-Englisch.pdf","x")</f>
        <v>x</v>
      </c>
      <c r="IK211" s="112" t="str">
        <f>HYPERLINK("http://www.bamf.de/SharedDocs/Anlagen/EN/Publikationen/Flyer/Lassen-Sie-Sich-Beraten/lassen-sie-sich-beraten.pdf?__blob=publicationFile","x")</f>
        <v>x</v>
      </c>
      <c r="IL211" s="115" t="str">
        <f>HYPERLINK("http://www.bamf.de/SharedDocs/Anlagen/EN/Publikationen/Flyer/flyer-erstorientierung-asylsuchende.pdf?__blob=publicationFile","x")</f>
        <v>x</v>
      </c>
      <c r="IM211" s="112" t="str">
        <f>HYPERLINK("http://www.frnrw.de/index.php/inhaltliche-themen/arbeitshilfen/item/3710-erstinfos-fuer-asylsuchende","x")</f>
        <v>x</v>
      </c>
      <c r="IN211" s="112" t="str">
        <f>HYPERLINK("http://www.bamf.de/SharedDocs/Anlagen/EN/Publikationen/Broschueren/willkommen-in-deutschland.pdf;jsessionid=2D72CB108E4AC02BBB9659E7D9A589B2.1_cid368?__blob=publicationFile","x")</f>
        <v>x</v>
      </c>
      <c r="IO211" s="112"/>
      <c r="IP211" s="112"/>
      <c r="IQ211" s="112" t="str">
        <f>HYPERLINK("http://www.bamf.de/SharedDocs/Anlagen/EN/Publikationen/Flyer/Lernen-Sie-Deutsch/lernen-sie-deutsch.pdf?__blob=publicationFile","x")</f>
        <v>x</v>
      </c>
      <c r="IR211" s="112" t="str">
        <f>HYPERLINK("http://www.asyl.net/fileadmin/user_upload/redaktion/Dokumente/Arbeitshilfen/150910_Wie_l%C3%A4uft_ein_Asylverfahren_ab_%C3%9Cberblickstext_Englisch.pdf","x")</f>
        <v>x</v>
      </c>
      <c r="IS211" s="111"/>
      <c r="IT211" s="112" t="str">
        <f>HYPERLINK("http://www.bamf.de/SharedDocs/Anlagen/EN/Publikationen/Flyer/ablauf-asylverfahren.pdf;jsessionid=DBD4307960D761935FCC3E0325D459A1.1_cid294?__blob=publicationFile","x")</f>
        <v>x</v>
      </c>
      <c r="IU211" s="111"/>
      <c r="IV211" s="112" t="str">
        <f>HYPERLINK("http://www.asyl.net/fileadmin/user_upload/infoblatt_anhoerung/Infoblatt_2015_en_fin.pdf","x")</f>
        <v>x</v>
      </c>
      <c r="IW211" s="112"/>
      <c r="IX211" s="112" t="str">
        <f>HYPERLINK("http://www.berlin.de/labo/willkommen-in-berlin/service/downloads/artikel.273193.php","x")</f>
        <v>x</v>
      </c>
      <c r="IY211" s="112" t="str">
        <f>HYPERLINK("http://www.bamf.de/SharedDocs/Anlagen/EN/Publikationen/Broschueren/broschuere-eat-a4.pdf?__blob=publicationFile","x")</f>
        <v>x</v>
      </c>
      <c r="IZ211" s="111"/>
      <c r="JA211" s="112" t="str">
        <f>HYPERLINK("http://fluechtlingsrat-bw.de/informationen-fuer-fluechtlinge.html","x")</f>
        <v>x</v>
      </c>
      <c r="JB211" s="111"/>
      <c r="JC211" s="112" t="str">
        <f>HYPERLINK("http://www.bamf.de/SharedDocs/Anlagen/EN/Publikationen/Flyer/20150223_ura2_en.pdf?__blob=publicationFile","x")</f>
        <v>x</v>
      </c>
      <c r="JD211" s="111"/>
      <c r="JE211" s="112"/>
      <c r="JF211" s="112"/>
      <c r="JG211" s="112" t="str">
        <f>HYPERLINK("http://www.bamf.de/SharedDocs/Anlagen/EN/Publikationen/Flyer/Ehegattennachzug/ehegattennachzug.pdf?__blob=publicationFile","x")</f>
        <v>x</v>
      </c>
      <c r="JH211" s="112" t="str">
        <f>HYPERLINK("https://familyreunion-syria.diplo.de/webportal/index.html#start","x")</f>
        <v>x</v>
      </c>
      <c r="JI211" s="112" t="str">
        <f>HYPERLINK("http://ec.europa.eu/dgs/home-affairs/what-we-do/networks/european_migration_network/docs/emn-glossary-en-version.pdf","x")</f>
        <v>x</v>
      </c>
      <c r="JJ211" s="112"/>
      <c r="JK211" s="112" t="str">
        <f>HYPERLINK("https://www.arbeitsagentur.de/web/wcm/idc/groups/public/documents/webdatei/mdaw/mjgz/~edisp/l6019022dstbai784628.pdf?_ba.sid=L6019022DSTBAI784625","x")</f>
        <v>x</v>
      </c>
      <c r="JL211" s="112" t="str">
        <f>HYPERLINK("http://www.kub-berlin.org/formularprojekt/de/englisch-antraege-und-anlagen-uebersetzungshilfen/","x")</f>
        <v>x</v>
      </c>
      <c r="JM211" s="112" t="str">
        <f>HYPERLINK("https://www.arbeitsagentur.de/web/content/DE/Formulare/Detail/index.htm?dfContentId=L6019022DSTBAI485740","x")</f>
        <v>x</v>
      </c>
      <c r="JN211" s="112"/>
      <c r="JO211" s="112"/>
      <c r="JP211" s="112"/>
      <c r="JQ211" s="112"/>
      <c r="JR211" s="112" t="str">
        <f>HYPERLINK("http://www.ibla-germany.de/merkblaetter.php","x")</f>
        <v>x</v>
      </c>
      <c r="JS211" s="112"/>
      <c r="JT211" s="112" t="str">
        <f>HYPERLINK("http://www.b-umf.de/images/willkommen/willkommensbroschureenglisch-web.pdf","x")</f>
        <v>x</v>
      </c>
      <c r="JU211" s="111"/>
      <c r="JV211" s="111"/>
      <c r="JW211" s="112"/>
      <c r="JX211" s="112" t="str">
        <f>HYPERLINK("https://www.arbeitsagentur.de/web/wcm/idc/groups/public/documents/webdatei/mdaw/mjgz/~edisp/l6019022dstbai784636.pdf?_ba.sid=L6019022DSTBAI784633","x")</f>
        <v>x</v>
      </c>
      <c r="JY211" s="112"/>
      <c r="JZ211" s="112"/>
      <c r="KA211" s="112"/>
      <c r="KB211" s="112" t="str">
        <f>HYPERLINK("http://www.refugeeguide.de/dl/RefugeeGuide_en_925.pdf","x")</f>
        <v>x</v>
      </c>
      <c r="KC211" s="112" t="str">
        <f>HYPERLINK("http://www.gesetze-im-internet.de/englisch_gg/basic_law_for_the_federal_republic_of_germany.pdf","x")</f>
        <v>x</v>
      </c>
      <c r="KD211" s="112" t="str">
        <f>HYPERLINK("http://www.wedel.de/fileadmin/user_upload/media/pdf/Rathaus_und_Politik/20160118_PM_Broschuere.pdf","x")</f>
        <v>x</v>
      </c>
      <c r="KE211" s="112" t="str">
        <f>HYPERLINK("http://www.frauenrechte.de/online/images/downloads/allgemein/TDF_Flyer_Women_Men.pdf","x")</f>
        <v>x</v>
      </c>
      <c r="KF211" s="112" t="str">
        <f>HYPERLINK("http://sab.landtag.sachsen.de/dokumente/landtagskurier/Grundwerte-A5-international_web_08012016.pdf","x")</f>
        <v>x</v>
      </c>
      <c r="KG211" s="112"/>
      <c r="KH211" s="112"/>
      <c r="KI211" s="112"/>
      <c r="KJ211" s="112"/>
      <c r="KK211" s="112"/>
      <c r="KL211" s="112"/>
      <c r="KM211" s="112"/>
      <c r="KN211" s="112"/>
      <c r="KO211" s="112"/>
      <c r="KP211" s="112"/>
      <c r="KQ211" s="112"/>
      <c r="KR211" s="112"/>
      <c r="KS211" s="112"/>
      <c r="KT211" s="112"/>
      <c r="KU211" s="112"/>
      <c r="KV211" s="112"/>
      <c r="KW211" s="112"/>
      <c r="KX211" s="112"/>
      <c r="KY211" s="112"/>
      <c r="KZ211" s="112"/>
      <c r="LA211" s="112"/>
      <c r="LB211" s="112"/>
      <c r="LC211" s="111"/>
      <c r="LD211" s="112"/>
      <c r="LE211" s="112"/>
      <c r="LF211" s="112"/>
      <c r="LG211" s="112"/>
      <c r="LH211" s="112"/>
      <c r="LI211" s="112"/>
      <c r="LJ211" s="112"/>
      <c r="LK211" s="112"/>
      <c r="LL211" s="112"/>
      <c r="LM211" s="112"/>
      <c r="LN211" s="112"/>
      <c r="LO211" s="112"/>
      <c r="LP211" s="112"/>
      <c r="LQ211" s="112"/>
      <c r="LR211" s="112"/>
      <c r="LS211" s="112"/>
      <c r="LT211" s="112"/>
      <c r="LU211" s="112"/>
      <c r="LV211" s="112"/>
      <c r="LW211" s="112"/>
      <c r="LX211" s="112"/>
      <c r="LY211" s="112"/>
      <c r="LZ211" s="112"/>
      <c r="MA211" s="112"/>
      <c r="MB211" s="112"/>
      <c r="MC211" s="111"/>
      <c r="MD211" s="112" t="str">
        <f>HYPERLINK("http://www.rki.de/DE/Content/Infekt/IfSG/Belehrungsbogen/belehrungsbogen_lebensmittel_englisch.pdf?__blob=publicationFile","x")</f>
        <v>x</v>
      </c>
      <c r="ME211" s="112"/>
      <c r="MF211" s="112" t="str">
        <f>HYPERLINK("http://www.gdv.de/wp-content/uploads/2016/01/Information_Brandschutz_Fluechtlingsheim_-Sicherheit_mehrsprachig.pdf","x")</f>
        <v>x</v>
      </c>
      <c r="MG211" s="112" t="str">
        <f>HYPERLINK("http://www.gdv.de/wp-content/uploads/2016/01/Information_Verhalten-im-Brandfall_mehrsprachig.pdf","x")</f>
        <v>x</v>
      </c>
      <c r="MH211" s="112" t="str">
        <f>HYPERLINK("http://www.aha-region.de/fileadmin/Download/pdf/aha_Plakat_Muelltrennung_en.pdf","x")</f>
        <v>x</v>
      </c>
      <c r="MI211" s="112" t="str">
        <f>HYPERLINK("http://www.kindersicherheit.de/pdf/2012_poster_achtunggiftig_8sprachig.pdf","x")</f>
        <v>x</v>
      </c>
    </row>
    <row r="212" spans="1:347" x14ac:dyDescent="0.25">
      <c r="A212" s="102" t="s">
        <v>395</v>
      </c>
      <c r="B212" s="127" t="s">
        <v>490</v>
      </c>
      <c r="C212" s="102"/>
      <c r="D212" s="102"/>
      <c r="E212" s="102"/>
      <c r="F212" s="102"/>
      <c r="G212" s="102"/>
      <c r="H212" s="102"/>
      <c r="I212" s="102"/>
      <c r="J212" s="102"/>
      <c r="K212" s="103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2"/>
      <c r="AP212" s="112"/>
      <c r="AQ212" s="112"/>
      <c r="AR212" s="112"/>
      <c r="AS212" s="112"/>
      <c r="AT212" s="112"/>
      <c r="AU212" s="112"/>
      <c r="AV212" s="113"/>
      <c r="AW212" s="114" t="str">
        <f t="shared" si="78"/>
        <v>x</v>
      </c>
      <c r="AX212" s="114" t="str">
        <f t="shared" si="79"/>
        <v>x</v>
      </c>
      <c r="AY212" s="111"/>
      <c r="AZ212" s="111"/>
      <c r="BA212" s="112" t="str">
        <f t="shared" si="80"/>
        <v>x</v>
      </c>
      <c r="BB212" s="112" t="str">
        <f t="shared" si="81"/>
        <v>x</v>
      </c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2" t="str">
        <f t="shared" si="82"/>
        <v>x</v>
      </c>
      <c r="BT212" s="112"/>
      <c r="BU212" s="111"/>
      <c r="BV212" s="112" t="str">
        <f t="shared" si="83"/>
        <v>x</v>
      </c>
      <c r="BW212" s="112" t="str">
        <f>HYPERLINK("http://www.welcomegrooves.de/wp-content/uploads/2015/10/welcomegrooves_DE-KISWAHILI.pdf","x")</f>
        <v>x</v>
      </c>
      <c r="BX212" s="112"/>
      <c r="BY212" s="112"/>
      <c r="BZ212" s="112"/>
      <c r="CA212" s="112" t="str">
        <f t="shared" si="84"/>
        <v>x</v>
      </c>
      <c r="CB212" s="112" t="str">
        <f t="shared" si="85"/>
        <v>x</v>
      </c>
      <c r="CC212" s="112" t="str">
        <f t="shared" si="86"/>
        <v>x</v>
      </c>
      <c r="CD212" s="112"/>
      <c r="CE212" s="112"/>
      <c r="CF212" s="111"/>
      <c r="CG212" s="111"/>
      <c r="CH212" s="111"/>
      <c r="CI212" s="111"/>
      <c r="CJ212" s="112"/>
      <c r="CK212" s="112" t="str">
        <f t="shared" si="87"/>
        <v>x</v>
      </c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5"/>
      <c r="DD212" s="112"/>
      <c r="DE212" s="112"/>
      <c r="DF212" s="112" t="str">
        <f t="shared" si="88"/>
        <v>x</v>
      </c>
      <c r="DG212" s="115" t="str">
        <f t="shared" si="89"/>
        <v>x</v>
      </c>
      <c r="DH212" s="112" t="str">
        <f t="shared" si="90"/>
        <v>x</v>
      </c>
      <c r="DI212" s="112" t="str">
        <f t="shared" si="91"/>
        <v>x</v>
      </c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2"/>
      <c r="DV212" s="111"/>
      <c r="DW212" s="111"/>
      <c r="DX212" s="111"/>
      <c r="DY212" s="111"/>
      <c r="DZ212" s="111"/>
      <c r="EA212" s="111"/>
      <c r="EB212" s="112"/>
      <c r="EC212" s="112"/>
      <c r="ED212" s="111"/>
      <c r="EE212" s="111"/>
      <c r="EF212" s="111"/>
      <c r="EG212" s="111"/>
      <c r="EH212" s="111"/>
      <c r="EI212" s="111"/>
      <c r="EJ212" s="112"/>
      <c r="EK212" s="112"/>
      <c r="EL212" s="111"/>
      <c r="EM212" s="112"/>
      <c r="EN212" s="112"/>
      <c r="EO212" s="111"/>
      <c r="EP212" s="117"/>
      <c r="EQ212" s="118"/>
      <c r="ER212" s="112"/>
      <c r="ES212" s="111"/>
      <c r="ET212" s="111"/>
      <c r="EU212" s="111"/>
      <c r="EV212" s="111"/>
      <c r="EW212" s="112" t="str">
        <f t="shared" si="92"/>
        <v>x</v>
      </c>
      <c r="EX212" s="111"/>
      <c r="EY212" s="111"/>
      <c r="EZ212" s="111"/>
      <c r="FA212" s="111"/>
      <c r="FB212" s="111"/>
      <c r="FC212" s="111"/>
      <c r="FD212" s="112" t="str">
        <f t="shared" si="93"/>
        <v>x</v>
      </c>
      <c r="FE212" s="112"/>
      <c r="FF212" s="111"/>
      <c r="FG212" s="111"/>
      <c r="FH212" s="111"/>
      <c r="FI212" s="111"/>
      <c r="FJ212" s="112"/>
      <c r="FK212" s="112"/>
      <c r="FL212" s="111"/>
      <c r="FM212" s="111"/>
      <c r="FN212" s="112"/>
      <c r="FO212" s="112"/>
      <c r="FP212" s="112"/>
      <c r="FQ212" s="111"/>
      <c r="FR212" s="112"/>
      <c r="FS212" s="112"/>
      <c r="FT212" s="112"/>
      <c r="FU212" s="112"/>
      <c r="FV212" s="112"/>
      <c r="FW212" s="112"/>
      <c r="FX212" s="111"/>
      <c r="FY212" s="111"/>
      <c r="FZ212" s="111"/>
      <c r="GA212" s="111"/>
      <c r="GB212" s="111"/>
      <c r="GC212" s="111"/>
      <c r="GD212" s="111"/>
      <c r="GE212" s="111"/>
      <c r="GF212" s="111"/>
      <c r="GG212" s="111"/>
      <c r="GH212" s="112"/>
      <c r="GI212" s="111"/>
      <c r="GJ212" s="111"/>
      <c r="GK212" s="111"/>
      <c r="GL212" s="111"/>
      <c r="GM212" s="112"/>
      <c r="GN212" s="111"/>
      <c r="GO212" s="111"/>
      <c r="GP212" s="111"/>
      <c r="GQ212" s="111"/>
      <c r="GR212" s="111"/>
      <c r="GS212" s="111"/>
      <c r="GT212" s="111"/>
      <c r="GU212" s="111"/>
      <c r="GV212" s="111"/>
      <c r="GW212" s="111"/>
      <c r="GX212" s="111"/>
      <c r="GY212" s="111"/>
      <c r="GZ212" s="111"/>
      <c r="HA212" s="111"/>
      <c r="HB212" s="111"/>
      <c r="HC212" s="112" t="str">
        <f t="shared" si="94"/>
        <v>x</v>
      </c>
      <c r="HD212" s="111"/>
      <c r="HE212" s="111"/>
      <c r="HF212" s="111"/>
      <c r="HG212" s="111"/>
      <c r="HH212" s="111"/>
      <c r="HI212" s="111"/>
      <c r="HJ212" s="111"/>
      <c r="HK212" s="112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2" t="str">
        <f t="shared" si="95"/>
        <v>x</v>
      </c>
      <c r="HZ212" s="112" t="str">
        <f t="shared" si="96"/>
        <v>x</v>
      </c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2"/>
      <c r="IL212" s="111"/>
      <c r="IM212" s="111"/>
      <c r="IN212" s="111"/>
      <c r="IO212" s="111"/>
      <c r="IP212" s="111"/>
      <c r="IQ212" s="112"/>
      <c r="IR212" s="112"/>
      <c r="IS212" s="111"/>
      <c r="IT212" s="111"/>
      <c r="IU212" s="111"/>
      <c r="IV212" s="112"/>
      <c r="IW212" s="112"/>
      <c r="IX212" s="112"/>
      <c r="IY212" s="112"/>
      <c r="IZ212" s="111"/>
      <c r="JA212" s="111"/>
      <c r="JB212" s="111"/>
      <c r="JC212" s="112"/>
      <c r="JD212" s="111"/>
      <c r="JE212" s="112"/>
      <c r="JF212" s="112"/>
      <c r="JG212" s="112"/>
      <c r="JH212" s="112"/>
      <c r="JI212" s="111"/>
      <c r="JJ212" s="112"/>
      <c r="JK212" s="112"/>
      <c r="JL212" s="112"/>
      <c r="JM212" s="112"/>
      <c r="JN212" s="112"/>
      <c r="JO212" s="112"/>
      <c r="JP212" s="112"/>
      <c r="JQ212" s="112"/>
      <c r="JR212" s="112"/>
      <c r="JS212" s="112"/>
      <c r="JT212" s="112"/>
      <c r="JU212" s="111"/>
      <c r="JV212" s="111"/>
      <c r="JW212" s="112"/>
      <c r="JX212" s="112"/>
      <c r="JY212" s="111"/>
      <c r="JZ212" s="111"/>
      <c r="KA212" s="111"/>
      <c r="KB212" s="111"/>
      <c r="KC212" s="111"/>
      <c r="KD212" s="111"/>
      <c r="KE212" s="112" t="str">
        <f>HYPERLINK("http://www.frauenrechte.de/online/images/downloads/allgemein/TDF_Flyer_Women_Men.pdf","x")</f>
        <v>x</v>
      </c>
      <c r="KF212" s="112"/>
      <c r="KG212" s="111"/>
      <c r="KH212" s="111"/>
      <c r="KI212" s="111"/>
      <c r="KJ212" s="111"/>
      <c r="KK212" s="111"/>
      <c r="KL212" s="111"/>
      <c r="KM212" s="111"/>
      <c r="KN212" s="111"/>
      <c r="KO212" s="111"/>
      <c r="KP212" s="111"/>
      <c r="KQ212" s="111"/>
      <c r="KR212" s="111"/>
      <c r="KS212" s="111"/>
      <c r="KT212" s="111"/>
      <c r="KU212" s="111"/>
      <c r="KV212" s="111"/>
      <c r="KW212" s="111"/>
      <c r="KX212" s="111"/>
      <c r="KY212" s="111"/>
      <c r="KZ212" s="111"/>
      <c r="LA212" s="111"/>
      <c r="LB212" s="111"/>
      <c r="LC212" s="111"/>
      <c r="LD212" s="111"/>
      <c r="LE212" s="111"/>
      <c r="LF212" s="111"/>
      <c r="LG212" s="111"/>
      <c r="LH212" s="111"/>
      <c r="LI212" s="111"/>
      <c r="LJ212" s="111"/>
      <c r="LK212" s="111"/>
      <c r="LL212" s="111"/>
      <c r="LM212" s="111"/>
      <c r="LN212" s="111"/>
      <c r="LO212" s="111"/>
      <c r="LP212" s="111"/>
      <c r="LQ212" s="111"/>
      <c r="LR212" s="111"/>
      <c r="LS212" s="111"/>
      <c r="LT212" s="111"/>
      <c r="LU212" s="111"/>
      <c r="LV212" s="111"/>
      <c r="LW212" s="111"/>
      <c r="LX212" s="111"/>
      <c r="LY212" s="111"/>
      <c r="LZ212" s="111"/>
      <c r="MA212" s="111"/>
      <c r="MB212" s="111"/>
      <c r="MC212" s="111"/>
      <c r="MD212" s="111"/>
      <c r="ME212" s="111"/>
      <c r="MF212" s="111"/>
      <c r="MG212" s="111"/>
      <c r="MH212" s="111"/>
      <c r="MI212" s="111"/>
    </row>
    <row r="213" spans="1:347" x14ac:dyDescent="0.25">
      <c r="A213" s="102" t="s">
        <v>141</v>
      </c>
      <c r="B213" s="127" t="s">
        <v>135</v>
      </c>
      <c r="C213" s="102"/>
      <c r="D213" s="102"/>
      <c r="E213" s="102"/>
      <c r="F213" s="102"/>
      <c r="G213" s="102"/>
      <c r="H213" s="102"/>
      <c r="I213" s="102"/>
      <c r="J213" s="102"/>
      <c r="K213" s="103"/>
      <c r="L213" s="111"/>
      <c r="M213" s="111"/>
      <c r="N213" s="112" t="str">
        <f>HYPERLINK("http://www.ag-fluechtlingshilfe-wetterau.de/uploads/infos/170.pdf","x")</f>
        <v>x</v>
      </c>
      <c r="O213" s="112"/>
      <c r="P213" s="112"/>
      <c r="Q213" s="112"/>
      <c r="R213" s="112"/>
      <c r="S213" s="112"/>
      <c r="T213" s="112"/>
      <c r="U213" s="112"/>
      <c r="V213" s="112"/>
      <c r="W213" s="111"/>
      <c r="X213" s="112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2"/>
      <c r="AP213" s="112"/>
      <c r="AQ213" s="112"/>
      <c r="AR213" s="112"/>
      <c r="AS213" s="112"/>
      <c r="AT213" s="112"/>
      <c r="AU213" s="112"/>
      <c r="AV213" s="113"/>
      <c r="AW213" s="114" t="str">
        <f t="shared" si="78"/>
        <v>x</v>
      </c>
      <c r="AX213" s="114" t="str">
        <f t="shared" si="79"/>
        <v>x</v>
      </c>
      <c r="AY213" s="111"/>
      <c r="AZ213" s="111"/>
      <c r="BA213" s="112" t="str">
        <f t="shared" si="80"/>
        <v>x</v>
      </c>
      <c r="BB213" s="112" t="str">
        <f t="shared" si="81"/>
        <v>x</v>
      </c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2" t="str">
        <f t="shared" si="82"/>
        <v>x</v>
      </c>
      <c r="BT213" s="112"/>
      <c r="BU213" s="111"/>
      <c r="BV213" s="112" t="str">
        <f t="shared" si="83"/>
        <v>x</v>
      </c>
      <c r="BW213" s="112"/>
      <c r="BX213" s="112"/>
      <c r="BY213" s="112"/>
      <c r="BZ213" s="112"/>
      <c r="CA213" s="112" t="str">
        <f t="shared" si="84"/>
        <v>x</v>
      </c>
      <c r="CB213" s="112" t="str">
        <f t="shared" si="85"/>
        <v>x</v>
      </c>
      <c r="CC213" s="112" t="str">
        <f t="shared" si="86"/>
        <v>x</v>
      </c>
      <c r="CD213" s="112"/>
      <c r="CE213" s="112"/>
      <c r="CF213" s="111"/>
      <c r="CG213" s="111"/>
      <c r="CH213" s="111"/>
      <c r="CI213" s="111"/>
      <c r="CJ213" s="112" t="str">
        <f>HYPERLINK("https://www.hilfetelefon.de/fileadmin/hilfetelefon_de/Materialien/weitere_werbemittel/Klappflyer_Vorder-_und_Rueckseite_opt2.pdf","x")</f>
        <v>x</v>
      </c>
      <c r="CK213" s="112" t="str">
        <f t="shared" si="87"/>
        <v>x</v>
      </c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5"/>
      <c r="DD213" s="112"/>
      <c r="DE213" s="112"/>
      <c r="DF213" s="112" t="str">
        <f t="shared" si="88"/>
        <v>x</v>
      </c>
      <c r="DG213" s="115" t="str">
        <f t="shared" si="89"/>
        <v>x</v>
      </c>
      <c r="DH213" s="112" t="str">
        <f t="shared" si="90"/>
        <v>x</v>
      </c>
      <c r="DI213" s="112" t="str">
        <f t="shared" si="91"/>
        <v>x</v>
      </c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2"/>
      <c r="DV213" s="112" t="str">
        <f>HYPERLINK("https://www.bmbf.de/pub/KAUSA_Elternratgeber_deutsch_chinesisch_bf.pdf","x")</f>
        <v>x</v>
      </c>
      <c r="DW213" s="111"/>
      <c r="DX213" s="111"/>
      <c r="DY213" s="111"/>
      <c r="DZ213" s="111"/>
      <c r="EA213" s="111"/>
      <c r="EB213" s="112"/>
      <c r="EC213" s="111"/>
      <c r="ED213" s="111"/>
      <c r="EE213" s="111"/>
      <c r="EF213" s="111"/>
      <c r="EG213" s="111"/>
      <c r="EH213" s="111"/>
      <c r="EI213" s="111"/>
      <c r="EJ213" s="112"/>
      <c r="EK213" s="112"/>
      <c r="EL213" s="111"/>
      <c r="EM213" s="112" t="str">
        <f>HYPERLINK("http://www.kvs-sachsen.de/fileadmin/img/Mitglieder/Asylbewerber/Allg-Informationen/Anlage_1_Chinesisch_LEK.pdf","x")</f>
        <v>x</v>
      </c>
      <c r="EN213" s="111"/>
      <c r="EO213" s="111"/>
      <c r="EP213" s="117" t="str">
        <f>HYPERLINK("http://www.medi-bild.de/pdf/anamnese/Welche_Sprache.pdf","x")</f>
        <v>x</v>
      </c>
      <c r="EQ213" s="117" t="str">
        <f>HYPERLINK("http://www.medknowledge.de/migration/tipdoc/anamnesebogen/tipdoc_Anamnese_chin.pdf","x")</f>
        <v>x</v>
      </c>
      <c r="ER213" s="112" t="str">
        <f>HYPERLINK("http://www.kvs-sachsen.de/fileadmin/img/Mitglieder/Asylbewerber/Allg-Informationen/Anlagen_2-1_2-2_Chinesisch_LEK.pdf","x")</f>
        <v>x</v>
      </c>
      <c r="ES213" s="112"/>
      <c r="ET213" s="112"/>
      <c r="EU213" s="111"/>
      <c r="EV213" s="111"/>
      <c r="EW213" s="112" t="str">
        <f t="shared" si="92"/>
        <v>x</v>
      </c>
      <c r="EX213" s="111"/>
      <c r="EY213" s="111"/>
      <c r="EZ213" s="111"/>
      <c r="FA213" s="111"/>
      <c r="FB213" s="111"/>
      <c r="FC213" s="111"/>
      <c r="FD213" s="112" t="str">
        <f t="shared" si="93"/>
        <v>x</v>
      </c>
      <c r="FE213" s="111"/>
      <c r="FF213" s="111"/>
      <c r="FG213" s="111"/>
      <c r="FH213" s="111"/>
      <c r="FI213" s="111"/>
      <c r="FJ213" s="111"/>
      <c r="FK213" s="111"/>
      <c r="FL213" s="111"/>
      <c r="FM213" s="111"/>
      <c r="FN213" s="111"/>
      <c r="FO213" s="111"/>
      <c r="FP213" s="111"/>
      <c r="FQ213" s="111"/>
      <c r="FR213" s="111"/>
      <c r="FS213" s="111"/>
      <c r="FT213" s="111"/>
      <c r="FU213" s="111"/>
      <c r="FV213" s="111"/>
      <c r="FW213" s="111"/>
      <c r="FX213" s="111"/>
      <c r="FY213" s="111"/>
      <c r="FZ213" s="111"/>
      <c r="GA213" s="111"/>
      <c r="GB213" s="111"/>
      <c r="GC213" s="111"/>
      <c r="GD213" s="111"/>
      <c r="GE213" s="111"/>
      <c r="GF213" s="111"/>
      <c r="GG213" s="111"/>
      <c r="GH213" s="111"/>
      <c r="GI213" s="111"/>
      <c r="GJ213" s="111"/>
      <c r="GK213" s="111"/>
      <c r="GL213" s="111"/>
      <c r="GM213" s="111"/>
      <c r="GN213" s="111"/>
      <c r="GO213" s="111"/>
      <c r="GP213" s="111"/>
      <c r="GQ213" s="111"/>
      <c r="GR213" s="111"/>
      <c r="GS213" s="111"/>
      <c r="GT213" s="111"/>
      <c r="GU213" s="111"/>
      <c r="GV213" s="111"/>
      <c r="GW213" s="111"/>
      <c r="GX213" s="111"/>
      <c r="GY213" s="111"/>
      <c r="GZ213" s="111"/>
      <c r="HA213" s="111"/>
      <c r="HB213" s="111"/>
      <c r="HC213" s="112" t="str">
        <f t="shared" si="94"/>
        <v>x</v>
      </c>
      <c r="HD213" s="111"/>
      <c r="HE213" s="111"/>
      <c r="HF213" s="111"/>
      <c r="HG213" s="111"/>
      <c r="HH213" s="111"/>
      <c r="HI213" s="111"/>
      <c r="HJ213" s="111"/>
      <c r="HK213" s="112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2" t="str">
        <f t="shared" si="95"/>
        <v>x</v>
      </c>
      <c r="HZ213" s="112" t="str">
        <f t="shared" si="96"/>
        <v>x</v>
      </c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2"/>
      <c r="IL213" s="111"/>
      <c r="IM213" s="111"/>
      <c r="IN213" s="111"/>
      <c r="IO213" s="111"/>
      <c r="IP213" s="111"/>
      <c r="IQ213" s="112"/>
      <c r="IR213" s="112"/>
      <c r="IS213" s="111"/>
      <c r="IT213" s="111"/>
      <c r="IU213" s="111"/>
      <c r="IV213" s="112" t="str">
        <f>HYPERLINK("http://www.asyl.net/fileadmin/user_upload/infoblatt_anhoerung/Chin_final.pdf","x")</f>
        <v>x</v>
      </c>
      <c r="IW213" s="112"/>
      <c r="IX213" s="112"/>
      <c r="IY213" s="112" t="str">
        <f>HYPERLINK("http://www.bamf.de/SharedDocs/Anlagen/DE/Publikationen/Broschueren/broschuere-eat-a4-zh-chinesisch.pdf?__blob=publicationFile","x")</f>
        <v>x</v>
      </c>
      <c r="IZ213" s="111"/>
      <c r="JA213" s="111"/>
      <c r="JB213" s="111"/>
      <c r="JC213" s="112"/>
      <c r="JD213" s="111"/>
      <c r="JE213" s="112"/>
      <c r="JF213" s="112"/>
      <c r="JG213" s="111"/>
      <c r="JH213" s="111"/>
      <c r="JI213" s="111"/>
      <c r="JJ213" s="112"/>
      <c r="JK213" s="112"/>
      <c r="JL213" s="112"/>
      <c r="JM213" s="112"/>
      <c r="JN213" s="112"/>
      <c r="JO213" s="112"/>
      <c r="JP213" s="112"/>
      <c r="JQ213" s="112"/>
      <c r="JR213" s="112" t="str">
        <f t="shared" ref="JR213:JR218" si="97">HYPERLINK("http://www.ibla-germany.de/merkblaetter.php","x")</f>
        <v>x</v>
      </c>
      <c r="JS213" s="112"/>
      <c r="JT213" s="111"/>
      <c r="JU213" s="111"/>
      <c r="JV213" s="111"/>
      <c r="JW213" s="112"/>
      <c r="JX213" s="112"/>
      <c r="JY213" s="111"/>
      <c r="JZ213" s="111"/>
      <c r="KA213" s="111"/>
      <c r="KB213" s="111"/>
      <c r="KC213" s="111"/>
      <c r="KD213" s="111"/>
      <c r="KE213" s="111"/>
      <c r="KF213" s="111"/>
      <c r="KG213" s="111"/>
      <c r="KH213" s="111"/>
      <c r="KI213" s="111"/>
      <c r="KJ213" s="111"/>
      <c r="KK213" s="111"/>
      <c r="KL213" s="111"/>
      <c r="KM213" s="111"/>
      <c r="KN213" s="111"/>
      <c r="KO213" s="111"/>
      <c r="KP213" s="111"/>
      <c r="KQ213" s="111"/>
      <c r="KR213" s="111"/>
      <c r="KS213" s="111"/>
      <c r="KT213" s="111"/>
      <c r="KU213" s="111"/>
      <c r="KV213" s="111"/>
      <c r="KW213" s="111"/>
      <c r="KX213" s="111"/>
      <c r="KY213" s="111"/>
      <c r="KZ213" s="111"/>
      <c r="LA213" s="111"/>
      <c r="LB213" s="111"/>
      <c r="LC213" s="111"/>
      <c r="LD213" s="111"/>
      <c r="LE213" s="111"/>
      <c r="LF213" s="111"/>
      <c r="LG213" s="111"/>
      <c r="LH213" s="111"/>
      <c r="LI213" s="111"/>
      <c r="LJ213" s="111"/>
      <c r="LK213" s="111"/>
      <c r="LL213" s="111"/>
      <c r="LM213" s="111"/>
      <c r="LN213" s="111"/>
      <c r="LO213" s="111"/>
      <c r="LP213" s="111"/>
      <c r="LQ213" s="111"/>
      <c r="LR213" s="111"/>
      <c r="LS213" s="111"/>
      <c r="LT213" s="111"/>
      <c r="LU213" s="111"/>
      <c r="LV213" s="111"/>
      <c r="LW213" s="111"/>
      <c r="LX213" s="111"/>
      <c r="LY213" s="111"/>
      <c r="LZ213" s="111"/>
      <c r="MA213" s="111"/>
      <c r="MB213" s="111"/>
      <c r="MC213" s="111"/>
      <c r="MD213" s="111"/>
      <c r="ME213" s="111"/>
      <c r="MF213" s="111"/>
      <c r="MG213" s="111"/>
      <c r="MH213" s="111"/>
      <c r="MI213" s="111"/>
    </row>
    <row r="214" spans="1:347" x14ac:dyDescent="0.25">
      <c r="A214" s="102" t="s">
        <v>409</v>
      </c>
      <c r="B214" s="127" t="s">
        <v>5</v>
      </c>
      <c r="C214" s="102"/>
      <c r="D214" s="102"/>
      <c r="E214" s="102"/>
      <c r="F214" s="102"/>
      <c r="G214" s="102"/>
      <c r="H214" s="102"/>
      <c r="I214" s="102"/>
      <c r="J214" s="102"/>
      <c r="K214" s="103"/>
      <c r="L214" s="111"/>
      <c r="M214" s="111"/>
      <c r="N214" s="111"/>
      <c r="O214" s="111"/>
      <c r="P214" s="112" t="str">
        <f>HYPERLINK("http://www.awb-ahrweiler.de/admin/data/ddownload/Abfall%20Sonderhinweise-Franzoesisch%202015.pdf","x")</f>
        <v>x</v>
      </c>
      <c r="Q214" s="111"/>
      <c r="R214" s="111"/>
      <c r="S214" s="111"/>
      <c r="T214" s="111"/>
      <c r="U214" s="112" t="str">
        <f>HYPERLINK("http://www.ag-fluechtlingshilfe-wetterau.de/uploads/infos/191.pdf","x")</f>
        <v>x</v>
      </c>
      <c r="V214" s="112"/>
      <c r="W214" s="112"/>
      <c r="X214" s="111"/>
      <c r="Y214" s="112"/>
      <c r="Z214" s="112"/>
      <c r="AA214" s="112"/>
      <c r="AB214" s="112"/>
      <c r="AC214" s="112"/>
      <c r="AD214" s="112" t="str">
        <f>HYPERLINK("http://www.rundfunkbeitrag.de/e175/e1632/Informationsflyer_Buergerinnen_und_Buerger_franzoesisch.pdf","x")</f>
        <v>x</v>
      </c>
      <c r="AE214" s="112"/>
      <c r="AF214" s="112" t="str">
        <f>HYPERLINK("http://www.kub-berlin.org/formularprojekt/franzoesisch-antraege-und-anlagen-uebersetzungshilfen/","x")</f>
        <v>x</v>
      </c>
      <c r="AG214" s="112" t="str">
        <f>HYPERLINK("http://asyl-in-moenchengladbach.de/wp-content/uploads/2015/11/100711-Flyer_FR.pdf","x")</f>
        <v>x</v>
      </c>
      <c r="AH214" s="112" t="str">
        <f>HYPERLINK("http://sghanstedt.elbnetz.com/ueber-uns/","x")</f>
        <v>x</v>
      </c>
      <c r="AI214" s="111"/>
      <c r="AJ214" s="111"/>
      <c r="AK214" s="112" t="str">
        <f>HYPERLINK("https://www.vrsinfo.de/fileadmin/Dateien/downloadcenter/Folder_MobilPassTicket_Refugees01012016.pdf","x")</f>
        <v>x</v>
      </c>
      <c r="AL214" s="112" t="str">
        <f>HYPERLINK("https://www.vrsinfo.de/fileadmin/Dateien/downloadcenter/Willkommen_im_VRS2016_Druck.pdf","x")</f>
        <v>x</v>
      </c>
      <c r="AM214" s="112"/>
      <c r="AN214" s="112" t="str">
        <f>HYPERLINK("https://www.deutschebahn.com/file/de/2191748/eYdgZpqGpp5sMJ2KMKtg2r8aE4Q/10123812/data/infos_fuer_fluechtlinge.pdf","x")</f>
        <v>x</v>
      </c>
      <c r="AO214" s="112"/>
      <c r="AP214" s="112"/>
      <c r="AQ214" s="112"/>
      <c r="AR214" s="112"/>
      <c r="AS214" s="112"/>
      <c r="AT214" s="112"/>
      <c r="AU214" s="112"/>
      <c r="AV214" s="114" t="str">
        <f>HYPERLINK("http://www.studentenwerke.de/de/content/illustriertes-wohnheimw%C3%B6rterbuch-1","x")</f>
        <v>x</v>
      </c>
      <c r="AW214" s="114" t="str">
        <f t="shared" si="78"/>
        <v>x</v>
      </c>
      <c r="AX214" s="114" t="str">
        <f t="shared" si="79"/>
        <v>x</v>
      </c>
      <c r="AY214" s="111"/>
      <c r="AZ214" s="111"/>
      <c r="BA214" s="112" t="str">
        <f t="shared" si="80"/>
        <v>x</v>
      </c>
      <c r="BB214" s="112" t="str">
        <f t="shared" si="81"/>
        <v>x</v>
      </c>
      <c r="BC214" s="111"/>
      <c r="BD214" s="111"/>
      <c r="BE214" s="111"/>
      <c r="BF214" s="112" t="str">
        <f>HYPERLINK("http://fi-lohmar-siegburg.de/data/documents/communicationboard-arabic-french.pdf","x")</f>
        <v>x</v>
      </c>
      <c r="BG214" s="111"/>
      <c r="BH214" s="112" t="str">
        <f>HYPERLINK("http://www.refugeephrasebook.de/pdf/germany150920.pdf","x")</f>
        <v>x</v>
      </c>
      <c r="BI214" s="112" t="str">
        <f>HYPERLINK("https://www.advanced-online.eu/downloads/RefugeePhrasebookCards_German-French.pdf","x")</f>
        <v>x</v>
      </c>
      <c r="BJ214" s="112" t="str">
        <f>HYPERLINK("http://www.klett-sprachen.de/download/8638/W100255_Refugees_Welcome_Wortschatz.pdf","x")</f>
        <v>x</v>
      </c>
      <c r="BK214" s="111"/>
      <c r="BL214" s="112" t="str">
        <f>HYPERLINK("http://www.bundessprachenamt.de/deutsch/wir_ueber_uns/nachrichten/2015/20151103/Verständigungshilfe_Französisch_26_11_2015.pdf","x")</f>
        <v>x</v>
      </c>
      <c r="BM214" s="111"/>
      <c r="BN214" s="111"/>
      <c r="BO214" s="111"/>
      <c r="BP214" s="111"/>
      <c r="BQ214" s="111"/>
      <c r="BR214" s="111"/>
      <c r="BS214" s="112" t="str">
        <f t="shared" si="82"/>
        <v>x</v>
      </c>
      <c r="BT214" s="112"/>
      <c r="BU214" s="111"/>
      <c r="BV214" s="112" t="str">
        <f t="shared" si="83"/>
        <v>x</v>
      </c>
      <c r="BW214" s="112" t="str">
        <f>HYPERLINK("http://www.welcomegrooves.de/wp-content/uploads/2015/11/welcomegrooves-de-franzoesisch.pdf","x")</f>
        <v>x</v>
      </c>
      <c r="BX214" s="112"/>
      <c r="BY214" s="112"/>
      <c r="BZ214" s="112" t="str">
        <f>HYPERLINK("http://fluechtlingshilfe-nettetal.de/ausbildung/video-sprachkurse-deutsch-fuer-fluechtlinge/video-sprachkurs-franzoesisch-deutsch/","x")</f>
        <v>x</v>
      </c>
      <c r="CA214" s="112" t="str">
        <f t="shared" si="84"/>
        <v>x</v>
      </c>
      <c r="CB214" s="112" t="str">
        <f t="shared" si="85"/>
        <v>x</v>
      </c>
      <c r="CC214" s="112" t="str">
        <f t="shared" si="86"/>
        <v>x</v>
      </c>
      <c r="CD214" s="112"/>
      <c r="CE214" s="112"/>
      <c r="CF214" s="111"/>
      <c r="CG214" s="111"/>
      <c r="CH214" s="112" t="str">
        <f>HYPERLINK("http://mifkjf.rlp.de/fileadmin/mifkjf/Frauen/Gewalt_gegen_Frauen/Downloads/Broschueren_Flyer/Flyer_Gewalt_franzoesisch.pdf","x")</f>
        <v>x</v>
      </c>
      <c r="CI214" s="112" t="str">
        <f>HYPERLINK("https://www.hilfetelefon.de/fileadmin/hilfetelefon_de/Materialien/Flyer/Infoflyer_Hilfetelefon_Gewalt_gegen_Frauen141105_b2.pdf","x")</f>
        <v>x</v>
      </c>
      <c r="CJ214" s="112" t="str">
        <f>HYPERLINK("https://www.hilfetelefon.de/fileadmin/hilfetelefon_de/Materialien/weitere_werbemittel/Klappflyer_Vorder-_und_Rueckseite_opt2.pdf","x")</f>
        <v>x</v>
      </c>
      <c r="CK214" s="112" t="str">
        <f t="shared" si="87"/>
        <v>x</v>
      </c>
      <c r="CL214" s="112"/>
      <c r="CM214" s="112"/>
      <c r="CN214" s="112"/>
      <c r="CO214" s="112"/>
      <c r="CP214" s="112" t="str">
        <f>HYPERLINK("http://www.schwanger-und-viele-fragen.de/fr/","x")</f>
        <v>x</v>
      </c>
      <c r="CQ214" s="112"/>
      <c r="CR214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214" s="112" t="str">
        <f>HYPERLINK("http://en.beststart.org/for_parents/are-you-looking-resources-languages-other-english-and-french","x")</f>
        <v>x</v>
      </c>
      <c r="CT214" s="112"/>
      <c r="CU214" s="112" t="str">
        <f>HYPERLINK("http://www.profamilia.de/fileadmin/publikationen/Erwachsene/mehrsprachig/Bro_Verhuetung_frz_141002.pdf","x")</f>
        <v>x</v>
      </c>
      <c r="CV214" s="112"/>
      <c r="CW214" s="112"/>
      <c r="CX214" s="112"/>
      <c r="CY214" s="112" t="str">
        <f>HYPERLINK("http://www.caritas-schwarzwald-alb-donau.de/68854.html","x")</f>
        <v>x</v>
      </c>
      <c r="CZ214" s="112"/>
      <c r="DA214" s="112"/>
      <c r="DB214" s="112"/>
      <c r="DC214" s="115" t="str">
        <f>HYPERLINK("http://www.kindersicherheit.de/pdf/2013_BAG_Tomi_and_Mila_Deutsch_Francais.pdf","x")</f>
        <v>x</v>
      </c>
      <c r="DD214" s="112"/>
      <c r="DE214" s="112"/>
      <c r="DF214" s="112" t="str">
        <f t="shared" si="88"/>
        <v>x</v>
      </c>
      <c r="DG214" s="115" t="str">
        <f t="shared" si="89"/>
        <v>x</v>
      </c>
      <c r="DH214" s="112" t="str">
        <f t="shared" si="90"/>
        <v>x</v>
      </c>
      <c r="DI214" s="112" t="str">
        <f t="shared" si="91"/>
        <v>x</v>
      </c>
      <c r="DJ214" s="112"/>
      <c r="DK214" s="112"/>
      <c r="DL214" s="112"/>
      <c r="DM214" s="112"/>
      <c r="DN214" s="112"/>
      <c r="DO214" s="112"/>
      <c r="DP214" s="111"/>
      <c r="DQ214" s="111"/>
      <c r="DR214" s="112" t="str">
        <f>HYPERLINK("https://broschueren.nordrheinwestfalendirekt.de/broschuerenservice/msw/fr-das-schulsystem-in-nordrhein-westfalen-einfach-und-schnell-erklaert/1903","x")</f>
        <v>x</v>
      </c>
      <c r="DS214" s="112" t="str">
        <f>HYPERLINK("http://bildung.koeln.de/materialbibliothek/download.php?idx=6f75d59e17e7868506c0a48e6f7a44f2","x")</f>
        <v>x</v>
      </c>
      <c r="DT214" s="112" t="str">
        <f>HYPERLINK("http://bildung.koeln.de/materialbibliothek/download.php?idx=bde72be3f1bc4c51a4b0bcfe4a4187c4","x")</f>
        <v>x</v>
      </c>
      <c r="DU214" s="112"/>
      <c r="DV214" s="112" t="str">
        <f>HYPERLINK("https://www.bmbf.de/pub/KAUSA_Elternratgeber_deutsch_franzoesisch.pdf","x")</f>
        <v>x</v>
      </c>
      <c r="DW214" s="111"/>
      <c r="DX214" s="112" t="str">
        <f>HYPERLINK("http://www.wissenschaft.nrw.de/studium/informieren/informationen-fuer-fluechtlinge-die-in-nrw-studieren-moechten/","x")</f>
        <v>x</v>
      </c>
      <c r="DY214" s="111"/>
      <c r="DZ214" s="112" t="str">
        <f>HYPERLINK("http://www.bamf.de/SharedDocs/Anlagen/DE/Publikationen/Flyer/AnerkennungBerufsabschluss/anerkennung-berufsabschluss_fr.pdf?__blob=publicationFile","x")</f>
        <v>x</v>
      </c>
      <c r="EA214" s="112" t="str">
        <f>HYPERLINK("http://www.bamf.de/SharedDocs/Anlagen/DE/Publikationen/Flyer/AnerkennungBerufsabschluss/anerkennung-berufsabschluss_ausland_fr.pdf?__blob=publicationFile","x")</f>
        <v>x</v>
      </c>
      <c r="EB214" s="112" t="str">
        <f>HYPERLINK("http://www.bamf.de/SharedDocs/Anlagen/DE/Publikationen/Broschueren/willkommen-in-deutschland-info-blaue-karte-eu_fr.pdf?__blob=publicationFile","x")</f>
        <v>x</v>
      </c>
      <c r="EC214" s="112" t="str">
        <f>HYPERLINK("http://www.bamf.de/SharedDocs/Anlagen/DE/Publikationen/Flyer/Berufsbezsprachf-ESF-BAMF/berufsbezsprachf-esf-bamf_fr.pdf?__blob=publicationFile","x")</f>
        <v>x</v>
      </c>
      <c r="ED214" s="111"/>
      <c r="EE214" s="111"/>
      <c r="EF214" s="111"/>
      <c r="EG214" s="111"/>
      <c r="EH214" s="111"/>
      <c r="EI214" s="111"/>
      <c r="EJ214" s="112"/>
      <c r="EK214" s="112" t="str">
        <f>HYPERLINK("http://fluechtlingsrat-bw.de/files/Dateien/Dokumente/Materialbestellung/2014-12-flyer%20arbeitserlaubnis%20FRZ%20WEB.pdf","x")</f>
        <v>x</v>
      </c>
      <c r="EL214" s="111"/>
      <c r="EM214" s="112" t="str">
        <f>HYPERLINK("http://www.kvs-sachsen.de/fileadmin/img/Mitglieder/Asylbewerber/Allg-Informationen/Anlage_1_Franzoesisch_LEK.pdf","x")</f>
        <v>x</v>
      </c>
      <c r="EN214" s="112" t="str">
        <f>HYPERLINK("http://www.medizin-hilft-fluechtlingen.de/images/Dokumente/gSch/gSch_fra.pdf","x")</f>
        <v>x</v>
      </c>
      <c r="EO214" s="112"/>
      <c r="EP214" s="117" t="str">
        <f>HYPERLINK("http://www.medi-bild.de/pdf/anamnese/Welche_Sprache.pdf","x")</f>
        <v>x</v>
      </c>
      <c r="EQ214" s="117" t="str">
        <f>HYPERLINK("http://www.armut-gesundheit.de/fileadmin/redakteur/dokumente/Anamnesebogen%20-%20franz%C3%B6sischnew.pdf","x")</f>
        <v>x</v>
      </c>
      <c r="ER214" s="112" t="str">
        <f>HYPERLINK("http://www.kvs-sachsen.de/fileadmin/img/Mitglieder/Asylbewerber/Allg-Informationen/Anlagen_2-1_2-2_Franzoesisch_LEK.pdf","x")</f>
        <v>x</v>
      </c>
      <c r="ES214" s="111"/>
      <c r="ET214" s="111"/>
      <c r="EU214" s="112" t="str">
        <f>HYPERLINK("http://medizin-hilft-fluechtlingen.de/images/Dokumente/ein/ein_per.pdf","x")</f>
        <v>x</v>
      </c>
      <c r="EV214" s="112" t="str">
        <f>HYPERLINK("http://www.adler-apotheke-hh.de/fileadmin/user_upload/PDF-Dateien/Dosierzettel_mehrsprachig_AUF_0_.pdf","x")</f>
        <v>x</v>
      </c>
      <c r="EW214" s="112" t="str">
        <f t="shared" si="92"/>
        <v>x</v>
      </c>
      <c r="EX214" s="112" t="str">
        <f>HYPERLINK("http://www.rki.de/DE/Content/Infekt/IfSG/Belehrungsbogen/belehrungsbogen_eltern_franzoesisch.pdf?__blob=publicationFile","x")</f>
        <v>x</v>
      </c>
      <c r="EY214" s="111"/>
      <c r="EZ214" s="112" t="str">
        <f>HYPERLINK("https://www.mh-hannover.de/fileadmin/mhh/bilder/aktuelles_presse/pressestelle/bilder/Pilzvergif_franzoesisch.pdf","x")</f>
        <v>x</v>
      </c>
      <c r="FA214" s="112"/>
      <c r="FB214" s="112" t="str">
        <f>HYPERLINK("http://static.apotheken-umschau.de/media/gp/article_506373/bildwoerterbuch.pdf","x")</f>
        <v>x</v>
      </c>
      <c r="FC214" s="111"/>
      <c r="FD214" s="112" t="str">
        <f t="shared" si="93"/>
        <v>x</v>
      </c>
      <c r="FE214" s="112" t="str">
        <f>HYPERLINK("http://sghanstedt.elbnetz.com/ueber-uns/","x")</f>
        <v>x</v>
      </c>
      <c r="FF214" s="111"/>
      <c r="FG214" s="112" t="str">
        <f>HYPERLINK("http://www.tipdoc.de/grafik/asyl/Gesundheitsheft_Asyl.pdf","x")</f>
        <v>x</v>
      </c>
      <c r="FH214" s="111"/>
      <c r="FI214" s="111"/>
      <c r="FJ214" s="112"/>
      <c r="FK214" s="112" t="str">
        <f>HYPERLINK("http://www.rki.de/DE/Content/Infekt/Impfen/Materialien/Downloads-Impfkalender/Impfkalender_Franzoesisch.pdf?__blob=publicationFile","x")</f>
        <v>x</v>
      </c>
      <c r="FL214" s="112" t="str">
        <f>HYPERLINK("http://www.ethno-medizinisches-zentrum.de/images/PDF-Files/impfwegweiser_franzosisch_2013_online.pdf","x")</f>
        <v>x</v>
      </c>
      <c r="FM214" s="112"/>
      <c r="FN214" s="112" t="str">
        <f>HYPERLINK("http://www.rki.de/DE/Content/Infekt/Impfen/Materialien/Glossar-Downloads/glossar-de-franzoesisch.pdf?__blob=publicationFile","x")</f>
        <v>x</v>
      </c>
      <c r="FO214" s="112" t="str">
        <f>HYPERLINK("http://www.euro.who.int/__data/assets/pdf_file/0012/162300/VPD-Signs,-symptoms-and-complications-FRE.pdf","x")</f>
        <v>x</v>
      </c>
      <c r="FP214" s="112" t="str">
        <f>HYPERLINK("http://www.rki.de/DE/Content/Infekt/Impfen/Materialien/Downloads-MMR/MMR-Impfinfo-franzoesisch.pdf?__blob=publicationFile","x")</f>
        <v>x</v>
      </c>
      <c r="FQ214" s="112" t="str">
        <f>HYPERLINK("http://www.rki.de/DE/Content/InfAZ/P/Polio/Ausbruch_Syrien/Informationsblatt_Polio_Franzoesisch.pdf?__blob=publicationFile","x")</f>
        <v>x</v>
      </c>
      <c r="FR214" s="112" t="str">
        <f>HYPERLINK("http://www.rki.de/DE/Content/Infekt/Impfen/Materialien/Downloads_HepA/Aufklaerung_HAV-Impfung_Franzoesisch.pdf?__blob=publicationFile","x")</f>
        <v>x</v>
      </c>
      <c r="FS214" s="112" t="str">
        <f>HYPERLINK("http://www.rki.de/DE/Content/Infekt/Impfen/Materialien/Downloads_Pneumokokken/Aufklaerung_Pneumo-Impfung_Franzoesisch.pdf?__blob=publicationFile","x")</f>
        <v>x</v>
      </c>
      <c r="FT214" s="112" t="str">
        <f>HYPERLINK("http://www.rki.de/DE/Content/Infekt/Impfen/Materialien/Downloads-DTaPIPVHibHepB/DTaPIPVHibHepB-franzoesisch.pdf?__blob=publicationFile","x")</f>
        <v>x</v>
      </c>
      <c r="FU214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214" s="112" t="str">
        <f>HYPERLINK("http://www.rki.de/DE/Content/Infekt/Impfen/Materialien/Downloads-Tdap-IPV/Tdap-IPV-franzoesisch.pdf?__blob=publicationFile","x")</f>
        <v>x</v>
      </c>
      <c r="FW214" s="112" t="str">
        <f>HYPERLINK("http://www.rki.de/DE/Content/Infekt/Impfen/Materialien/Downloads-Influenza_nasal/Influenza_nasal-franzoesisch.pdf?__blob=publicationFile","x")</f>
        <v>x</v>
      </c>
      <c r="FX214" s="111"/>
      <c r="FY214" s="112"/>
      <c r="FZ214" s="112"/>
      <c r="GA214" s="111"/>
      <c r="GB214" s="111"/>
      <c r="GC214" s="111"/>
      <c r="GD214" s="112" t="str">
        <f>HYPERLINK("http://www.ethno-medizinisches-zentrum.de/images/PDF-Files/lf_diabete_franzosisch.pdf","x")</f>
        <v>x</v>
      </c>
      <c r="GE214" s="111"/>
      <c r="GF214" s="111"/>
      <c r="GG214" s="111"/>
      <c r="GH214" s="112"/>
      <c r="GI214" s="111"/>
      <c r="GJ214" s="111"/>
      <c r="GK214" s="112" t="str">
        <f>HYPERLINK("http://www.tipdoc.de/bus/pdf/hiv/HIV%20SRF_Webseite.pdf","x")</f>
        <v>x</v>
      </c>
      <c r="GL214" s="111"/>
      <c r="GM214" s="112" t="str">
        <f>HYPERLINK("http://www.rki.de/DE/Content/Infekt/Impfen/Materialien/Downloads-Influenza/Influenza-franzoesisch.pdf?__blob=publicationFile","x")</f>
        <v>x</v>
      </c>
      <c r="GN214" s="111"/>
      <c r="GO214" s="111"/>
      <c r="GP214" s="112" t="str">
        <f>HYPERLINK("http://www.tipdoc.de/grafik/pdf/kopflaeuse/Kopflaeuse_FRANZ.pdf","x")</f>
        <v>x</v>
      </c>
      <c r="GQ214" s="112"/>
      <c r="GR214" s="112" t="str">
        <f>HYPERLINK("http://www.tipdoc.com/bus/pdf/kraetze/tipdoc_Scabies_FRANZ.pdf","x")</f>
        <v>x</v>
      </c>
      <c r="GS214" s="112" t="str">
        <f>HYPERLINK("http://www.tipdoc.com/bus/pdf/MagenDarmHaende/MagenDarmHaende_FRANZ.pdf","x")</f>
        <v>x</v>
      </c>
      <c r="GT214" s="111"/>
      <c r="GU214" s="111"/>
      <c r="GV214" s="111"/>
      <c r="GW214" s="111"/>
      <c r="GX214" s="111"/>
      <c r="GY214" s="111"/>
      <c r="GZ214" s="111"/>
      <c r="HA214" s="111"/>
      <c r="HB214" s="111"/>
      <c r="HC214" s="112" t="str">
        <f t="shared" si="94"/>
        <v>x</v>
      </c>
      <c r="HD214" s="112" t="str">
        <f>HYPERLINK("https://www.zahnaerzte-wl.de/images/_PDF-suche/KZV_ZÄK/ENDSTAND_Ankreuzbogen_Ich_verstehe.pdf","x")</f>
        <v>x</v>
      </c>
      <c r="HE214" s="112" t="str">
        <f>HYPERLINK("https://www.zahnaerzte-wl.de/images/_PDF-suche/KZV_ZÄK/Anschreiben_Patienten_franzoesisch.pdf","x")</f>
        <v>x</v>
      </c>
      <c r="HF214" s="112" t="str">
        <f>HYPERLINK("https://www.zahnaerzte-wl.de/images/_PDF-suche/KZV_ZÄK/Fragebogen_franzoesisch.pdf","x")</f>
        <v>x</v>
      </c>
      <c r="HG214" s="112" t="str">
        <f>HYPERLINK("https://www.zahnaerzte-wl.de/images/_PDF-suche/KZV_ZÄK/Patientenerhebungsbogen_franzoesisch.pdf","x")</f>
        <v>x</v>
      </c>
      <c r="HH214" s="112"/>
      <c r="HI214" s="112" t="str">
        <f>HYPERLINK("http://www.bvkm.de/fileadmin/web_data/Behinderung_und_Migration_franzoesisch_2014.pdf","x")</f>
        <v>x</v>
      </c>
      <c r="HJ214" s="112"/>
      <c r="HK214" s="112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2" t="str">
        <f t="shared" si="95"/>
        <v>x</v>
      </c>
      <c r="HZ214" s="112" t="str">
        <f t="shared" si="96"/>
        <v>x</v>
      </c>
      <c r="IA214" s="112" t="str">
        <f>HYPERLINK("http://peacefulheart.se/wp-content/uploads/2015/01/Tapping_French_Module-20150102-2.pdf","x")</f>
        <v>x</v>
      </c>
      <c r="IB214" s="111"/>
      <c r="IC214" s="111"/>
      <c r="ID214" s="111"/>
      <c r="IE214" s="111"/>
      <c r="IF214" s="111"/>
      <c r="IG214" s="111"/>
      <c r="IH214" s="111"/>
      <c r="II214" s="112" t="str">
        <f>HYPERLINK("http://www.caritas.de/hilfeundberatung/onlineberatung/suchtberatung/haeufiggestelltefragensucht/haeufiggestelltefragen-sucht","x")</f>
        <v>x</v>
      </c>
      <c r="IJ214" s="111"/>
      <c r="IK214" s="112" t="str">
        <f>HYPERLINK("http://www.bamf.de/SharedDocs/Anlagen/DE/Publikationen/Flyer/Lassen-Sie-Sich-Beraten/lassen-sie-sich-beraten_fr.pdf?__blob=publicationFile","x")</f>
        <v>x</v>
      </c>
      <c r="IL214" s="112" t="str">
        <f>HYPERLINK("http://www.bamf.de/SharedDocs/Anlagen/DE/Publikationen/Flyer/flyer-erstorientierung-asylsuchende_franzoesisch.pdf?__blob=publicationFile","x")</f>
        <v>x</v>
      </c>
      <c r="IM214" s="112" t="str">
        <f>HYPERLINK("http://www.frnrw.de/index.php/inhaltliche-themen/arbeitshilfen/item/3710-erstinfos-fuer-asylsuchende","x")</f>
        <v>x</v>
      </c>
      <c r="IN214" s="112" t="str">
        <f>HYPERLINK("https://www.bamf.de/SharedDocs/Anlagen/DE/Publikationen/Broschueren/willkommen-in-deutschland_fr.pdf?__blob=publicationFile","x")</f>
        <v>x</v>
      </c>
      <c r="IO214" s="112"/>
      <c r="IP214" s="112"/>
      <c r="IQ214" s="112" t="str">
        <f>HYPERLINK("http://www.bamf.de/SharedDocs/Anlagen/DE/Publikationen/Flyer/Lernen-Sie-Deutsch/lernen-sie-deutsch_fr.pdf?__blob=publicationFile","x")</f>
        <v>x</v>
      </c>
      <c r="IR214" s="112"/>
      <c r="IS214" s="111"/>
      <c r="IT214" s="111"/>
      <c r="IU214" s="111"/>
      <c r="IV214" s="112" t="str">
        <f>HYPERLINK("http://www.asyl.net/fileadmin/user_upload/infoblatt_anhoerung/Frz_final.pdf","x")</f>
        <v>x</v>
      </c>
      <c r="IW214" s="112"/>
      <c r="IX214" s="112" t="str">
        <f>HYPERLINK("http://www.berlin.de/labo/willkommen-in-berlin/service/downloads/artikel.273193.php","x")</f>
        <v>x</v>
      </c>
      <c r="IY214" s="112" t="str">
        <f>HYPERLINK("http://www.bamf.de/SharedDocs/Anlagen/DE/Publikationen/Broschueren/broschuere-eat-a4-fr-franzoesisch.pdf?__blob=publicationFile","x")</f>
        <v>x</v>
      </c>
      <c r="IZ214" s="111"/>
      <c r="JA214" s="112" t="str">
        <f>HYPERLINK("http://fluechtlingsrat-bw.de/informationen-fuer-fluechtlinge.html","x")</f>
        <v>x</v>
      </c>
      <c r="JB214" s="111"/>
      <c r="JC214" s="112" t="str">
        <f>HYPERLINK("http://www.bamf.de/SharedDocs/Anlagen/DE/Publikationen/Flyer/20150223_ura2_fra.pdf?__blob=publicationFile","x")</f>
        <v>x</v>
      </c>
      <c r="JD214" s="111"/>
      <c r="JE214" s="112"/>
      <c r="JF214" s="112"/>
      <c r="JG214" s="112"/>
      <c r="JH214" s="112"/>
      <c r="JI214" s="111"/>
      <c r="JJ214" s="112" t="str">
        <f>HYPERLINK("http://www.kub-berlin.org/formularprojekt/franzoesisch-antraege-und-anlagen-uebersetzungshilfen/","x")</f>
        <v>x</v>
      </c>
      <c r="JK214" s="112" t="str">
        <f>HYPERLINK("https://www.arbeitsagentur.de/web/wcm/idc/groups/public/documents/webdatei/mdaw/mjg1/~edisp/l6019022dstbai788667.pdf?_ba.sid=L6019022DSTBAI784626","x")</f>
        <v>x</v>
      </c>
      <c r="JL214" s="112" t="str">
        <f>HYPERLINK("http://www.kub-berlin.org/formularprojekt/franzoesisch-antraege-und-anlagen-uebersetzungshilfen/","x")</f>
        <v>x</v>
      </c>
      <c r="JM214" s="112" t="str">
        <f>HYPERLINK("https://www.arbeitsagentur.de/web/content/DE/Formulare/Detail/index.htm?dfContentId=L6019022DSTBAI485740","x")</f>
        <v>x</v>
      </c>
      <c r="JN214" s="112"/>
      <c r="JO214" s="112"/>
      <c r="JP214" s="112"/>
      <c r="JQ214" s="112"/>
      <c r="JR214" s="112" t="str">
        <f t="shared" si="97"/>
        <v>x</v>
      </c>
      <c r="JS214" s="112"/>
      <c r="JT214" s="112" t="str">
        <f>HYPERLINK("http://www.b-umf.de/images/willkommen/willkommensbroschurefranzoesisch-web.pdf","x")</f>
        <v>x</v>
      </c>
      <c r="JU214" s="111"/>
      <c r="JV214" s="111"/>
      <c r="JW214" s="112"/>
      <c r="JX214" s="112"/>
      <c r="JY214" s="112"/>
      <c r="JZ214" s="112"/>
      <c r="KA214" s="112"/>
      <c r="KB214" s="112" t="str">
        <f>HYPERLINK("http://www.refugeeguide.de/dl/RefugeeGuide_fr_925.pdf","x")</f>
        <v>x</v>
      </c>
      <c r="KC214" s="111"/>
      <c r="KD214" s="112" t="str">
        <f>HYPERLINK("http://www.wedel.de/fileadmin/user_upload/media/pdf/Rathaus_und_Politik/20160118_PM_Broschuere.pdf","x")</f>
        <v>x</v>
      </c>
      <c r="KE214" s="112" t="str">
        <f>HYPERLINK("http://www.frauenrechte.de/online/images/downloads/allgemein/TDF_Flyer_Women_Men.pdf","x")</f>
        <v>x</v>
      </c>
      <c r="KF214" s="112" t="str">
        <f>HYPERLINK("http://sab.landtag.sachsen.de/dokumente/landtagskurier/Grundwerte-A5-international_web_08012016.pdf","x")</f>
        <v>x</v>
      </c>
      <c r="KG214" s="112"/>
      <c r="KH214" s="112"/>
      <c r="KI214" s="112"/>
      <c r="KJ214" s="112"/>
      <c r="KK214" s="112"/>
      <c r="KL214" s="112"/>
      <c r="KM214" s="112"/>
      <c r="KN214" s="112"/>
      <c r="KO214" s="112"/>
      <c r="KP214" s="112"/>
      <c r="KQ214" s="112"/>
      <c r="KR214" s="112"/>
      <c r="KS214" s="112"/>
      <c r="KT214" s="112"/>
      <c r="KU214" s="112"/>
      <c r="KV214" s="112"/>
      <c r="KW214" s="112"/>
      <c r="KX214" s="112"/>
      <c r="KY214" s="112"/>
      <c r="KZ214" s="112"/>
      <c r="LA214" s="112"/>
      <c r="LB214" s="112"/>
      <c r="LC214" s="111"/>
      <c r="LD214" s="112"/>
      <c r="LE214" s="112"/>
      <c r="LF214" s="112"/>
      <c r="LG214" s="112"/>
      <c r="LH214" s="112"/>
      <c r="LI214" s="112"/>
      <c r="LJ214" s="112"/>
      <c r="LK214" s="112"/>
      <c r="LL214" s="112"/>
      <c r="LM214" s="111"/>
      <c r="LN214" s="111"/>
      <c r="LO214" s="111"/>
      <c r="LP214" s="111"/>
      <c r="LQ214" s="112"/>
      <c r="LR214" s="111"/>
      <c r="LS214" s="112"/>
      <c r="LT214" s="112"/>
      <c r="LU214" s="111"/>
      <c r="LV214" s="111"/>
      <c r="LW214" s="111"/>
      <c r="LX214" s="111"/>
      <c r="LY214" s="111"/>
      <c r="LZ214" s="111"/>
      <c r="MA214" s="111"/>
      <c r="MB214" s="112"/>
      <c r="MC214" s="111"/>
      <c r="MD214" s="112" t="str">
        <f>HYPERLINK("http://www.rki.de/DE/Content/Infekt/IfSG/Belehrungsbogen/belehrungsbogen_lebensmittel_franzoesisch.pdf?__blob=publicationFile","x")</f>
        <v>x</v>
      </c>
      <c r="ME214" s="111"/>
      <c r="MF214" s="112" t="str">
        <f>HYPERLINK("http://www.gdv.de/wp-content/uploads/2016/01/Information_Brandschutz_Fluechtlingsheim_-Sicherheit_mehrsprachig.pdf","x")</f>
        <v>x</v>
      </c>
      <c r="MG214" s="112" t="str">
        <f>HYPERLINK("http://www.gdv.de/wp-content/uploads/2016/01/Information_Verhalten-im-Brandfall_mehrsprachig.pdf","x")</f>
        <v>x</v>
      </c>
      <c r="MH214" s="112" t="str">
        <f>HYPERLINK("http://www.aha-region.de/fileadmin/Download/pdf/aha_Plakat_Muelltrennung_fr.pdf","x")</f>
        <v>x</v>
      </c>
      <c r="MI214" s="112" t="str">
        <f>HYPERLINK("http://www.kindersicherheit.de/pdf/2012_poster_achtunggiftig_8sprachig.pdf","x")</f>
        <v>x</v>
      </c>
    </row>
    <row r="215" spans="1:347" x14ac:dyDescent="0.25">
      <c r="A215" s="102" t="s">
        <v>68</v>
      </c>
      <c r="B215" s="127" t="s">
        <v>1</v>
      </c>
      <c r="C215" s="102"/>
      <c r="D215" s="102"/>
      <c r="E215" s="102"/>
      <c r="F215" s="102"/>
      <c r="G215" s="102"/>
      <c r="H215" s="102"/>
      <c r="I215" s="102"/>
      <c r="J215" s="102"/>
      <c r="K215" s="103"/>
      <c r="L215" s="112" t="str">
        <f>HYPERLINK("http://sghanstedt.elbnetz.com/ueber-uns/","x")</f>
        <v>x</v>
      </c>
      <c r="M215" s="111"/>
      <c r="N215" s="112" t="str">
        <f>HYPERLINK("http://www.ag-fluechtlingshilfe-wetterau.de/uploads/infos/170.pdf","x")</f>
        <v>x</v>
      </c>
      <c r="O215" s="112" t="str">
        <f>HYPERLINK("http://www.ag-fluechtlingshilfe-wetterau.de/uploads/infos/220.pdf","x")</f>
        <v>x</v>
      </c>
      <c r="P215" s="112" t="str">
        <f>HYPERLINK("http://www.awb-ahrweiler.de/admin/data/ddownload/Abfall%20Sonderhinweise-Arabisch%202015.pdf","x")</f>
        <v>x</v>
      </c>
      <c r="Q215" s="112" t="str">
        <f>HYPERLINK("http://www.ag-fluechtlingshilfe-wetterau.de/uploads/infos/221.pdf","x")</f>
        <v>x</v>
      </c>
      <c r="R215" s="112" t="str">
        <f>HYPERLINK("http://www.konto.org/download/merkblatt-basiskonto-asylbewerber-arabisch.pdf","x")</f>
        <v>x</v>
      </c>
      <c r="S215" s="112"/>
      <c r="T215" s="112" t="str">
        <f>HYPERLINK("https://antworten.sparkasse.de/wp-content/uploads/2015/10/Arabisch.pdf","x")</f>
        <v>x</v>
      </c>
      <c r="U215" s="112" t="str">
        <f>HYPERLINK("http://www.ag-fluechtlingshilfe-wetterau.de/uploads/infos/191.pdf","x")</f>
        <v>x</v>
      </c>
      <c r="V215" s="112"/>
      <c r="W215" s="112"/>
      <c r="X215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15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15" s="112"/>
      <c r="AA215" s="112"/>
      <c r="AB215" s="112"/>
      <c r="AC215" s="112"/>
      <c r="AD215" s="112" t="str">
        <f>HYPERLINK("http://www.rundfunkbeitrag.de/e175/e1629/Informationsflyer_Buergerinnen_und_Buerger_arabisch.pdf","x")</f>
        <v>x</v>
      </c>
      <c r="AE215" s="112"/>
      <c r="AF215" s="112" t="str">
        <f>HYPERLINK("http://www.kub-berlin.org/formularprojekt/de/arabisch-antraege-und-anlagen/","x")</f>
        <v>x</v>
      </c>
      <c r="AG215" s="112" t="str">
        <f>HYPERLINK("http://asyl-in-moenchengladbach.de/wp-content/uploads/2015/11/100711-Flyer_arab.pdf","x")</f>
        <v>x</v>
      </c>
      <c r="AH215" s="111"/>
      <c r="AI215" s="112" t="str">
        <f>HYPERLINK("https://www.adac.de/sp/stiftung/_mmm/pdf/SGE_FOL_Verkehrssicherheit_Fl%C3%BCchtlinge_A3_01_16_Internet_250277.pdf","x")</f>
        <v>x</v>
      </c>
      <c r="AJ215" s="112" t="str">
        <f>HYPERLINK("http://www.stadt-koeln.de/mediaasset/content/العربية_kvb_kinderleicht_und_spielend_einfach__arabisch_.pdf","x")</f>
        <v>x</v>
      </c>
      <c r="AK215" s="112" t="str">
        <f>HYPERLINK("https://www.vrsinfo.de/fileadmin/Dateien/downloadcenter/Folder_MobilPassTicket_Refugees01012016.pdf","x")</f>
        <v>x</v>
      </c>
      <c r="AL215" s="112" t="str">
        <f>HYPERLINK("https://www.vrsinfo.de/fileadmin/Dateien/downloadcenter/Willkommen_im_VRS2016_Druck.pdf","x")</f>
        <v>x</v>
      </c>
      <c r="AM215" s="112"/>
      <c r="AN215" s="112" t="str">
        <f>HYPERLINK("https://www.deutschebahn.com/file/de/2191748/eYdgZpqGpp5sMJ2KMKtg2r8aE4Q/10123812/data/infos_fuer_fluechtlinge.pdf","x")</f>
        <v>x</v>
      </c>
      <c r="AO215" s="112"/>
      <c r="AP215" s="112"/>
      <c r="AQ215" s="112"/>
      <c r="AR215" s="112"/>
      <c r="AS215" s="112"/>
      <c r="AT215" s="112" t="str">
        <f>HYPERLINK("http://www.koelnerkarneval.de/fileadmin/content/images/news/Festkomitee_Flyer_DE_AR.pdf","x")</f>
        <v>x</v>
      </c>
      <c r="AU215" s="112"/>
      <c r="AV215" s="114" t="str">
        <f>HYPERLINK("http://www.studentenwerke.de/de/content/illustriertes-wohnheimw%C3%B6rterbuch-1","x")</f>
        <v>x</v>
      </c>
      <c r="AW215" s="114" t="str">
        <f t="shared" si="78"/>
        <v>x</v>
      </c>
      <c r="AX215" s="114" t="str">
        <f t="shared" si="79"/>
        <v>x</v>
      </c>
      <c r="AY215" s="112" t="str">
        <f>HYPERLINK("http://fi-lohmar-siegburg.de/data/documents/Findefix_arabisch-Bildwoerterbuch.pdf","x")</f>
        <v>x</v>
      </c>
      <c r="AZ215" s="111"/>
      <c r="BA215" s="112" t="str">
        <f t="shared" si="80"/>
        <v>x</v>
      </c>
      <c r="BB215" s="112" t="str">
        <f t="shared" si="81"/>
        <v>x</v>
      </c>
      <c r="BC215" s="112"/>
      <c r="BD215" s="112" t="str">
        <f>HYPERLINK("http://www.rehavista.de/?at=Mat_Boardmaker&amp;d=1&amp;dtype=mat&amp;id=1014","x")</f>
        <v>x</v>
      </c>
      <c r="BE215" s="112" t="str">
        <f>HYPERLINK("http://fi-lohmar-siegburg.de/data/documents/communicationboard-arabic-english.pdf","x")</f>
        <v>x</v>
      </c>
      <c r="BF215" s="112" t="str">
        <f>HYPERLINK("http://fi-lohmar-siegburg.de/data/documents/communicationboard-arabic-french.pdf","x")</f>
        <v>x</v>
      </c>
      <c r="BG215" s="111"/>
      <c r="BH215" s="112" t="str">
        <f>HYPERLINK("http://www.refugeephrasebook.de/pdf/germany150920.pdf","x")</f>
        <v>x</v>
      </c>
      <c r="BI215" s="112" t="str">
        <f>HYPERLINK("https://www.advanced-online.eu/downloads/RefugeePhrasebookCards_German-Arabic.pdf","x")</f>
        <v>x</v>
      </c>
      <c r="BJ215" s="112" t="str">
        <f>HYPERLINK("http://www.klett-sprachen.de/download/8638/W100255_Refugees_Welcome_Wortschatz.pdf","x")</f>
        <v>x</v>
      </c>
      <c r="BK215" s="112" t="str">
        <f>HYPERLINK("http://www.agf-trier.de/sites/default/files/bersetzungshilfe%20allgemein%20Arab..pdf","x")</f>
        <v>x</v>
      </c>
      <c r="BL215" s="112" t="str">
        <f>HYPERLINK("http://www.bundessprachenamt.de/deutsch/wir_ueber_uns/nachrichten/2015/20151103/Verständigungshilfe_Syrisch-Arabisch_07_12_2015.pdf","x")</f>
        <v>x</v>
      </c>
      <c r="BM215" s="112" t="str">
        <f>HYPERLINK("http://www.frnrw.de/images/Aus_den_Initiativen/Ehrenamtler/2015/Dictionary_x10_print-2.pdf","x")</f>
        <v>x</v>
      </c>
      <c r="BN215" s="112" t="str">
        <f>HYPERLINK("http://www.medbox.org/toolboxes/kleines-worterbuch-little-dictionary-deutsch-englisch-arabisch/preview","x")</f>
        <v>x</v>
      </c>
      <c r="BO215" s="111"/>
      <c r="BP215" s="111"/>
      <c r="BQ215" s="112" t="str">
        <f>HYPERLINK("https://www.friedensdorf.de/documents/Woerterbuch_Arabisch.pdf","x")</f>
        <v>x</v>
      </c>
      <c r="BR215" s="111"/>
      <c r="BS215" s="112" t="str">
        <f t="shared" si="82"/>
        <v>x</v>
      </c>
      <c r="BT215" s="112" t="str">
        <f>HYPERLINK("http://de.langenscheidt.com/doc/arabisch-deutsch-sprachfuehrer.pdf","x")</f>
        <v>x</v>
      </c>
      <c r="BU215" s="111"/>
      <c r="BV215" s="112" t="str">
        <f t="shared" si="83"/>
        <v>x</v>
      </c>
      <c r="BW215" s="112" t="str">
        <f>HYPERLINK("http://www.welcomegrooves.de/wp-content/uploads/2015/10/welcomegrooves_DE-ARABISCH.pdf","x")</f>
        <v>x</v>
      </c>
      <c r="BX215" s="112"/>
      <c r="BY215" s="112"/>
      <c r="BZ215" s="112" t="str">
        <f>HYPERLINK("http://fluechtlingshilfe-nettetal.de/ausbildung/video-sprachkurse-deutsch-fuer-fluechtlinge/video-sprachkurs-syrisch-deutsch/","x")</f>
        <v>x</v>
      </c>
      <c r="CA215" s="112" t="str">
        <f t="shared" si="84"/>
        <v>x</v>
      </c>
      <c r="CB215" s="112" t="str">
        <f t="shared" si="85"/>
        <v>x</v>
      </c>
      <c r="CC215" s="112" t="str">
        <f t="shared" si="86"/>
        <v>x</v>
      </c>
      <c r="CD215" s="112"/>
      <c r="CE215" s="112"/>
      <c r="CF215" s="112" t="str">
        <f>HYPERLINK("http://www.agf-trier.de/sites/default/files/bersetzungshilfe%20%20f%C3%BCr%20Frauen%20Arab..pdf","x")</f>
        <v>x</v>
      </c>
      <c r="CG215" s="112" t="str">
        <f>HYPERLINK("http://www.braunschweig.de/leben/frauen/hilfe/Ohne-Gewalt-leben.pdf","x")</f>
        <v>x</v>
      </c>
      <c r="CH215" s="112" t="str">
        <f>HYPERLINK("http://mifkjf.rlp.de/fileadmin/mifkjf/Frauen/Gewalt_gegen_Frauen/Downloads/Broschueren_Flyer/Flyer_Gewalt_arabisch_fuer_ANSICHT.pdf","x")</f>
        <v>x</v>
      </c>
      <c r="CI215" s="112"/>
      <c r="CJ215" s="112" t="str">
        <f>HYPERLINK("https://www.hilfetelefon.de/fileadmin/hilfetelefon_de/Materialien/weitere_werbemittel/Klappflyer_Vorder-_und_Rueckseite_opt2.pdf","x")</f>
        <v>x</v>
      </c>
      <c r="CK215" s="112" t="str">
        <f t="shared" si="87"/>
        <v>x</v>
      </c>
      <c r="CL215" s="112" t="str">
        <f>HYPERLINK("http://www.frauenberatungsstelle.de/pdf/Migrantinnen-beraten-Migrantinnen.pdf","x")</f>
        <v>x</v>
      </c>
      <c r="CM215" s="112"/>
      <c r="CN215" s="112"/>
      <c r="CO215" s="112"/>
      <c r="CP215" s="112" t="str">
        <f>HYPERLINK("http://www.schwanger-und-viele-fragen.de/ar/","x")</f>
        <v>x</v>
      </c>
      <c r="CQ215" s="112"/>
      <c r="CR215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15" s="112"/>
      <c r="CT215" s="112"/>
      <c r="CU215" s="112" t="str">
        <f>HYPERLINK("http://www.profamilia.de/fileadmin/publikationen/Erwachsene/mehrsprachig/verhuetung_arabisch.pdf","x")</f>
        <v>x</v>
      </c>
      <c r="CV215" s="112"/>
      <c r="CW215" s="112"/>
      <c r="CX215" s="112"/>
      <c r="CY215" s="112" t="str">
        <f>HYPERLINK("http://www.caritas-schwarzwald-alb-donau.de/68854.html","x")</f>
        <v>x</v>
      </c>
      <c r="CZ215" s="112"/>
      <c r="DA215" s="112" t="str">
        <f>HYPERLINK("http://sichere-orte-schaffen.de/wp-content/uploads/Minibrosch_Fluechtlinge_multilang.pdf","x")</f>
        <v>x</v>
      </c>
      <c r="DB215" s="112"/>
      <c r="DC215" s="115" t="str">
        <f>HYPERLINK("http://www.kindersicherheit.de/pdf/2012_Bilderbuch-Gift-Arabisch.pdf","x")</f>
        <v>x</v>
      </c>
      <c r="DD215" s="112"/>
      <c r="DE215" s="112"/>
      <c r="DF215" s="112" t="str">
        <f t="shared" si="88"/>
        <v>x</v>
      </c>
      <c r="DG215" s="115" t="str">
        <f t="shared" si="89"/>
        <v>x</v>
      </c>
      <c r="DH215" s="112" t="str">
        <f t="shared" si="90"/>
        <v>x</v>
      </c>
      <c r="DI215" s="112" t="str">
        <f t="shared" si="91"/>
        <v>x</v>
      </c>
      <c r="DJ215" s="112" t="str">
        <f>HYPERLINK("http://www.bibliomedia.ch/de/angebote/dokumente/Glossar_arabisch.pdf","x")</f>
        <v>x</v>
      </c>
      <c r="DK215" s="112"/>
      <c r="DL215" s="112" t="str">
        <f>HYPERLINK("http://www.carlsen.de/sites/default/files/Walter-ebook_arabisch_klein.pdf","x")</f>
        <v>x</v>
      </c>
      <c r="DM215" s="112"/>
      <c r="DN215" s="112"/>
      <c r="DO215" s="112" t="str">
        <f>HYPERLINK("http://www.wdrmaus.de/sachgeschichten/maus-international/","x")</f>
        <v>x</v>
      </c>
      <c r="DP215" s="111"/>
      <c r="DQ215" s="112" t="str">
        <f>HYPERLINK("http://tipdoc.de/bus/grafik/kinder-tip/SCHULTIP_give_didacta.pdf","x")</f>
        <v>x</v>
      </c>
      <c r="DR215" s="112" t="str">
        <f>HYPERLINK("https://broschueren.nordrheinwestfalendirekt.de/broschuerenservice/msw/ar-das-schulsystem-in-nordrhein-westfalen-einfach-und-schnell-erklaert/1901","x")</f>
        <v>x</v>
      </c>
      <c r="DS215" s="112" t="str">
        <f>HYPERLINK("http://bildung.koeln.de/materialbibliothek/download.php?idx=7479da9798519efb4e1944d46a76011b","x")</f>
        <v>x</v>
      </c>
      <c r="DT215" s="112" t="str">
        <f>HYPERLINK("http://bildung.koeln.de/materialbibliothek/download.php?idx=dd3a964c240308ea1c8e0d161e49e314","x")</f>
        <v>x</v>
      </c>
      <c r="DU215" s="112"/>
      <c r="DV215" s="112" t="str">
        <f>HYPERLINK("https://www.bmbf.de/pub/Kausa_Elternbroschuere_arabisch.pdf","x")</f>
        <v>x</v>
      </c>
      <c r="DW215" s="112"/>
      <c r="DX215" s="112" t="str">
        <f>HYPERLINK("http://www.wissenschaft.nrw.de/studium/informieren/informationen-fuer-fluechtlinge-die-in-nrw-studieren-moechten/","x")</f>
        <v>x</v>
      </c>
      <c r="DY215" s="112" t="str">
        <f>HYPERLINK("http://www.bamf.de/SharedDocs/Anlagen/DE/Publikationen/Flyer/AnerkennungBerufsabschluss/berufliche_anerkennung_akademische-heilberufe_ar.pdf?__blob=publicationFile","x")</f>
        <v>x</v>
      </c>
      <c r="DZ215" s="112" t="str">
        <f>HYPERLINK("http://www.bamf.de/SharedDocs/Anlagen/DE/Publikationen/Flyer/AnerkennungBerufsabschluss/anerkennung-berufsabschluss_ar.pdf?__blob=publicationFile","x")</f>
        <v>x</v>
      </c>
      <c r="EA215" s="112" t="str">
        <f>HYPERLINK("http://www.bamf.de/SharedDocs/Anlagen/DE/Publikationen/Flyer/AnerkennungBerufsabschluss/anerkennung-berufsabschluss_ausland_ar.pdf?__blob=publicationFile","x")</f>
        <v>x</v>
      </c>
      <c r="EB215" s="112" t="str">
        <f>HYPERLINK("http://www.bamf.de/SharedDocs/Anlagen/DE/Publikationen/Broschueren/willkommen-in-deutschland-info-blaue-karte-eu_ar.pdf?__blob=publicationFile","x")</f>
        <v>x</v>
      </c>
      <c r="EC215" s="112" t="str">
        <f>HYPERLINK("http://www.bamf.de/SharedDocs/Anlagen/DE/Publikationen/Flyer/Berufsbezsprachf-ESF-BAMF/berufsbezsprachf-esf-bamf_ar.pdf?__blob=publicationFile","x")</f>
        <v>x</v>
      </c>
      <c r="ED215" s="111"/>
      <c r="EE215" s="111"/>
      <c r="EF215" s="111"/>
      <c r="EG215" s="111"/>
      <c r="EH215" s="111"/>
      <c r="EI215" s="111"/>
      <c r="EJ215" s="112"/>
      <c r="EK215" s="112" t="str">
        <f>HYPERLINK("http://fluechtlingsrat-bw.de/files/Dateien/Dokumente/Materialbestellung/2014-12-flyer%20arbeitserlaubnis%20AR%20WEB_final.pdf","x")</f>
        <v>x</v>
      </c>
      <c r="EL215" s="112" t="str">
        <f>HYPERLINK("http://www.aponet.de/arabisch/20151019-fuer-den-notfall-wichtige-rufnummern-im-ueberblick.html","x")</f>
        <v>x</v>
      </c>
      <c r="EM215" s="112" t="str">
        <f>HYPERLINK("http://www.kvs-sachsen.de/fileadmin/img/Mitglieder/Asylbewerber/Allg-Informationen/Anlage_1_Arabisch_LEK.pdf","x")</f>
        <v>x</v>
      </c>
      <c r="EN215" s="112" t="str">
        <f>HYPERLINK("http://www.medizin-hilft-fluechtlingen.de/images/Dokumente/gSch/gSch_arab.pdf","x")</f>
        <v>x</v>
      </c>
      <c r="EO215" s="112" t="str">
        <f>HYPERLINK("http://www.aponet.de/arabisch/20151016-medizinische-leistungen-fuer-asylbewerber.html","x")</f>
        <v>x</v>
      </c>
      <c r="EP215" s="117" t="str">
        <f>HYPERLINK("http://www.medi-bild.de/pdf/anamnese/Welche_Sprache.pdf","x")</f>
        <v>x</v>
      </c>
      <c r="EQ215" s="117" t="str">
        <f>HYPERLINK("http://www.armut-gesundheit.de/fileadmin/redakteur/dokumente/Anamnesebogen%20-%20Arabischnew.pdf","x")</f>
        <v>x</v>
      </c>
      <c r="ER215" s="112" t="str">
        <f>HYPERLINK("http://www.kvs-sachsen.de/fileadmin/img/Mitglieder/Asylbewerber/Allg-Informationen/Anlagen_2-1_2-2_Arabisch_LEK.pdf","x")</f>
        <v>x</v>
      </c>
      <c r="ES215" s="112"/>
      <c r="ET215" s="112" t="str">
        <f>HYPERLINK("http://www.pharmazeutische-zeitung.de/fileadmin/pdf/Fragebogen_PZ_43_2015.pdf","x")</f>
        <v>x</v>
      </c>
      <c r="EU215" s="112" t="str">
        <f>HYPERLINK("http://www.medizin-hilft-fluechtlingen.de/images/Dokumente/ein/ein_arab.pdf","x")</f>
        <v>x</v>
      </c>
      <c r="EV215" s="112" t="str">
        <f>HYPERLINK("http://www.adler-apotheke-hh.de/fileadmin/user_upload/PDF-Dateien/Dosierzettel_mehrsprachig_AUF_0_.pdf","x")</f>
        <v>x</v>
      </c>
      <c r="EW215" s="112" t="str">
        <f t="shared" si="92"/>
        <v>x</v>
      </c>
      <c r="EX215" s="112" t="str">
        <f>HYPERLINK("http://www.rki.de/DE/Content/Infekt/IfSG/Belehrungsbogen/belehrungsbogen_eltern_arabisch.pdf?__blob=publicationFile","x")</f>
        <v>x</v>
      </c>
      <c r="EY215" s="112" t="str">
        <f>HYPERLINK("http://www.bzga.de/infomaterialien/?sid=236","x")</f>
        <v>x</v>
      </c>
      <c r="EZ215" s="112" t="str">
        <f>HYPERLINK("https://www.mh-hannover.de/fileadmin/mhh/bilder/aktuelles_presse/presseinformationen_news/150921_Pilz_Vergif_Arab_3.pdf","x")</f>
        <v>x</v>
      </c>
      <c r="FA215" s="112"/>
      <c r="FB215" s="112" t="str">
        <f>HYPERLINK("http://static.apotheken-umschau.de/media/gp/article_506373/bildwoerterbuch.pdf","x")</f>
        <v>x</v>
      </c>
      <c r="FC215" s="111"/>
      <c r="FD215" s="112" t="str">
        <f t="shared" si="93"/>
        <v>x</v>
      </c>
      <c r="FE215" s="112" t="str">
        <f>HYPERLINK("http://sghanstedt.elbnetz.com/ueber-uns/","x")</f>
        <v>x</v>
      </c>
      <c r="FF215" s="112" t="str">
        <f>HYPERLINK("http://www.fuhlenhagen.com/pdf_dateien/uebertzungshilfe_aerzte_mehrsprachig.pdf","x")</f>
        <v>x</v>
      </c>
      <c r="FG215" s="112" t="str">
        <f>HYPERLINK("http://www.tipdoc.de/grafik/asyl/Gesundheitsheft_Asyl.pdf","x")</f>
        <v>x</v>
      </c>
      <c r="FH215" s="111"/>
      <c r="FI215" s="111"/>
      <c r="FJ215" s="112" t="str">
        <f>HYPERLINK("http://www.bundesgesundheitsministerium.de/fileadmin/dateien/Publikationen/Gesundheit/Broschueren/Ratgeber_Asylsuchende/Ratgeber_Asylsuchende_arab.PDF","x")</f>
        <v>x</v>
      </c>
      <c r="FK215" s="112" t="str">
        <f>HYPERLINK("http://www.rki.de/DE/Content/Infekt/Impfen/Materialien/Downloads-Impfkalender/Impfkalender_Arabisch.pdf?__blob=publicationFile","x")</f>
        <v>x</v>
      </c>
      <c r="FL215" s="112" t="str">
        <f>HYPERLINK("http://www.ethno-medizinisches-zentrum.de/images/PDF-Files/impfwegweiser_arabbisch_2013_online.pdf","x")</f>
        <v>x</v>
      </c>
      <c r="FM215" s="112"/>
      <c r="FN215" s="112" t="str">
        <f>HYPERLINK("http://www.rki.de/DE/Content/Infekt/Impfen/Materialien/Glossar-Downloads/glossar-de-arabisch.pdf?__blob=publicationFile","x")</f>
        <v>x</v>
      </c>
      <c r="FO215" s="112"/>
      <c r="FP215" s="112" t="str">
        <f>HYPERLINK("http://www.rki.de/DE/Content/Infekt/Impfen/Materialien/Downloads-MMR/MMR-Impfinfo-arabisch.pdf?__blob=publicationFile","x")</f>
        <v>x</v>
      </c>
      <c r="FQ215" s="112" t="str">
        <f>HYPERLINK("http://www.rki.de/DE/Content/InfAZ/P/Polio/Ausbruch_Syrien/Informationsblatt_Polio_Arabisch.pdf?__blob=publicationFile","x")</f>
        <v>x</v>
      </c>
      <c r="FR215" s="112" t="str">
        <f>HYPERLINK("http://www.rki.de/DE/Content/Infekt/Impfen/Materialien/Downloads_HepA/Aufklaerung_HAV-Impfung_arabisch.pdf?__blob=publicationFile","x")</f>
        <v>x</v>
      </c>
      <c r="FS215" s="112" t="str">
        <f>HYPERLINK("http://www.rki.de/DE/Content/Infekt/Impfen/Materialien/Downloads_Pneumokokken/Aufklaerung_Pneumo-Impfung_Arabisch.pdf?__blob=publicationFile","x")</f>
        <v>x</v>
      </c>
      <c r="FT215" s="112" t="str">
        <f>HYPERLINK("http://www.rki.de/DE/Content/Infekt/Impfen/Materialien/Downloads-DTaPIPVHibHepB/DTaPIPVHibHepB_arabisch.pdf?__blob=publicationFile","x")</f>
        <v>x</v>
      </c>
      <c r="FU215" s="112" t="str">
        <f>HYPERLINK("http://www.rki.de/DE/Content/Infekt/Impfen/Materialien/Downloads-Varizellen/Varizellen-Impfinfo-arabisch.pdf;jsessionid=65B697F4EE7EDA8A1ED9E2C4CD6C74EC.2_cid363?__blob=publicationFile","x")</f>
        <v>x</v>
      </c>
      <c r="FV215" s="112" t="str">
        <f>HYPERLINK("http://www.rki.de/DE/Content/Infekt/Impfen/Materialien/Downloads-Tdap-IPV/Tdap-IPV-arabisch.pdf?__blob=publicationFile","x")</f>
        <v>x</v>
      </c>
      <c r="FW215" s="112" t="str">
        <f>HYPERLINK("http://www.rki.de/DE/Content/Infekt/Impfen/Materialien/Downloads-Influenza_nasal/Influenza_nasal-arabisch.pdf?__blob=publicationFile","x")</f>
        <v>x</v>
      </c>
      <c r="FX215" s="112" t="str">
        <f>HYPERLINK("http://www.medical-tribune.de/fileadmin/PDF/Arthrose_arabisch.pdf","x")</f>
        <v>x</v>
      </c>
      <c r="FY215" s="112" t="str">
        <f>HYPERLINK("http://www.medical-tribune.de/fileadmin/PDF/Asthma_arabisch.pdf","x")</f>
        <v>x</v>
      </c>
      <c r="FZ215" s="112" t="str">
        <f>HYPERLINK("http://www.medical-tribune.de/fileadmin/PDF/Bluthochdruck_arabisch.pdf","x")</f>
        <v>x</v>
      </c>
      <c r="GA215" s="112"/>
      <c r="GB215" s="112" t="str">
        <f>HYPERLINK("http://www.medical-tribune.de/fileadmin/PDF/COPD_arabisch.pdf","x")</f>
        <v>x</v>
      </c>
      <c r="GC215" s="112"/>
      <c r="GD215" s="112" t="str">
        <f>HYPERLINK("http://www.ethno-medizinisches-zentrum.de/images/PDF-Files/lf_diabete_arab.pdf","x")</f>
        <v>x</v>
      </c>
      <c r="GE215" s="112"/>
      <c r="GF215" s="112"/>
      <c r="GG215" s="112"/>
      <c r="GH215" s="112"/>
      <c r="GI215" s="112" t="str">
        <f>HYPERLINK("http://www.tipdoc.de/bus/pdf/hepatitis/Hep_B_Webseite.pdf","x")</f>
        <v>x</v>
      </c>
      <c r="GJ215" s="112" t="str">
        <f>HYPERLINK("http://www.tipdoc.de/bus/pdf/hepatitis/Hep_C_Webseite.pdf","x")</f>
        <v>x</v>
      </c>
      <c r="GK215" s="111"/>
      <c r="GL215" s="111"/>
      <c r="GM215" s="112" t="str">
        <f>HYPERLINK("http://www.rki.de/DE/Content/Infekt/Impfen/Materialien/Downloads-Influenza/Influenza-arabisch.pdf?__blob=publicationFile","x")</f>
        <v>x</v>
      </c>
      <c r="GN215" s="112"/>
      <c r="GO215" s="112" t="str">
        <f>HYPERLINK("http://www.aponet.de/arabisch/20151111-so-unterscheiden-sich-grippe-und-erkaeltung.html","x")</f>
        <v>x</v>
      </c>
      <c r="GP215" s="112" t="str">
        <f>HYPERLINK("http://www.tipdoc.de/grafik/pdf/kopflaeuse/Kopflaeuse_ARAB.pdf","x")</f>
        <v>x</v>
      </c>
      <c r="GQ215" s="112"/>
      <c r="GR215" s="112" t="str">
        <f>HYPERLINK("http://www.tipdoc.com/bus/pdf/kraetze/tipdoc_Scabies_ARAB.pdf","x")</f>
        <v>x</v>
      </c>
      <c r="GS215" s="112" t="str">
        <f>HYPERLINK("http://www.tipdoc.com/bus/pdf/MagenDarmHaende/MagenDarmHaende_Arab.pdf","x")</f>
        <v>x</v>
      </c>
      <c r="GT215" s="112"/>
      <c r="GU215" s="112" t="str">
        <f>HYPERLINK("http://www.medical-tribune.de/fileadmin/PDF/Rueckenschmerzen_arabisch.pdf","x")</f>
        <v>x</v>
      </c>
      <c r="GV215" s="112"/>
      <c r="GW215" s="112"/>
      <c r="GX215" s="112" t="str">
        <f>HYPERLINK("http://www.medical-tribune.de/fileadmin/PDF/Schwindel_arabisch.pdf","x")</f>
        <v>x</v>
      </c>
      <c r="GY215" s="112"/>
      <c r="GZ215" s="112"/>
      <c r="HA215" s="112"/>
      <c r="HB215" s="112"/>
      <c r="HC215" s="112" t="str">
        <f t="shared" si="94"/>
        <v>x</v>
      </c>
      <c r="HD215" s="112" t="str">
        <f>HYPERLINK("https://www.zahnaerzte-wl.de/images/_PDF-suche/KZV_ZÄK/ENDSTAND_Ankreuzbogen_Ich_verstehe.pdf","x")</f>
        <v>x</v>
      </c>
      <c r="HE215" s="112" t="str">
        <f>HYPERLINK("https://www.zahnaerzte-wl.de/images/_PDF-suche/KZV_ZÄK/Anschreiben_Patienten_arabisch.pdf","x")</f>
        <v>x</v>
      </c>
      <c r="HF215" s="112" t="str">
        <f>HYPERLINK("https://www.zahnaerzte-wl.de/images/_PDF-suche/KZV_ZÄK/Fragebogen_arabisch.pdf","x")</f>
        <v>x</v>
      </c>
      <c r="HG215" s="112" t="str">
        <f>HYPERLINK("https://www.zahnaerzte-wl.de/images/_PDF-suche/KZV_ZÄK/Patientenerhebungsbogen_arabisch.pdf","x")</f>
        <v>x</v>
      </c>
      <c r="HH215" s="112"/>
      <c r="HI215" s="112"/>
      <c r="HJ215" s="112" t="str">
        <f>HYPERLINK("http://www.ibbc-berlin.de/media/Bro_de-arab.pdf","x")</f>
        <v>x</v>
      </c>
      <c r="HK215" s="112"/>
      <c r="HL215" s="112" t="str">
        <f>HYPERLINK("http://www.ethno-medizinisches-zentrum.de/images/PDF-Files/lf_depression__arab.pdf","x")</f>
        <v>x</v>
      </c>
      <c r="HM215" s="112"/>
      <c r="HN215" s="112"/>
      <c r="HO215" s="112"/>
      <c r="HP215" s="112"/>
      <c r="HQ215" s="112"/>
      <c r="HR215" s="112"/>
      <c r="HS215" s="112"/>
      <c r="HT215" s="112"/>
      <c r="HU215" s="112"/>
      <c r="HV215" s="112"/>
      <c r="HW215" s="112"/>
      <c r="HX215" s="112" t="str">
        <f>HYPERLINK("http://www.bkk-psychisch-gesund.de/fileadmin/user_upload/Dokumente/Versicherte/Broschueren/Wegweiser_Psychotherapie_arabisch.pdf","x")</f>
        <v>x</v>
      </c>
      <c r="HY215" s="112" t="str">
        <f t="shared" si="95"/>
        <v>x</v>
      </c>
      <c r="HZ215" s="112" t="str">
        <f t="shared" si="96"/>
        <v>x</v>
      </c>
      <c r="IA215" s="112"/>
      <c r="IB215" s="112"/>
      <c r="IC215" s="112"/>
      <c r="ID215" s="112" t="str">
        <f>HYPERLINK("http://www.susannestein.de/VIA-online/trauma-bilderbuch-arabisch.pdf","x")</f>
        <v>x</v>
      </c>
      <c r="IE215" s="112"/>
      <c r="IF215" s="112"/>
      <c r="IG215" s="112"/>
      <c r="IH215" s="111"/>
      <c r="II215" s="112"/>
      <c r="IJ215" s="112"/>
      <c r="IK215" s="112" t="str">
        <f>HYPERLINK("http://www.bamf.de/SharedDocs/Anlagen/DE/Publikationen/Flyer/Lassen-Sie-Sich-Beraten/lassen-sie-sich-beraten_ar.pdf?__blob=publicationFile","x")</f>
        <v>x</v>
      </c>
      <c r="IL215" s="112" t="str">
        <f>HYPERLINK("http://www.bamf.de/SharedDocs/Anlagen/DE/Publikationen/Flyer/flyer-erstorientierung-asylsuchende_arabisch.pdf?__blob=publicationFile","x")</f>
        <v>x</v>
      </c>
      <c r="IM215" s="111"/>
      <c r="IN215" s="112" t="str">
        <f>HYPERLINK("https://www.bamf.de/SharedDocs/Anlagen/DE/Publikationen/Broschueren/willkommen-in-deutschland_ar.pdf?__blob=publicationFile","x")</f>
        <v>x</v>
      </c>
      <c r="IO215" s="112"/>
      <c r="IP215" s="111"/>
      <c r="IQ215" s="112" t="str">
        <f>HYPERLINK("http://www.bamf.de/SharedDocs/Anlagen/DE/Publikationen/Flyer/Lernen-Sie-Deutsch/lernen-sie-deutsch_ar.pdf?__blob=publicationFile","x")</f>
        <v>x</v>
      </c>
      <c r="IR215" s="112" t="str">
        <f>HYPERLINK("http://www.asyl.net/fileadmin/user_upload/redaktion/Dokumente/Arbeitshilfen/150910_Wie_l%C3%A4uft_ein_Asylverfahren_ab_%C3%9Cberblickstext_Arabisch.pdf","x")</f>
        <v>x</v>
      </c>
      <c r="IS215" s="111"/>
      <c r="IT215" s="111"/>
      <c r="IU215" s="111"/>
      <c r="IV215" s="112" t="str">
        <f>HYPERLINK("http://www.asyl.net/fileadmin/user_upload/infoblatt_anhoerung/Infoblatt_2015_ar_fin.pdf","x")</f>
        <v>x</v>
      </c>
      <c r="IW215" s="112" t="str">
        <f>HYPERLINK("http://efi-landsberg.de/asyl/wp-content/uploads/2014/04/Merkblatt-Asylbewerber-Fluechtlinge.pdf","x")</f>
        <v>x</v>
      </c>
      <c r="IX215" s="112"/>
      <c r="IY215" s="112" t="str">
        <f>HYPERLINK("http://www.bamf.de/SharedDocs/Anlagen/DE/Publikationen/Broschueren/broschuere-eat-a4-ar-arabisch.pdf?__blob=publicationFile","x")</f>
        <v>x</v>
      </c>
      <c r="IZ215" s="111"/>
      <c r="JA215" s="112" t="str">
        <f>HYPERLINK("http://fluechtlingsrat-bw.de/informationen-fuer-fluechtlinge.html","x")</f>
        <v>x</v>
      </c>
      <c r="JB215" s="111"/>
      <c r="JC215" s="112"/>
      <c r="JD215" s="111"/>
      <c r="JE215" s="112"/>
      <c r="JF215" s="112"/>
      <c r="JG215" s="112" t="str">
        <f>HYPERLINK("http://www.bamf.de/SharedDocs/Anlagen/DE/Publikationen/Flyer/Ehegattennachzug/ehegattennachzug-ar.pdf?__blob=publicationFile","x")</f>
        <v>x</v>
      </c>
      <c r="JH215" s="112" t="str">
        <f>HYPERLINK("https://familyreunion-syria.diplo.de/webportal/index.html#start","x")</f>
        <v>x</v>
      </c>
      <c r="JI215" s="111"/>
      <c r="JJ215" s="112"/>
      <c r="JK215" s="112" t="str">
        <f>HYPERLINK("https://www.arbeitsagentur.de/web/wcm/idc/groups/public/documents/webdatei/mdaw/mjgz/~edisp/l6019022dstbai784629.pdf?_ba.sid=L6019022DSTBAI788745","x")</f>
        <v>x</v>
      </c>
      <c r="JL215" s="112" t="str">
        <f>HYPERLINK("http://www.kub-berlin.org/formularprojekt/de/arabisch-antraege-und-anlagen/","x")</f>
        <v>x</v>
      </c>
      <c r="JM215" s="112" t="str">
        <f>HYPERLINK("https://www.arbeitsagentur.de/web/content/DE/Formulare/Detail/index.htm?dfContentId=L6019022DSTBAI485740","x")</f>
        <v>x</v>
      </c>
      <c r="JN215" s="112"/>
      <c r="JO215" s="112"/>
      <c r="JP215" s="112"/>
      <c r="JQ215" s="112"/>
      <c r="JR215" s="112" t="str">
        <f t="shared" si="97"/>
        <v>x</v>
      </c>
      <c r="JS215" s="112"/>
      <c r="JT215" s="112" t="str">
        <f>HYPERLINK("http://www.b-umf.de/images/willkommen/willkommensbroschurearabisch-web.pdf","x")</f>
        <v>x</v>
      </c>
      <c r="JU215" s="111"/>
      <c r="JV215" s="111"/>
      <c r="JW215" s="112"/>
      <c r="JX215" s="112"/>
      <c r="JY215" s="112"/>
      <c r="JZ215" s="112"/>
      <c r="KA215" s="112" t="str">
        <f>HYPERLINK("http://www.kas.de/wf/de/33.43117/","x")</f>
        <v>x</v>
      </c>
      <c r="KB215" s="112" t="str">
        <f>HYPERLINK("http://www.refugeeguide.de/dl/RefugeeGuide_ar_930.pdf","x")</f>
        <v>x</v>
      </c>
      <c r="KC215" s="112" t="str">
        <f>HYPERLINK("http://www.bpb.de/shop/buecher/grundgesetz/215136/grundgesetz-auf-arabisch","x")</f>
        <v>x</v>
      </c>
      <c r="KD215" s="112" t="str">
        <f>HYPERLINK("http://www.wedel.de/fileadmin/user_upload/media/pdf/Rathaus_und_Politik/20160118_PM_Broschuere.pdf","x")</f>
        <v>x</v>
      </c>
      <c r="KE215" s="112" t="str">
        <f>HYPERLINK("http://www.frauenrechte.de/online/images/downloads/allgemein/TDF_Flyer_Women_Men.pdf","x")</f>
        <v>x</v>
      </c>
      <c r="KF215" s="112" t="str">
        <f>HYPERLINK("http://sab.landtag.sachsen.de/dokumente/landtagskurier/Grundwerte-A5-international_web_08012016.pdf","x")</f>
        <v>x</v>
      </c>
      <c r="KG215" s="112"/>
      <c r="KH215" s="112"/>
      <c r="KI215" s="112"/>
      <c r="KJ215" s="112"/>
      <c r="KK215" s="112"/>
      <c r="KL215" s="112"/>
      <c r="KM215" s="112"/>
      <c r="KN215" s="112"/>
      <c r="KO215" s="112"/>
      <c r="KP215" s="112"/>
      <c r="KQ215" s="112"/>
      <c r="KR215" s="112"/>
      <c r="KS215" s="112"/>
      <c r="KT215" s="112"/>
      <c r="KU215" s="112"/>
      <c r="KV215" s="112"/>
      <c r="KW215" s="112"/>
      <c r="KX215" s="112"/>
      <c r="KY215" s="112"/>
      <c r="KZ215" s="112"/>
      <c r="LA215" s="112"/>
      <c r="LB215" s="112"/>
      <c r="LC215" s="111"/>
      <c r="LD215" s="111"/>
      <c r="LE215" s="111"/>
      <c r="LF215" s="111"/>
      <c r="LG215" s="112"/>
      <c r="LH215" s="111"/>
      <c r="LI215" s="111"/>
      <c r="LJ215" s="111"/>
      <c r="LK215" s="111"/>
      <c r="LL215" s="111"/>
      <c r="LM215" s="111"/>
      <c r="LN215" s="111"/>
      <c r="LO215" s="111"/>
      <c r="LP215" s="111"/>
      <c r="LQ215" s="111"/>
      <c r="LR215" s="111"/>
      <c r="LS215" s="111"/>
      <c r="LT215" s="112"/>
      <c r="LU215" s="111"/>
      <c r="LV215" s="111"/>
      <c r="LW215" s="111"/>
      <c r="LX215" s="111"/>
      <c r="LY215" s="111"/>
      <c r="LZ215" s="112" t="str">
        <f>HYPERLINK("http://www.bjf.info/projekte/cinemanya","x")</f>
        <v>x</v>
      </c>
      <c r="MA215" s="111"/>
      <c r="MB215" s="111"/>
      <c r="MC215" s="111"/>
      <c r="MD215" s="112" t="str">
        <f>HYPERLINK("http://www.rki.de/DE/Content/Infekt/IfSG/Belehrungsbogen/belehrungsbogen_lebensmittel_arabisch.pdf?__blob=publicationFile","x")</f>
        <v>x</v>
      </c>
      <c r="ME215" s="111"/>
      <c r="MF215" s="112" t="str">
        <f>HYPERLINK("http://www.gdv.de/wp-content/uploads/2016/01/Information_Brandschutz_Fluechtlingsheim_-Sicherheit_mehrsprachig.pdf","x")</f>
        <v>x</v>
      </c>
      <c r="MG215" s="112" t="str">
        <f>HYPERLINK("http://www.gdv.de/wp-content/uploads/2016/01/Information_Verhalten-im-Brandfall_mehrsprachig.pdf","x")</f>
        <v>x</v>
      </c>
      <c r="MH215" s="112" t="str">
        <f>HYPERLINK("http://www.aha-region.de/fileadmin/Download/pdf/aha_Plakat_Muelltrennung_ar.pdf","x")</f>
        <v>x</v>
      </c>
      <c r="MI215" s="112" t="str">
        <f>HYPERLINK("http://www.kindersicherheit.de/pdf/2012_poster_achtunggiftig_8sprachig.pdf","x")</f>
        <v>x</v>
      </c>
    </row>
    <row r="216" spans="1:347" x14ac:dyDescent="0.25">
      <c r="A216" s="102" t="s">
        <v>68</v>
      </c>
      <c r="B216" s="127" t="s">
        <v>5</v>
      </c>
      <c r="C216" s="102"/>
      <c r="D216" s="102"/>
      <c r="E216" s="102"/>
      <c r="F216" s="102"/>
      <c r="G216" s="102"/>
      <c r="H216" s="102"/>
      <c r="I216" s="102"/>
      <c r="J216" s="102"/>
      <c r="K216" s="103"/>
      <c r="L216" s="111"/>
      <c r="M216" s="111"/>
      <c r="N216" s="111"/>
      <c r="O216" s="111"/>
      <c r="P216" s="112" t="str">
        <f>HYPERLINK("http://www.awb-ahrweiler.de/admin/data/ddownload/Abfall%20Sonderhinweise-Franzoesisch%202015.pdf","x")</f>
        <v>x</v>
      </c>
      <c r="Q216" s="111"/>
      <c r="R216" s="111"/>
      <c r="S216" s="111"/>
      <c r="T216" s="111"/>
      <c r="U216" s="112" t="str">
        <f>HYPERLINK("http://www.ag-fluechtlingshilfe-wetterau.de/uploads/infos/191.pdf","x")</f>
        <v>x</v>
      </c>
      <c r="V216" s="112"/>
      <c r="W216" s="112"/>
      <c r="X216" s="111"/>
      <c r="Y216" s="112"/>
      <c r="Z216" s="112"/>
      <c r="AA216" s="112"/>
      <c r="AB216" s="112"/>
      <c r="AC216" s="112"/>
      <c r="AD216" s="112" t="str">
        <f>HYPERLINK("http://www.rundfunkbeitrag.de/e175/e1632/Informationsflyer_Buergerinnen_und_Buerger_franzoesisch.pdf","x")</f>
        <v>x</v>
      </c>
      <c r="AE216" s="112"/>
      <c r="AF216" s="112" t="str">
        <f>HYPERLINK("http://www.kub-berlin.org/formularprojekt/franzoesisch-antraege-und-anlagen-uebersetzungshilfen/","x")</f>
        <v>x</v>
      </c>
      <c r="AG216" s="112" t="str">
        <f>HYPERLINK("http://asyl-in-moenchengladbach.de/wp-content/uploads/2015/11/100711-Flyer_FR.pdf","x")</f>
        <v>x</v>
      </c>
      <c r="AH216" s="112" t="str">
        <f>HYPERLINK("http://sghanstedt.elbnetz.com/ueber-uns/","x")</f>
        <v>x</v>
      </c>
      <c r="AI216" s="111"/>
      <c r="AJ216" s="111"/>
      <c r="AK216" s="112" t="str">
        <f>HYPERLINK("https://www.vrsinfo.de/fileadmin/Dateien/downloadcenter/Folder_MobilPassTicket_Refugees01012016.pdf","x")</f>
        <v>x</v>
      </c>
      <c r="AL216" s="112" t="str">
        <f>HYPERLINK("https://www.vrsinfo.de/fileadmin/Dateien/downloadcenter/Willkommen_im_VRS2016_Druck.pdf","x")</f>
        <v>x</v>
      </c>
      <c r="AM216" s="112"/>
      <c r="AN216" s="112" t="str">
        <f>HYPERLINK("https://www.deutschebahn.com/file/de/2191748/eYdgZpqGpp5sMJ2KMKtg2r8aE4Q/10123812/data/infos_fuer_fluechtlinge.pdf","x")</f>
        <v>x</v>
      </c>
      <c r="AO216" s="112"/>
      <c r="AP216" s="112"/>
      <c r="AQ216" s="112"/>
      <c r="AR216" s="112"/>
      <c r="AS216" s="112"/>
      <c r="AT216" s="112"/>
      <c r="AU216" s="112"/>
      <c r="AV216" s="114" t="str">
        <f>HYPERLINK("http://www.studentenwerke.de/de/content/illustriertes-wohnheimw%C3%B6rterbuch-1","x")</f>
        <v>x</v>
      </c>
      <c r="AW216" s="114" t="str">
        <f t="shared" si="78"/>
        <v>x</v>
      </c>
      <c r="AX216" s="114" t="str">
        <f t="shared" si="79"/>
        <v>x</v>
      </c>
      <c r="AY216" s="111"/>
      <c r="AZ216" s="111"/>
      <c r="BA216" s="112" t="str">
        <f t="shared" si="80"/>
        <v>x</v>
      </c>
      <c r="BB216" s="112" t="str">
        <f t="shared" si="81"/>
        <v>x</v>
      </c>
      <c r="BC216" s="111"/>
      <c r="BD216" s="111"/>
      <c r="BE216" s="111"/>
      <c r="BF216" s="112" t="str">
        <f>HYPERLINK("http://fi-lohmar-siegburg.de/data/documents/communicationboard-arabic-french.pdf","x")</f>
        <v>x</v>
      </c>
      <c r="BG216" s="111"/>
      <c r="BH216" s="112" t="str">
        <f>HYPERLINK("http://www.refugeephrasebook.de/pdf/germany150920.pdf","x")</f>
        <v>x</v>
      </c>
      <c r="BI216" s="112" t="str">
        <f>HYPERLINK("https://www.advanced-online.eu/downloads/RefugeePhrasebookCards_German-French.pdf","x")</f>
        <v>x</v>
      </c>
      <c r="BJ216" s="112" t="str">
        <f>HYPERLINK("http://www.klett-sprachen.de/download/8638/W100255_Refugees_Welcome_Wortschatz.pdf","x")</f>
        <v>x</v>
      </c>
      <c r="BK216" s="111"/>
      <c r="BL216" s="112" t="str">
        <f>HYPERLINK("http://www.bundessprachenamt.de/deutsch/wir_ueber_uns/nachrichten/2015/20151103/Verständigungshilfe_Französisch_26_11_2015.pdf","x")</f>
        <v>x</v>
      </c>
      <c r="BM216" s="111"/>
      <c r="BN216" s="111"/>
      <c r="BO216" s="111"/>
      <c r="BP216" s="111"/>
      <c r="BQ216" s="111"/>
      <c r="BR216" s="111"/>
      <c r="BS216" s="112" t="str">
        <f t="shared" si="82"/>
        <v>x</v>
      </c>
      <c r="BT216" s="112"/>
      <c r="BU216" s="111"/>
      <c r="BV216" s="112" t="str">
        <f t="shared" si="83"/>
        <v>x</v>
      </c>
      <c r="BW216" s="112" t="str">
        <f>HYPERLINK("http://www.welcomegrooves.de/wp-content/uploads/2015/11/welcomegrooves-de-franzoesisch.pdf","x")</f>
        <v>x</v>
      </c>
      <c r="BX216" s="112"/>
      <c r="BY216" s="112"/>
      <c r="BZ216" s="112" t="str">
        <f>HYPERLINK("http://fluechtlingshilfe-nettetal.de/ausbildung/video-sprachkurse-deutsch-fuer-fluechtlinge/video-sprachkurs-franzoesisch-deutsch/","x")</f>
        <v>x</v>
      </c>
      <c r="CA216" s="112" t="str">
        <f t="shared" si="84"/>
        <v>x</v>
      </c>
      <c r="CB216" s="112" t="str">
        <f t="shared" si="85"/>
        <v>x</v>
      </c>
      <c r="CC216" s="112" t="str">
        <f t="shared" si="86"/>
        <v>x</v>
      </c>
      <c r="CD216" s="112"/>
      <c r="CE216" s="112"/>
      <c r="CF216" s="111"/>
      <c r="CG216" s="111"/>
      <c r="CH216" s="112" t="str">
        <f>HYPERLINK("http://mifkjf.rlp.de/fileadmin/mifkjf/Frauen/Gewalt_gegen_Frauen/Downloads/Broschueren_Flyer/Flyer_Gewalt_franzoesisch.pdf","x")</f>
        <v>x</v>
      </c>
      <c r="CI216" s="112" t="str">
        <f>HYPERLINK("https://www.hilfetelefon.de/fileadmin/hilfetelefon_de/Materialien/Flyer/Infoflyer_Hilfetelefon_Gewalt_gegen_Frauen141105_b2.pdf","x")</f>
        <v>x</v>
      </c>
      <c r="CJ216" s="112" t="str">
        <f>HYPERLINK("https://www.hilfetelefon.de/fileadmin/hilfetelefon_de/Materialien/weitere_werbemittel/Klappflyer_Vorder-_und_Rueckseite_opt2.pdf","x")</f>
        <v>x</v>
      </c>
      <c r="CK216" s="112" t="str">
        <f t="shared" si="87"/>
        <v>x</v>
      </c>
      <c r="CL216" s="112"/>
      <c r="CM216" s="112"/>
      <c r="CN216" s="112"/>
      <c r="CO216" s="112"/>
      <c r="CP216" s="112" t="str">
        <f>HYPERLINK("http://www.schwanger-und-viele-fragen.de/fr/","x")</f>
        <v>x</v>
      </c>
      <c r="CQ216" s="112"/>
      <c r="CR21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216" s="112" t="str">
        <f>HYPERLINK("http://en.beststart.org/for_parents/are-you-looking-resources-languages-other-english-and-french","x")</f>
        <v>x</v>
      </c>
      <c r="CT216" s="112"/>
      <c r="CU216" s="112" t="str">
        <f>HYPERLINK("http://www.profamilia.de/fileadmin/publikationen/Erwachsene/mehrsprachig/Bro_Verhuetung_frz_141002.pdf","x")</f>
        <v>x</v>
      </c>
      <c r="CV216" s="112"/>
      <c r="CW216" s="112"/>
      <c r="CX216" s="112"/>
      <c r="CY216" s="112" t="str">
        <f>HYPERLINK("http://www.caritas-schwarzwald-alb-donau.de/68854.html","x")</f>
        <v>x</v>
      </c>
      <c r="CZ216" s="112"/>
      <c r="DA216" s="112"/>
      <c r="DB216" s="112"/>
      <c r="DC216" s="115" t="str">
        <f>HYPERLINK("http://www.kindersicherheit.de/pdf/2013_BAG_Tomi_and_Mila_Deutsch_Francais.pdf","x")</f>
        <v>x</v>
      </c>
      <c r="DD216" s="112"/>
      <c r="DE216" s="112"/>
      <c r="DF216" s="112" t="str">
        <f t="shared" si="88"/>
        <v>x</v>
      </c>
      <c r="DG216" s="115" t="str">
        <f t="shared" si="89"/>
        <v>x</v>
      </c>
      <c r="DH216" s="112" t="str">
        <f t="shared" si="90"/>
        <v>x</v>
      </c>
      <c r="DI216" s="112" t="str">
        <f t="shared" si="91"/>
        <v>x</v>
      </c>
      <c r="DJ216" s="112"/>
      <c r="DK216" s="112"/>
      <c r="DL216" s="112"/>
      <c r="DM216" s="112"/>
      <c r="DN216" s="112"/>
      <c r="DO216" s="112"/>
      <c r="DP216" s="111"/>
      <c r="DQ216" s="111"/>
      <c r="DR216" s="112" t="str">
        <f>HYPERLINK("https://broschueren.nordrheinwestfalendirekt.de/broschuerenservice/msw/fr-das-schulsystem-in-nordrhein-westfalen-einfach-und-schnell-erklaert/1903","x")</f>
        <v>x</v>
      </c>
      <c r="DS216" s="112" t="str">
        <f>HYPERLINK("http://bildung.koeln.de/materialbibliothek/download.php?idx=6f75d59e17e7868506c0a48e6f7a44f2","x")</f>
        <v>x</v>
      </c>
      <c r="DT216" s="112" t="str">
        <f>HYPERLINK("http://bildung.koeln.de/materialbibliothek/download.php?idx=bde72be3f1bc4c51a4b0bcfe4a4187c4","x")</f>
        <v>x</v>
      </c>
      <c r="DU216" s="112"/>
      <c r="DV216" s="112" t="str">
        <f>HYPERLINK("https://www.bmbf.de/pub/KAUSA_Elternratgeber_deutsch_franzoesisch.pdf","x")</f>
        <v>x</v>
      </c>
      <c r="DW216" s="111"/>
      <c r="DX216" s="112" t="str">
        <f>HYPERLINK("http://www.wissenschaft.nrw.de/studium/informieren/informationen-fuer-fluechtlinge-die-in-nrw-studieren-moechten/","x")</f>
        <v>x</v>
      </c>
      <c r="DY216" s="111"/>
      <c r="DZ216" s="112" t="str">
        <f>HYPERLINK("http://www.bamf.de/SharedDocs/Anlagen/DE/Publikationen/Flyer/AnerkennungBerufsabschluss/anerkennung-berufsabschluss_fr.pdf?__blob=publicationFile","x")</f>
        <v>x</v>
      </c>
      <c r="EA216" s="112" t="str">
        <f>HYPERLINK("http://www.bamf.de/SharedDocs/Anlagen/DE/Publikationen/Flyer/AnerkennungBerufsabschluss/anerkennung-berufsabschluss_ausland_fr.pdf?__blob=publicationFile","x")</f>
        <v>x</v>
      </c>
      <c r="EB216" s="112" t="str">
        <f>HYPERLINK("http://www.bamf.de/SharedDocs/Anlagen/DE/Publikationen/Broschueren/willkommen-in-deutschland-info-blaue-karte-eu_fr.pdf?__blob=publicationFile","x")</f>
        <v>x</v>
      </c>
      <c r="EC216" s="112" t="str">
        <f>HYPERLINK("http://www.bamf.de/SharedDocs/Anlagen/DE/Publikationen/Flyer/Berufsbezsprachf-ESF-BAMF/berufsbezsprachf-esf-bamf_fr.pdf?__blob=publicationFile","x")</f>
        <v>x</v>
      </c>
      <c r="ED216" s="111"/>
      <c r="EE216" s="111"/>
      <c r="EF216" s="111"/>
      <c r="EG216" s="111"/>
      <c r="EH216" s="111"/>
      <c r="EI216" s="111"/>
      <c r="EJ216" s="112"/>
      <c r="EK216" s="112" t="str">
        <f>HYPERLINK("http://fluechtlingsrat-bw.de/files/Dateien/Dokumente/Materialbestellung/2014-12-flyer%20arbeitserlaubnis%20FRZ%20WEB.pdf","x")</f>
        <v>x</v>
      </c>
      <c r="EL216" s="111"/>
      <c r="EM216" s="112" t="str">
        <f>HYPERLINK("http://www.kvs-sachsen.de/fileadmin/img/Mitglieder/Asylbewerber/Allg-Informationen/Anlage_1_Franzoesisch_LEK.pdf","x")</f>
        <v>x</v>
      </c>
      <c r="EN216" s="112" t="str">
        <f>HYPERLINK("http://www.medizin-hilft-fluechtlingen.de/images/Dokumente/gSch/gSch_fra.pdf","x")</f>
        <v>x</v>
      </c>
      <c r="EO216" s="112"/>
      <c r="EP216" s="117" t="str">
        <f>HYPERLINK("http://www.medi-bild.de/pdf/anamnese/Welche_Sprache.pdf","x")</f>
        <v>x</v>
      </c>
      <c r="EQ216" s="117" t="str">
        <f>HYPERLINK("http://www.armut-gesundheit.de/fileadmin/redakteur/dokumente/Anamnesebogen%20-%20franz%C3%B6sischnew.pdf","x")</f>
        <v>x</v>
      </c>
      <c r="ER216" s="112" t="str">
        <f>HYPERLINK("http://www.kvs-sachsen.de/fileadmin/img/Mitglieder/Asylbewerber/Allg-Informationen/Anlagen_2-1_2-2_Franzoesisch_LEK.pdf","x")</f>
        <v>x</v>
      </c>
      <c r="ES216" s="111"/>
      <c r="ET216" s="111"/>
      <c r="EU216" s="112" t="str">
        <f>HYPERLINK("http://medizin-hilft-fluechtlingen.de/images/Dokumente/ein/ein_per.pdf","x")</f>
        <v>x</v>
      </c>
      <c r="EV216" s="112" t="str">
        <f>HYPERLINK("http://www.adler-apotheke-hh.de/fileadmin/user_upload/PDF-Dateien/Dosierzettel_mehrsprachig_AUF_0_.pdf","x")</f>
        <v>x</v>
      </c>
      <c r="EW216" s="112" t="str">
        <f t="shared" si="92"/>
        <v>x</v>
      </c>
      <c r="EX216" s="112" t="str">
        <f>HYPERLINK("http://www.rki.de/DE/Content/Infekt/IfSG/Belehrungsbogen/belehrungsbogen_eltern_franzoesisch.pdf?__blob=publicationFile","x")</f>
        <v>x</v>
      </c>
      <c r="EY216" s="111"/>
      <c r="EZ216" s="112" t="str">
        <f>HYPERLINK("https://www.mh-hannover.de/fileadmin/mhh/bilder/aktuelles_presse/pressestelle/bilder/Pilzvergif_franzoesisch.pdf","x")</f>
        <v>x</v>
      </c>
      <c r="FA216" s="112"/>
      <c r="FB216" s="112" t="str">
        <f>HYPERLINK("http://static.apotheken-umschau.de/media/gp/article_506373/bildwoerterbuch.pdf","x")</f>
        <v>x</v>
      </c>
      <c r="FC216" s="111"/>
      <c r="FD216" s="112" t="str">
        <f t="shared" si="93"/>
        <v>x</v>
      </c>
      <c r="FE216" s="112" t="str">
        <f>HYPERLINK("http://sghanstedt.elbnetz.com/ueber-uns/","x")</f>
        <v>x</v>
      </c>
      <c r="FF216" s="111"/>
      <c r="FG216" s="112" t="str">
        <f>HYPERLINK("http://www.tipdoc.de/grafik/asyl/Gesundheitsheft_Asyl.pdf","x")</f>
        <v>x</v>
      </c>
      <c r="FH216" s="111"/>
      <c r="FI216" s="111"/>
      <c r="FJ216" s="112"/>
      <c r="FK216" s="112" t="str">
        <f>HYPERLINK("http://www.rki.de/DE/Content/Infekt/Impfen/Materialien/Downloads-Impfkalender/Impfkalender_Franzoesisch.pdf?__blob=publicationFile","x")</f>
        <v>x</v>
      </c>
      <c r="FL216" s="112" t="str">
        <f>HYPERLINK("http://www.ethno-medizinisches-zentrum.de/images/PDF-Files/impfwegweiser_franzosisch_2013_online.pdf","x")</f>
        <v>x</v>
      </c>
      <c r="FM216" s="112"/>
      <c r="FN216" s="112" t="str">
        <f>HYPERLINK("http://www.rki.de/DE/Content/Infekt/Impfen/Materialien/Glossar-Downloads/glossar-de-franzoesisch.pdf?__blob=publicationFile","x")</f>
        <v>x</v>
      </c>
      <c r="FO216" s="112" t="str">
        <f>HYPERLINK("http://www.euro.who.int/__data/assets/pdf_file/0012/162300/VPD-Signs,-symptoms-and-complications-FRE.pdf","x")</f>
        <v>x</v>
      </c>
      <c r="FP216" s="112" t="str">
        <f>HYPERLINK("http://www.rki.de/DE/Content/Infekt/Impfen/Materialien/Downloads-MMR/MMR-Impfinfo-franzoesisch.pdf?__blob=publicationFile","x")</f>
        <v>x</v>
      </c>
      <c r="FQ216" s="112" t="str">
        <f>HYPERLINK("http://www.rki.de/DE/Content/InfAZ/P/Polio/Ausbruch_Syrien/Informationsblatt_Polio_Franzoesisch.pdf?__blob=publicationFile","x")</f>
        <v>x</v>
      </c>
      <c r="FR216" s="112" t="str">
        <f>HYPERLINK("http://www.rki.de/DE/Content/Infekt/Impfen/Materialien/Downloads_HepA/Aufklaerung_HAV-Impfung_Franzoesisch.pdf?__blob=publicationFile","x")</f>
        <v>x</v>
      </c>
      <c r="FS216" s="112" t="str">
        <f>HYPERLINK("http://www.rki.de/DE/Content/Infekt/Impfen/Materialien/Downloads_Pneumokokken/Aufklaerung_Pneumo-Impfung_Franzoesisch.pdf?__blob=publicationFile","x")</f>
        <v>x</v>
      </c>
      <c r="FT216" s="112" t="str">
        <f>HYPERLINK("http://www.rki.de/DE/Content/Infekt/Impfen/Materialien/Downloads-DTaPIPVHibHepB/DTaPIPVHibHepB-franzoesisch.pdf?__blob=publicationFile","x")</f>
        <v>x</v>
      </c>
      <c r="FU21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216" s="112" t="str">
        <f>HYPERLINK("http://www.rki.de/DE/Content/Infekt/Impfen/Materialien/Downloads-Tdap-IPV/Tdap-IPV-franzoesisch.pdf?__blob=publicationFile","x")</f>
        <v>x</v>
      </c>
      <c r="FW216" s="112" t="str">
        <f>HYPERLINK("http://www.rki.de/DE/Content/Infekt/Impfen/Materialien/Downloads-Influenza_nasal/Influenza_nasal-franzoesisch.pdf?__blob=publicationFile","x")</f>
        <v>x</v>
      </c>
      <c r="FX216" s="111"/>
      <c r="FY216" s="112"/>
      <c r="FZ216" s="112"/>
      <c r="GA216" s="111"/>
      <c r="GB216" s="111"/>
      <c r="GC216" s="111"/>
      <c r="GD216" s="112" t="str">
        <f>HYPERLINK("http://www.ethno-medizinisches-zentrum.de/images/PDF-Files/lf_diabete_franzosisch.pdf","x")</f>
        <v>x</v>
      </c>
      <c r="GE216" s="111"/>
      <c r="GF216" s="111"/>
      <c r="GG216" s="111"/>
      <c r="GH216" s="112"/>
      <c r="GI216" s="111"/>
      <c r="GJ216" s="111"/>
      <c r="GK216" s="112" t="str">
        <f>HYPERLINK("http://www.tipdoc.de/bus/pdf/hiv/HIV%20SRF_Webseite.pdf","x")</f>
        <v>x</v>
      </c>
      <c r="GL216" s="111"/>
      <c r="GM216" s="112" t="str">
        <f>HYPERLINK("http://www.rki.de/DE/Content/Infekt/Impfen/Materialien/Downloads-Influenza/Influenza-franzoesisch.pdf?__blob=publicationFile","x")</f>
        <v>x</v>
      </c>
      <c r="GN216" s="111"/>
      <c r="GO216" s="111"/>
      <c r="GP216" s="112" t="str">
        <f>HYPERLINK("http://www.tipdoc.de/grafik/pdf/kopflaeuse/Kopflaeuse_FRANZ.pdf","x")</f>
        <v>x</v>
      </c>
      <c r="GQ216" s="112"/>
      <c r="GR216" s="112" t="str">
        <f>HYPERLINK("http://www.tipdoc.com/bus/pdf/kraetze/tipdoc_Scabies_FRANZ.pdf","x")</f>
        <v>x</v>
      </c>
      <c r="GS216" s="112" t="str">
        <f>HYPERLINK("http://www.tipdoc.com/bus/pdf/MagenDarmHaende/MagenDarmHaende_FRANZ.pdf","x")</f>
        <v>x</v>
      </c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2" t="str">
        <f t="shared" si="94"/>
        <v>x</v>
      </c>
      <c r="HD216" s="112" t="str">
        <f>HYPERLINK("https://www.zahnaerzte-wl.de/images/_PDF-suche/KZV_ZÄK/ENDSTAND_Ankreuzbogen_Ich_verstehe.pdf","x")</f>
        <v>x</v>
      </c>
      <c r="HE216" s="112" t="str">
        <f>HYPERLINK("https://www.zahnaerzte-wl.de/images/_PDF-suche/KZV_ZÄK/Anschreiben_Patienten_franzoesisch.pdf","x")</f>
        <v>x</v>
      </c>
      <c r="HF216" s="112" t="str">
        <f>HYPERLINK("https://www.zahnaerzte-wl.de/images/_PDF-suche/KZV_ZÄK/Fragebogen_franzoesisch.pdf","x")</f>
        <v>x</v>
      </c>
      <c r="HG216" s="112" t="str">
        <f>HYPERLINK("https://www.zahnaerzte-wl.de/images/_PDF-suche/KZV_ZÄK/Patientenerhebungsbogen_franzoesisch.pdf","x")</f>
        <v>x</v>
      </c>
      <c r="HH216" s="112"/>
      <c r="HI216" s="112" t="str">
        <f>HYPERLINK("http://www.bvkm.de/fileadmin/web_data/Behinderung_und_Migration_franzoesisch_2014.pdf","x")</f>
        <v>x</v>
      </c>
      <c r="HJ216" s="112"/>
      <c r="HK216" s="112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2" t="str">
        <f t="shared" si="95"/>
        <v>x</v>
      </c>
      <c r="HZ216" s="112" t="str">
        <f t="shared" si="96"/>
        <v>x</v>
      </c>
      <c r="IA216" s="112" t="str">
        <f>HYPERLINK("http://peacefulheart.se/wp-content/uploads/2015/01/Tapping_French_Module-20150102-2.pdf","x")</f>
        <v>x</v>
      </c>
      <c r="IB216" s="111"/>
      <c r="IC216" s="111"/>
      <c r="ID216" s="111"/>
      <c r="IE216" s="111"/>
      <c r="IF216" s="111"/>
      <c r="IG216" s="111"/>
      <c r="IH216" s="111"/>
      <c r="II216" s="112" t="str">
        <f>HYPERLINK("http://www.caritas.de/hilfeundberatung/onlineberatung/suchtberatung/haeufiggestelltefragensucht/haeufiggestelltefragen-sucht","x")</f>
        <v>x</v>
      </c>
      <c r="IJ216" s="111"/>
      <c r="IK216" s="112" t="str">
        <f>HYPERLINK("http://www.bamf.de/SharedDocs/Anlagen/DE/Publikationen/Flyer/Lassen-Sie-Sich-Beraten/lassen-sie-sich-beraten_fr.pdf?__blob=publicationFile","x")</f>
        <v>x</v>
      </c>
      <c r="IL216" s="112" t="str">
        <f>HYPERLINK("http://www.bamf.de/SharedDocs/Anlagen/DE/Publikationen/Flyer/flyer-erstorientierung-asylsuchende_franzoesisch.pdf?__blob=publicationFile","x")</f>
        <v>x</v>
      </c>
      <c r="IM216" s="112" t="str">
        <f>HYPERLINK("http://www.frnrw.de/index.php/inhaltliche-themen/arbeitshilfen/item/3710-erstinfos-fuer-asylsuchende","x")</f>
        <v>x</v>
      </c>
      <c r="IN216" s="112" t="str">
        <f>HYPERLINK("https://www.bamf.de/SharedDocs/Anlagen/DE/Publikationen/Broschueren/willkommen-in-deutschland_fr.pdf?__blob=publicationFile","x")</f>
        <v>x</v>
      </c>
      <c r="IO216" s="112"/>
      <c r="IP216" s="112"/>
      <c r="IQ216" s="112" t="str">
        <f>HYPERLINK("http://www.bamf.de/SharedDocs/Anlagen/DE/Publikationen/Flyer/Lernen-Sie-Deutsch/lernen-sie-deutsch_fr.pdf?__blob=publicationFile","x")</f>
        <v>x</v>
      </c>
      <c r="IR216" s="112"/>
      <c r="IS216" s="111"/>
      <c r="IT216" s="111"/>
      <c r="IU216" s="111"/>
      <c r="IV216" s="112" t="str">
        <f>HYPERLINK("http://www.asyl.net/fileadmin/user_upload/infoblatt_anhoerung/Frz_final.pdf","x")</f>
        <v>x</v>
      </c>
      <c r="IW216" s="112"/>
      <c r="IX216" s="112" t="str">
        <f>HYPERLINK("http://www.berlin.de/labo/willkommen-in-berlin/service/downloads/artikel.273193.php","x")</f>
        <v>x</v>
      </c>
      <c r="IY216" s="112" t="str">
        <f>HYPERLINK("http://www.bamf.de/SharedDocs/Anlagen/DE/Publikationen/Broschueren/broschuere-eat-a4-fr-franzoesisch.pdf?__blob=publicationFile","x")</f>
        <v>x</v>
      </c>
      <c r="IZ216" s="111"/>
      <c r="JA216" s="112" t="str">
        <f>HYPERLINK("http://fluechtlingsrat-bw.de/informationen-fuer-fluechtlinge.html","x")</f>
        <v>x</v>
      </c>
      <c r="JB216" s="111"/>
      <c r="JC216" s="112" t="str">
        <f>HYPERLINK("http://www.bamf.de/SharedDocs/Anlagen/DE/Publikationen/Flyer/20150223_ura2_fra.pdf?__blob=publicationFile","x")</f>
        <v>x</v>
      </c>
      <c r="JD216" s="111"/>
      <c r="JE216" s="112"/>
      <c r="JF216" s="112"/>
      <c r="JG216" s="112"/>
      <c r="JH216" s="112"/>
      <c r="JI216" s="111"/>
      <c r="JJ216" s="112" t="str">
        <f>HYPERLINK("http://www.kub-berlin.org/formularprojekt/franzoesisch-antraege-und-anlagen-uebersetzungshilfen/","x")</f>
        <v>x</v>
      </c>
      <c r="JK216" s="112" t="str">
        <f>HYPERLINK("https://www.arbeitsagentur.de/web/wcm/idc/groups/public/documents/webdatei/mdaw/mjg1/~edisp/l6019022dstbai788667.pdf?_ba.sid=L6019022DSTBAI784626","x")</f>
        <v>x</v>
      </c>
      <c r="JL216" s="112" t="str">
        <f>HYPERLINK("http://www.kub-berlin.org/formularprojekt/franzoesisch-antraege-und-anlagen-uebersetzungshilfen/","x")</f>
        <v>x</v>
      </c>
      <c r="JM216" s="112" t="str">
        <f>HYPERLINK("https://www.arbeitsagentur.de/web/content/DE/Formulare/Detail/index.htm?dfContentId=L6019022DSTBAI485740","x")</f>
        <v>x</v>
      </c>
      <c r="JN216" s="112"/>
      <c r="JO216" s="112"/>
      <c r="JP216" s="112"/>
      <c r="JQ216" s="112"/>
      <c r="JR216" s="112" t="str">
        <f t="shared" si="97"/>
        <v>x</v>
      </c>
      <c r="JS216" s="112"/>
      <c r="JT216" s="112" t="str">
        <f>HYPERLINK("http://www.b-umf.de/images/willkommen/willkommensbroschurefranzoesisch-web.pdf","x")</f>
        <v>x</v>
      </c>
      <c r="JU216" s="111"/>
      <c r="JV216" s="111"/>
      <c r="JW216" s="112"/>
      <c r="JX216" s="112"/>
      <c r="JY216" s="112"/>
      <c r="JZ216" s="112"/>
      <c r="KA216" s="112"/>
      <c r="KB216" s="112" t="str">
        <f>HYPERLINK("http://www.refugeeguide.de/dl/RefugeeGuide_fr_925.pdf","x")</f>
        <v>x</v>
      </c>
      <c r="KC216" s="111"/>
      <c r="KD216" s="112" t="str">
        <f>HYPERLINK("http://www.wedel.de/fileadmin/user_upload/media/pdf/Rathaus_und_Politik/20160118_PM_Broschuere.pdf","x")</f>
        <v>x</v>
      </c>
      <c r="KE216" s="112" t="str">
        <f>HYPERLINK("http://www.frauenrechte.de/online/images/downloads/allgemein/TDF_Flyer_Women_Men.pdf","x")</f>
        <v>x</v>
      </c>
      <c r="KF216" s="112" t="str">
        <f>HYPERLINK("http://sab.landtag.sachsen.de/dokumente/landtagskurier/Grundwerte-A5-international_web_08012016.pdf","x")</f>
        <v>x</v>
      </c>
      <c r="KG216" s="112"/>
      <c r="KH216" s="112"/>
      <c r="KI216" s="112"/>
      <c r="KJ216" s="112"/>
      <c r="KK216" s="112"/>
      <c r="KL216" s="112"/>
      <c r="KM216" s="112"/>
      <c r="KN216" s="112"/>
      <c r="KO216" s="112"/>
      <c r="KP216" s="112"/>
      <c r="KQ216" s="112"/>
      <c r="KR216" s="112"/>
      <c r="KS216" s="112"/>
      <c r="KT216" s="112"/>
      <c r="KU216" s="112"/>
      <c r="KV216" s="112"/>
      <c r="KW216" s="112"/>
      <c r="KX216" s="112"/>
      <c r="KY216" s="112"/>
      <c r="KZ216" s="112"/>
      <c r="LA216" s="112"/>
      <c r="LB216" s="112"/>
      <c r="LC216" s="111"/>
      <c r="LD216" s="112"/>
      <c r="LE216" s="112"/>
      <c r="LF216" s="112"/>
      <c r="LG216" s="112"/>
      <c r="LH216" s="112"/>
      <c r="LI216" s="112"/>
      <c r="LJ216" s="112"/>
      <c r="LK216" s="112"/>
      <c r="LL216" s="112"/>
      <c r="LM216" s="111"/>
      <c r="LN216" s="111"/>
      <c r="LO216" s="111"/>
      <c r="LP216" s="111"/>
      <c r="LQ216" s="112"/>
      <c r="LR216" s="111"/>
      <c r="LS216" s="112"/>
      <c r="LT216" s="112"/>
      <c r="LU216" s="111"/>
      <c r="LV216" s="111"/>
      <c r="LW216" s="111"/>
      <c r="LX216" s="111"/>
      <c r="LY216" s="111"/>
      <c r="LZ216" s="111"/>
      <c r="MA216" s="111"/>
      <c r="MB216" s="112"/>
      <c r="MC216" s="111"/>
      <c r="MD216" s="112" t="str">
        <f>HYPERLINK("http://www.rki.de/DE/Content/Infekt/IfSG/Belehrungsbogen/belehrungsbogen_lebensmittel_franzoesisch.pdf?__blob=publicationFile","x")</f>
        <v>x</v>
      </c>
      <c r="ME216" s="111"/>
      <c r="MF216" s="112" t="str">
        <f>HYPERLINK("http://www.gdv.de/wp-content/uploads/2016/01/Information_Brandschutz_Fluechtlingsheim_-Sicherheit_mehrsprachig.pdf","x")</f>
        <v>x</v>
      </c>
      <c r="MG216" s="112" t="str">
        <f>HYPERLINK("http://www.gdv.de/wp-content/uploads/2016/01/Information_Verhalten-im-Brandfall_mehrsprachig.pdf","x")</f>
        <v>x</v>
      </c>
      <c r="MH216" s="112" t="str">
        <f>HYPERLINK("http://www.aha-region.de/fileadmin/Download/pdf/aha_Plakat_Muelltrennung_fr.pdf","x")</f>
        <v>x</v>
      </c>
      <c r="MI216" s="112" t="str">
        <f>HYPERLINK("http://www.kindersicherheit.de/pdf/2012_poster_achtunggiftig_8sprachig.pdf","x")</f>
        <v>x</v>
      </c>
    </row>
    <row r="217" spans="1:347" x14ac:dyDescent="0.25">
      <c r="A217" s="102" t="s">
        <v>474</v>
      </c>
      <c r="B217" s="127" t="s">
        <v>473</v>
      </c>
      <c r="C217" s="102"/>
      <c r="D217" s="102"/>
      <c r="E217" s="102"/>
      <c r="F217" s="102"/>
      <c r="G217" s="102"/>
      <c r="H217" s="102"/>
      <c r="I217" s="102"/>
      <c r="J217" s="102"/>
      <c r="K217" s="103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2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3"/>
      <c r="AW217" s="114" t="str">
        <f t="shared" si="78"/>
        <v>x</v>
      </c>
      <c r="AX217" s="114" t="str">
        <f t="shared" si="79"/>
        <v>x</v>
      </c>
      <c r="AY217" s="111"/>
      <c r="AZ217" s="111"/>
      <c r="BA217" s="112" t="str">
        <f t="shared" si="80"/>
        <v>x</v>
      </c>
      <c r="BB217" s="112" t="str">
        <f t="shared" si="81"/>
        <v>x</v>
      </c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2" t="str">
        <f t="shared" si="82"/>
        <v>x</v>
      </c>
      <c r="BT217" s="112"/>
      <c r="BU217" s="112"/>
      <c r="BV217" s="112" t="str">
        <f t="shared" si="83"/>
        <v>x</v>
      </c>
      <c r="BW217" s="112"/>
      <c r="BX217" s="112"/>
      <c r="BY217" s="112"/>
      <c r="BZ217" s="112"/>
      <c r="CA217" s="112" t="str">
        <f t="shared" si="84"/>
        <v>x</v>
      </c>
      <c r="CB217" s="112" t="str">
        <f t="shared" si="85"/>
        <v>x</v>
      </c>
      <c r="CC217" s="112" t="str">
        <f t="shared" si="86"/>
        <v>x</v>
      </c>
      <c r="CD217" s="112"/>
      <c r="CE217" s="112"/>
      <c r="CF217" s="111"/>
      <c r="CG217" s="111"/>
      <c r="CH217" s="111"/>
      <c r="CI217" s="111"/>
      <c r="CJ217" s="111"/>
      <c r="CK217" s="112" t="str">
        <f t="shared" si="87"/>
        <v>x</v>
      </c>
      <c r="CL217" s="112"/>
      <c r="CM217" s="112"/>
      <c r="CN217" s="112"/>
      <c r="CO217" s="112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2"/>
      <c r="DA217" s="112"/>
      <c r="DB217" s="112"/>
      <c r="DC217" s="115"/>
      <c r="DD217" s="112"/>
      <c r="DE217" s="112"/>
      <c r="DF217" s="112" t="str">
        <f t="shared" si="88"/>
        <v>x</v>
      </c>
      <c r="DG217" s="115" t="str">
        <f t="shared" si="89"/>
        <v>x</v>
      </c>
      <c r="DH217" s="112" t="str">
        <f t="shared" si="90"/>
        <v>x</v>
      </c>
      <c r="DI217" s="112" t="str">
        <f t="shared" si="91"/>
        <v>x</v>
      </c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2" t="str">
        <f>HYPERLINK("http://www.bamf.de/SharedDocs/Anlagen/DE/Publikationen/Flyer/Berufsbezsprachf-ESF-BAMF/berufsbezsprachf-esf-bamf_cz.pdf?__blob=publicationFile","x")</f>
        <v>x</v>
      </c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2"/>
      <c r="EN217" s="111"/>
      <c r="EO217" s="111"/>
      <c r="EP217" s="117"/>
      <c r="EQ217" s="118"/>
      <c r="ER217" s="112"/>
      <c r="ES217" s="111"/>
      <c r="ET217" s="111"/>
      <c r="EU217" s="111"/>
      <c r="EV217" s="111"/>
      <c r="EW217" s="112" t="str">
        <f t="shared" si="92"/>
        <v>x</v>
      </c>
      <c r="EX217" s="111"/>
      <c r="EY217" s="111"/>
      <c r="EZ217" s="111"/>
      <c r="FA217" s="111"/>
      <c r="FB217" s="111"/>
      <c r="FC217" s="111"/>
      <c r="FD217" s="112" t="str">
        <f t="shared" si="93"/>
        <v>x</v>
      </c>
      <c r="FE217" s="111"/>
      <c r="FF217" s="111"/>
      <c r="FG217" s="112"/>
      <c r="FH217" s="111"/>
      <c r="FI217" s="111"/>
      <c r="FJ217" s="112"/>
      <c r="FK217" s="112"/>
      <c r="FL217" s="111"/>
      <c r="FM217" s="111"/>
      <c r="FN217" s="111"/>
      <c r="FO217" s="111"/>
      <c r="FP217" s="112"/>
      <c r="FQ217" s="111"/>
      <c r="FR217" s="112"/>
      <c r="FS217" s="112"/>
      <c r="FT217" s="112"/>
      <c r="FU217" s="112"/>
      <c r="FV217" s="112"/>
      <c r="FW217" s="112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2"/>
      <c r="GN217" s="111"/>
      <c r="GO217" s="111"/>
      <c r="GP217" s="112"/>
      <c r="GQ217" s="112"/>
      <c r="GR217" s="112"/>
      <c r="GS217" s="112"/>
      <c r="GT217" s="111"/>
      <c r="GU217" s="111"/>
      <c r="GV217" s="111"/>
      <c r="GW217" s="111"/>
      <c r="GX217" s="111"/>
      <c r="GY217" s="111"/>
      <c r="GZ217" s="111"/>
      <c r="HA217" s="111"/>
      <c r="HB217" s="111"/>
      <c r="HC217" s="112" t="str">
        <f t="shared" si="94"/>
        <v>x</v>
      </c>
      <c r="HD217" s="111"/>
      <c r="HE217" s="111"/>
      <c r="HF217" s="111"/>
      <c r="HG217" s="111"/>
      <c r="HH217" s="111"/>
      <c r="HI217" s="111"/>
      <c r="HJ217" s="111"/>
      <c r="HK217" s="112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2" t="str">
        <f t="shared" si="95"/>
        <v>x</v>
      </c>
      <c r="HZ217" s="112" t="str">
        <f t="shared" si="96"/>
        <v>x</v>
      </c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2" t="str">
        <f>HYPERLINK("http://www.bamf.de/SharedDocs/Anlagen/DE/Publikationen/Flyer/Lassen-Sie-Sich-Beraten/lassen-sie-sich-beraten_cs.pdf?__blob=publicationFile","x")</f>
        <v>x</v>
      </c>
      <c r="IL217" s="112"/>
      <c r="IM217" s="111"/>
      <c r="IN217" s="111"/>
      <c r="IO217" s="111"/>
      <c r="IP217" s="111"/>
      <c r="IQ217" s="112" t="str">
        <f>HYPERLINK("http://www.bamf.de/SharedDocs/Anlagen/DE/Publikationen/Flyer/Lernen-Sie-Deutsch/lernen-sie-deutsch_cz.pdf?__blob=publicationFile","x")</f>
        <v>x</v>
      </c>
      <c r="IR217" s="111"/>
      <c r="IS217" s="111"/>
      <c r="IT217" s="111"/>
      <c r="IU217" s="111"/>
      <c r="IV217" s="111"/>
      <c r="IW217" s="111"/>
      <c r="IX217" s="111"/>
      <c r="IY217" s="112"/>
      <c r="IZ217" s="111"/>
      <c r="JA217" s="111"/>
      <c r="JB217" s="111"/>
      <c r="JC217" s="111"/>
      <c r="JD217" s="111"/>
      <c r="JE217" s="111"/>
      <c r="JF217" s="111"/>
      <c r="JG217" s="111"/>
      <c r="JH217" s="111"/>
      <c r="JI217" s="111"/>
      <c r="JJ217" s="111"/>
      <c r="JK217" s="111"/>
      <c r="JL217" s="111"/>
      <c r="JM217" s="111"/>
      <c r="JN217" s="111"/>
      <c r="JO217" s="111"/>
      <c r="JP217" s="111"/>
      <c r="JQ217" s="111"/>
      <c r="JR217" s="112" t="str">
        <f t="shared" si="97"/>
        <v>x</v>
      </c>
      <c r="JS217" s="111"/>
      <c r="JT217" s="111"/>
      <c r="JU217" s="111"/>
      <c r="JV217" s="111"/>
      <c r="JW217" s="111"/>
      <c r="JX217" s="111"/>
      <c r="JY217" s="112"/>
      <c r="JZ217" s="112"/>
      <c r="KA217" s="112"/>
      <c r="KB217" s="112"/>
      <c r="KC217" s="111"/>
      <c r="KD217" s="111"/>
      <c r="KE217" s="111"/>
      <c r="KF217" s="111"/>
      <c r="KG217" s="112"/>
      <c r="KH217" s="112"/>
      <c r="KI217" s="112"/>
      <c r="KJ217" s="112"/>
      <c r="KK217" s="112"/>
      <c r="KL217" s="112"/>
      <c r="KM217" s="112"/>
      <c r="KN217" s="112"/>
      <c r="KO217" s="112"/>
      <c r="KP217" s="112"/>
      <c r="KQ217" s="112"/>
      <c r="KR217" s="112"/>
      <c r="KS217" s="112"/>
      <c r="KT217" s="112"/>
      <c r="KU217" s="112"/>
      <c r="KV217" s="112"/>
      <c r="KW217" s="112"/>
      <c r="KX217" s="112"/>
      <c r="KY217" s="112"/>
      <c r="KZ217" s="112"/>
      <c r="LA217" s="112"/>
      <c r="LB217" s="112"/>
      <c r="LC217" s="111"/>
      <c r="LD217" s="111"/>
      <c r="LE217" s="111"/>
      <c r="LF217" s="111"/>
      <c r="LG217" s="111"/>
      <c r="LH217" s="111"/>
      <c r="LI217" s="111"/>
      <c r="LJ217" s="111"/>
      <c r="LK217" s="111"/>
      <c r="LL217" s="111"/>
      <c r="LM217" s="111"/>
      <c r="LN217" s="111"/>
      <c r="LO217" s="111"/>
      <c r="LP217" s="111"/>
      <c r="LQ217" s="111"/>
      <c r="LR217" s="111"/>
      <c r="LS217" s="111"/>
      <c r="LT217" s="111"/>
      <c r="LU217" s="111"/>
      <c r="LV217" s="111"/>
      <c r="LW217" s="111"/>
      <c r="LX217" s="111"/>
      <c r="LY217" s="111"/>
      <c r="LZ217" s="111"/>
      <c r="MA217" s="111"/>
      <c r="MB217" s="111"/>
      <c r="MC217" s="111"/>
      <c r="MD217" s="111"/>
      <c r="ME217" s="111"/>
      <c r="MF217" s="111"/>
      <c r="MG217" s="111"/>
      <c r="MH217" s="111"/>
      <c r="MI217" s="111"/>
    </row>
    <row r="218" spans="1:347" x14ac:dyDescent="0.25">
      <c r="A218" s="102" t="s">
        <v>69</v>
      </c>
      <c r="B218" s="127" t="s">
        <v>1</v>
      </c>
      <c r="C218" s="102"/>
      <c r="D218" s="102"/>
      <c r="E218" s="102"/>
      <c r="F218" s="102"/>
      <c r="G218" s="102"/>
      <c r="H218" s="102"/>
      <c r="I218" s="102"/>
      <c r="J218" s="102"/>
      <c r="K218" s="103"/>
      <c r="L218" s="112" t="str">
        <f>HYPERLINK("http://sghanstedt.elbnetz.com/ueber-uns/","x")</f>
        <v>x</v>
      </c>
      <c r="M218" s="111"/>
      <c r="N218" s="112" t="str">
        <f>HYPERLINK("http://www.ag-fluechtlingshilfe-wetterau.de/uploads/infos/170.pdf","x")</f>
        <v>x</v>
      </c>
      <c r="O218" s="112" t="str">
        <f>HYPERLINK("http://www.ag-fluechtlingshilfe-wetterau.de/uploads/infos/220.pdf","x")</f>
        <v>x</v>
      </c>
      <c r="P218" s="112" t="str">
        <f>HYPERLINK("http://www.awb-ahrweiler.de/admin/data/ddownload/Abfall%20Sonderhinweise-Arabisch%202015.pdf","x")</f>
        <v>x</v>
      </c>
      <c r="Q218" s="112" t="str">
        <f>HYPERLINK("http://www.ag-fluechtlingshilfe-wetterau.de/uploads/infos/221.pdf","x")</f>
        <v>x</v>
      </c>
      <c r="R218" s="112" t="str">
        <f>HYPERLINK("http://www.konto.org/download/merkblatt-basiskonto-asylbewerber-arabisch.pdf","x")</f>
        <v>x</v>
      </c>
      <c r="S218" s="112"/>
      <c r="T218" s="112" t="str">
        <f>HYPERLINK("https://antworten.sparkasse.de/wp-content/uploads/2015/10/Arabisch.pdf","x")</f>
        <v>x</v>
      </c>
      <c r="U218" s="112" t="str">
        <f>HYPERLINK("http://www.ag-fluechtlingshilfe-wetterau.de/uploads/infos/191.pdf","x")</f>
        <v>x</v>
      </c>
      <c r="V218" s="112"/>
      <c r="W218" s="112"/>
      <c r="X21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1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18" s="112"/>
      <c r="AA218" s="112"/>
      <c r="AB218" s="112"/>
      <c r="AC218" s="112"/>
      <c r="AD218" s="112" t="str">
        <f>HYPERLINK("http://www.rundfunkbeitrag.de/e175/e1629/Informationsflyer_Buergerinnen_und_Buerger_arabisch.pdf","x")</f>
        <v>x</v>
      </c>
      <c r="AE218" s="112"/>
      <c r="AF218" s="112" t="str">
        <f>HYPERLINK("http://www.kub-berlin.org/formularprojekt/de/arabisch-antraege-und-anlagen/","x")</f>
        <v>x</v>
      </c>
      <c r="AG218" s="112" t="str">
        <f>HYPERLINK("http://asyl-in-moenchengladbach.de/wp-content/uploads/2015/11/100711-Flyer_arab.pdf","x")</f>
        <v>x</v>
      </c>
      <c r="AH218" s="111"/>
      <c r="AI218" s="112" t="str">
        <f>HYPERLINK("https://www.adac.de/sp/stiftung/_mmm/pdf/SGE_FOL_Verkehrssicherheit_Fl%C3%BCchtlinge_A3_01_16_Internet_250277.pdf","x")</f>
        <v>x</v>
      </c>
      <c r="AJ218" s="112" t="str">
        <f>HYPERLINK("http://www.stadt-koeln.de/mediaasset/content/العربية_kvb_kinderleicht_und_spielend_einfach__arabisch_.pdf","x")</f>
        <v>x</v>
      </c>
      <c r="AK218" s="112" t="str">
        <f>HYPERLINK("https://www.vrsinfo.de/fileadmin/Dateien/downloadcenter/Folder_MobilPassTicket_Refugees01012016.pdf","x")</f>
        <v>x</v>
      </c>
      <c r="AL218" s="112" t="str">
        <f>HYPERLINK("https://www.vrsinfo.de/fileadmin/Dateien/downloadcenter/Willkommen_im_VRS2016_Druck.pdf","x")</f>
        <v>x</v>
      </c>
      <c r="AM218" s="112"/>
      <c r="AN218" s="112" t="str">
        <f>HYPERLINK("https://www.deutschebahn.com/file/de/2191748/eYdgZpqGpp5sMJ2KMKtg2r8aE4Q/10123812/data/infos_fuer_fluechtlinge.pdf","x")</f>
        <v>x</v>
      </c>
      <c r="AO218" s="112"/>
      <c r="AP218" s="112"/>
      <c r="AQ218" s="112"/>
      <c r="AR218" s="112"/>
      <c r="AS218" s="112"/>
      <c r="AT218" s="112" t="str">
        <f>HYPERLINK("http://www.koelnerkarneval.de/fileadmin/content/images/news/Festkomitee_Flyer_DE_AR.pdf","x")</f>
        <v>x</v>
      </c>
      <c r="AU218" s="112"/>
      <c r="AV218" s="114" t="str">
        <f>HYPERLINK("http://www.studentenwerke.de/de/content/illustriertes-wohnheimw%C3%B6rterbuch-1","x")</f>
        <v>x</v>
      </c>
      <c r="AW218" s="114" t="str">
        <f t="shared" si="78"/>
        <v>x</v>
      </c>
      <c r="AX218" s="114" t="str">
        <f t="shared" si="79"/>
        <v>x</v>
      </c>
      <c r="AY218" s="112" t="str">
        <f>HYPERLINK("http://fi-lohmar-siegburg.de/data/documents/Findefix_arabisch-Bildwoerterbuch.pdf","x")</f>
        <v>x</v>
      </c>
      <c r="AZ218" s="111"/>
      <c r="BA218" s="112" t="str">
        <f t="shared" si="80"/>
        <v>x</v>
      </c>
      <c r="BB218" s="112" t="str">
        <f t="shared" si="81"/>
        <v>x</v>
      </c>
      <c r="BC218" s="112"/>
      <c r="BD218" s="112" t="str">
        <f>HYPERLINK("http://www.rehavista.de/?at=Mat_Boardmaker&amp;d=1&amp;dtype=mat&amp;id=1014","x")</f>
        <v>x</v>
      </c>
      <c r="BE218" s="112" t="str">
        <f>HYPERLINK("http://fi-lohmar-siegburg.de/data/documents/communicationboard-arabic-english.pdf","x")</f>
        <v>x</v>
      </c>
      <c r="BF218" s="112" t="str">
        <f>HYPERLINK("http://fi-lohmar-siegburg.de/data/documents/communicationboard-arabic-french.pdf","x")</f>
        <v>x</v>
      </c>
      <c r="BG218" s="111"/>
      <c r="BH218" s="112" t="str">
        <f>HYPERLINK("http://www.refugeephrasebook.de/pdf/germany150920.pdf","x")</f>
        <v>x</v>
      </c>
      <c r="BI218" s="112" t="str">
        <f>HYPERLINK("https://www.advanced-online.eu/downloads/RefugeePhrasebookCards_German-Arabic.pdf","x")</f>
        <v>x</v>
      </c>
      <c r="BJ218" s="112" t="str">
        <f>HYPERLINK("http://www.klett-sprachen.de/download/8638/W100255_Refugees_Welcome_Wortschatz.pdf","x")</f>
        <v>x</v>
      </c>
      <c r="BK218" s="112" t="str">
        <f>HYPERLINK("http://www.agf-trier.de/sites/default/files/bersetzungshilfe%20allgemein%20Arab..pdf","x")</f>
        <v>x</v>
      </c>
      <c r="BL218" s="112" t="str">
        <f>HYPERLINK("http://www.bundessprachenamt.de/deutsch/wir_ueber_uns/nachrichten/2015/20151103/Verständigungshilfe_Syrisch-Arabisch_07_12_2015.pdf","x")</f>
        <v>x</v>
      </c>
      <c r="BM218" s="112" t="str">
        <f>HYPERLINK("http://www.frnrw.de/images/Aus_den_Initiativen/Ehrenamtler/2015/Dictionary_x10_print-2.pdf","x")</f>
        <v>x</v>
      </c>
      <c r="BN218" s="112" t="str">
        <f>HYPERLINK("http://www.medbox.org/toolboxes/kleines-worterbuch-little-dictionary-deutsch-englisch-arabisch/preview","x")</f>
        <v>x</v>
      </c>
      <c r="BO218" s="111"/>
      <c r="BP218" s="111"/>
      <c r="BQ218" s="112" t="str">
        <f>HYPERLINK("https://www.friedensdorf.de/documents/Woerterbuch_Arabisch.pdf","x")</f>
        <v>x</v>
      </c>
      <c r="BR218" s="111"/>
      <c r="BS218" s="112" t="str">
        <f t="shared" si="82"/>
        <v>x</v>
      </c>
      <c r="BT218" s="112" t="str">
        <f>HYPERLINK("http://de.langenscheidt.com/doc/arabisch-deutsch-sprachfuehrer.pdf","x")</f>
        <v>x</v>
      </c>
      <c r="BU218" s="111"/>
      <c r="BV218" s="112" t="str">
        <f t="shared" si="83"/>
        <v>x</v>
      </c>
      <c r="BW218" s="112" t="str">
        <f>HYPERLINK("http://www.welcomegrooves.de/wp-content/uploads/2015/10/welcomegrooves_DE-ARABISCH.pdf","x")</f>
        <v>x</v>
      </c>
      <c r="BX218" s="112"/>
      <c r="BY218" s="112"/>
      <c r="BZ218" s="112" t="str">
        <f>HYPERLINK("http://fluechtlingshilfe-nettetal.de/ausbildung/video-sprachkurse-deutsch-fuer-fluechtlinge/video-sprachkurs-syrisch-deutsch/","x")</f>
        <v>x</v>
      </c>
      <c r="CA218" s="112" t="str">
        <f t="shared" si="84"/>
        <v>x</v>
      </c>
      <c r="CB218" s="112" t="str">
        <f t="shared" si="85"/>
        <v>x</v>
      </c>
      <c r="CC218" s="112" t="str">
        <f t="shared" si="86"/>
        <v>x</v>
      </c>
      <c r="CD218" s="112"/>
      <c r="CE218" s="112"/>
      <c r="CF218" s="112" t="str">
        <f>HYPERLINK("http://www.agf-trier.de/sites/default/files/bersetzungshilfe%20%20f%C3%BCr%20Frauen%20Arab..pdf","x")</f>
        <v>x</v>
      </c>
      <c r="CG218" s="112" t="str">
        <f>HYPERLINK("http://www.braunschweig.de/leben/frauen/hilfe/Ohne-Gewalt-leben.pdf","x")</f>
        <v>x</v>
      </c>
      <c r="CH218" s="112" t="str">
        <f>HYPERLINK("http://mifkjf.rlp.de/fileadmin/mifkjf/Frauen/Gewalt_gegen_Frauen/Downloads/Broschueren_Flyer/Flyer_Gewalt_arabisch_fuer_ANSICHT.pdf","x")</f>
        <v>x</v>
      </c>
      <c r="CI218" s="112"/>
      <c r="CJ218" s="112" t="str">
        <f>HYPERLINK("https://www.hilfetelefon.de/fileadmin/hilfetelefon_de/Materialien/weitere_werbemittel/Klappflyer_Vorder-_und_Rueckseite_opt2.pdf","x")</f>
        <v>x</v>
      </c>
      <c r="CK218" s="112" t="str">
        <f t="shared" si="87"/>
        <v>x</v>
      </c>
      <c r="CL218" s="112" t="str">
        <f>HYPERLINK("http://www.frauenberatungsstelle.de/pdf/Migrantinnen-beraten-Migrantinnen.pdf","x")</f>
        <v>x</v>
      </c>
      <c r="CM218" s="112"/>
      <c r="CN218" s="112"/>
      <c r="CO218" s="112"/>
      <c r="CP218" s="112" t="str">
        <f>HYPERLINK("http://www.schwanger-und-viele-fragen.de/ar/","x")</f>
        <v>x</v>
      </c>
      <c r="CQ218" s="112"/>
      <c r="CR21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18" s="112"/>
      <c r="CT218" s="112"/>
      <c r="CU218" s="112" t="str">
        <f>HYPERLINK("http://www.profamilia.de/fileadmin/publikationen/Erwachsene/mehrsprachig/verhuetung_arabisch.pdf","x")</f>
        <v>x</v>
      </c>
      <c r="CV218" s="112"/>
      <c r="CW218" s="112"/>
      <c r="CX218" s="112"/>
      <c r="CY218" s="112" t="str">
        <f>HYPERLINK("http://www.caritas-schwarzwald-alb-donau.de/68854.html","x")</f>
        <v>x</v>
      </c>
      <c r="CZ218" s="112"/>
      <c r="DA218" s="112" t="str">
        <f>HYPERLINK("http://sichere-orte-schaffen.de/wp-content/uploads/Minibrosch_Fluechtlinge_multilang.pdf","x")</f>
        <v>x</v>
      </c>
      <c r="DB218" s="112"/>
      <c r="DC218" s="115" t="str">
        <f>HYPERLINK("http://www.kindersicherheit.de/pdf/2012_Bilderbuch-Gift-Arabisch.pdf","x")</f>
        <v>x</v>
      </c>
      <c r="DD218" s="112"/>
      <c r="DE218" s="112"/>
      <c r="DF218" s="112" t="str">
        <f t="shared" si="88"/>
        <v>x</v>
      </c>
      <c r="DG218" s="115" t="str">
        <f t="shared" si="89"/>
        <v>x</v>
      </c>
      <c r="DH218" s="112" t="str">
        <f t="shared" si="90"/>
        <v>x</v>
      </c>
      <c r="DI218" s="112" t="str">
        <f t="shared" si="91"/>
        <v>x</v>
      </c>
      <c r="DJ218" s="112" t="str">
        <f>HYPERLINK("http://www.bibliomedia.ch/de/angebote/dokumente/Glossar_arabisch.pdf","x")</f>
        <v>x</v>
      </c>
      <c r="DK218" s="112"/>
      <c r="DL218" s="112" t="str">
        <f>HYPERLINK("http://www.carlsen.de/sites/default/files/Walter-ebook_arabisch_klein.pdf","x")</f>
        <v>x</v>
      </c>
      <c r="DM218" s="112"/>
      <c r="DN218" s="112"/>
      <c r="DO218" s="112" t="str">
        <f>HYPERLINK("http://www.wdrmaus.de/sachgeschichten/maus-international/","x")</f>
        <v>x</v>
      </c>
      <c r="DP218" s="111"/>
      <c r="DQ218" s="112" t="str">
        <f>HYPERLINK("http://tipdoc.de/bus/grafik/kinder-tip/SCHULTIP_give_didacta.pdf","x")</f>
        <v>x</v>
      </c>
      <c r="DR218" s="112" t="str">
        <f>HYPERLINK("https://broschueren.nordrheinwestfalendirekt.de/broschuerenservice/msw/ar-das-schulsystem-in-nordrhein-westfalen-einfach-und-schnell-erklaert/1901","x")</f>
        <v>x</v>
      </c>
      <c r="DS218" s="112" t="str">
        <f>HYPERLINK("http://bildung.koeln.de/materialbibliothek/download.php?idx=7479da9798519efb4e1944d46a76011b","x")</f>
        <v>x</v>
      </c>
      <c r="DT218" s="112" t="str">
        <f>HYPERLINK("http://bildung.koeln.de/materialbibliothek/download.php?idx=dd3a964c240308ea1c8e0d161e49e314","x")</f>
        <v>x</v>
      </c>
      <c r="DU218" s="112"/>
      <c r="DV218" s="112" t="str">
        <f>HYPERLINK("https://www.bmbf.de/pub/Kausa_Elternbroschuere_arabisch.pdf","x")</f>
        <v>x</v>
      </c>
      <c r="DW218" s="112"/>
      <c r="DX218" s="112" t="str">
        <f>HYPERLINK("http://www.wissenschaft.nrw.de/studium/informieren/informationen-fuer-fluechtlinge-die-in-nrw-studieren-moechten/","x")</f>
        <v>x</v>
      </c>
      <c r="DY218" s="112" t="str">
        <f>HYPERLINK("http://www.bamf.de/SharedDocs/Anlagen/DE/Publikationen/Flyer/AnerkennungBerufsabschluss/berufliche_anerkennung_akademische-heilberufe_ar.pdf?__blob=publicationFile","x")</f>
        <v>x</v>
      </c>
      <c r="DZ218" s="112" t="str">
        <f>HYPERLINK("http://www.bamf.de/SharedDocs/Anlagen/DE/Publikationen/Flyer/AnerkennungBerufsabschluss/anerkennung-berufsabschluss_ar.pdf?__blob=publicationFile","x")</f>
        <v>x</v>
      </c>
      <c r="EA218" s="112" t="str">
        <f>HYPERLINK("http://www.bamf.de/SharedDocs/Anlagen/DE/Publikationen/Flyer/AnerkennungBerufsabschluss/anerkennung-berufsabschluss_ausland_ar.pdf?__blob=publicationFile","x")</f>
        <v>x</v>
      </c>
      <c r="EB218" s="112" t="str">
        <f>HYPERLINK("http://www.bamf.de/SharedDocs/Anlagen/DE/Publikationen/Broschueren/willkommen-in-deutschland-info-blaue-karte-eu_ar.pdf?__blob=publicationFile","x")</f>
        <v>x</v>
      </c>
      <c r="EC218" s="112" t="str">
        <f>HYPERLINK("http://www.bamf.de/SharedDocs/Anlagen/DE/Publikationen/Flyer/Berufsbezsprachf-ESF-BAMF/berufsbezsprachf-esf-bamf_ar.pdf?__blob=publicationFile","x")</f>
        <v>x</v>
      </c>
      <c r="ED218" s="111"/>
      <c r="EE218" s="111"/>
      <c r="EF218" s="111"/>
      <c r="EG218" s="111"/>
      <c r="EH218" s="111"/>
      <c r="EI218" s="111"/>
      <c r="EJ218" s="112"/>
      <c r="EK218" s="112" t="str">
        <f>HYPERLINK("http://fluechtlingsrat-bw.de/files/Dateien/Dokumente/Materialbestellung/2014-12-flyer%20arbeitserlaubnis%20AR%20WEB_final.pdf","x")</f>
        <v>x</v>
      </c>
      <c r="EL218" s="112" t="str">
        <f>HYPERLINK("http://www.aponet.de/arabisch/20151019-fuer-den-notfall-wichtige-rufnummern-im-ueberblick.html","x")</f>
        <v>x</v>
      </c>
      <c r="EM218" s="112" t="str">
        <f>HYPERLINK("http://www.kvs-sachsen.de/fileadmin/img/Mitglieder/Asylbewerber/Allg-Informationen/Anlage_1_Arabisch_LEK.pdf","x")</f>
        <v>x</v>
      </c>
      <c r="EN218" s="112" t="str">
        <f>HYPERLINK("http://www.medizin-hilft-fluechtlingen.de/images/Dokumente/gSch/gSch_arab.pdf","x")</f>
        <v>x</v>
      </c>
      <c r="EO218" s="112" t="str">
        <f>HYPERLINK("http://www.aponet.de/arabisch/20151016-medizinische-leistungen-fuer-asylbewerber.html","x")</f>
        <v>x</v>
      </c>
      <c r="EP218" s="117" t="str">
        <f>HYPERLINK("http://www.medi-bild.de/pdf/anamnese/Welche_Sprache.pdf","x")</f>
        <v>x</v>
      </c>
      <c r="EQ218" s="117" t="str">
        <f>HYPERLINK("http://www.armut-gesundheit.de/fileadmin/redakteur/dokumente/Anamnesebogen%20-%20Arabischnew.pdf","x")</f>
        <v>x</v>
      </c>
      <c r="ER218" s="112" t="str">
        <f>HYPERLINK("http://www.kvs-sachsen.de/fileadmin/img/Mitglieder/Asylbewerber/Allg-Informationen/Anlagen_2-1_2-2_Arabisch_LEK.pdf","x")</f>
        <v>x</v>
      </c>
      <c r="ES218" s="112"/>
      <c r="ET218" s="112" t="str">
        <f>HYPERLINK("http://www.pharmazeutische-zeitung.de/fileadmin/pdf/Fragebogen_PZ_43_2015.pdf","x")</f>
        <v>x</v>
      </c>
      <c r="EU218" s="112" t="str">
        <f>HYPERLINK("http://www.medizin-hilft-fluechtlingen.de/images/Dokumente/ein/ein_arab.pdf","x")</f>
        <v>x</v>
      </c>
      <c r="EV218" s="112" t="str">
        <f>HYPERLINK("http://www.adler-apotheke-hh.de/fileadmin/user_upload/PDF-Dateien/Dosierzettel_mehrsprachig_AUF_0_.pdf","x")</f>
        <v>x</v>
      </c>
      <c r="EW218" s="112" t="str">
        <f t="shared" si="92"/>
        <v>x</v>
      </c>
      <c r="EX218" s="112" t="str">
        <f>HYPERLINK("http://www.rki.de/DE/Content/Infekt/IfSG/Belehrungsbogen/belehrungsbogen_eltern_arabisch.pdf?__blob=publicationFile","x")</f>
        <v>x</v>
      </c>
      <c r="EY218" s="112" t="str">
        <f>HYPERLINK("http://www.bzga.de/infomaterialien/?sid=236","x")</f>
        <v>x</v>
      </c>
      <c r="EZ218" s="112" t="str">
        <f>HYPERLINK("https://www.mh-hannover.de/fileadmin/mhh/bilder/aktuelles_presse/presseinformationen_news/150921_Pilz_Vergif_Arab_3.pdf","x")</f>
        <v>x</v>
      </c>
      <c r="FA218" s="112"/>
      <c r="FB218" s="112" t="str">
        <f>HYPERLINK("http://static.apotheken-umschau.de/media/gp/article_506373/bildwoerterbuch.pdf","x")</f>
        <v>x</v>
      </c>
      <c r="FC218" s="111"/>
      <c r="FD218" s="112" t="str">
        <f t="shared" si="93"/>
        <v>x</v>
      </c>
      <c r="FE218" s="112" t="str">
        <f>HYPERLINK("http://sghanstedt.elbnetz.com/ueber-uns/","x")</f>
        <v>x</v>
      </c>
      <c r="FF218" s="112" t="str">
        <f>HYPERLINK("http://www.fuhlenhagen.com/pdf_dateien/uebertzungshilfe_aerzte_mehrsprachig.pdf","x")</f>
        <v>x</v>
      </c>
      <c r="FG218" s="112" t="str">
        <f>HYPERLINK("http://www.tipdoc.de/grafik/asyl/Gesundheitsheft_Asyl.pdf","x")</f>
        <v>x</v>
      </c>
      <c r="FH218" s="111"/>
      <c r="FI218" s="111"/>
      <c r="FJ218" s="112" t="str">
        <f>HYPERLINK("http://www.bundesgesundheitsministerium.de/fileadmin/dateien/Publikationen/Gesundheit/Broschueren/Ratgeber_Asylsuchende/Ratgeber_Asylsuchende_arab.PDF","x")</f>
        <v>x</v>
      </c>
      <c r="FK218" s="112" t="str">
        <f>HYPERLINK("http://www.rki.de/DE/Content/Infekt/Impfen/Materialien/Downloads-Impfkalender/Impfkalender_Arabisch.pdf?__blob=publicationFile","x")</f>
        <v>x</v>
      </c>
      <c r="FL218" s="112" t="str">
        <f>HYPERLINK("http://www.ethno-medizinisches-zentrum.de/images/PDF-Files/impfwegweiser_arabbisch_2013_online.pdf","x")</f>
        <v>x</v>
      </c>
      <c r="FM218" s="112"/>
      <c r="FN218" s="112" t="str">
        <f>HYPERLINK("http://www.rki.de/DE/Content/Infekt/Impfen/Materialien/Glossar-Downloads/glossar-de-arabisch.pdf?__blob=publicationFile","x")</f>
        <v>x</v>
      </c>
      <c r="FO218" s="112"/>
      <c r="FP218" s="112" t="str">
        <f>HYPERLINK("http://www.rki.de/DE/Content/Infekt/Impfen/Materialien/Downloads-MMR/MMR-Impfinfo-arabisch.pdf?__blob=publicationFile","x")</f>
        <v>x</v>
      </c>
      <c r="FQ218" s="112" t="str">
        <f>HYPERLINK("http://www.rki.de/DE/Content/InfAZ/P/Polio/Ausbruch_Syrien/Informationsblatt_Polio_Arabisch.pdf?__blob=publicationFile","x")</f>
        <v>x</v>
      </c>
      <c r="FR218" s="112" t="str">
        <f>HYPERLINK("http://www.rki.de/DE/Content/Infekt/Impfen/Materialien/Downloads_HepA/Aufklaerung_HAV-Impfung_arabisch.pdf?__blob=publicationFile","x")</f>
        <v>x</v>
      </c>
      <c r="FS218" s="112" t="str">
        <f>HYPERLINK("http://www.rki.de/DE/Content/Infekt/Impfen/Materialien/Downloads_Pneumokokken/Aufklaerung_Pneumo-Impfung_Arabisch.pdf?__blob=publicationFile","x")</f>
        <v>x</v>
      </c>
      <c r="FT218" s="112" t="str">
        <f>HYPERLINK("http://www.rki.de/DE/Content/Infekt/Impfen/Materialien/Downloads-DTaPIPVHibHepB/DTaPIPVHibHepB_arabisch.pdf?__blob=publicationFile","x")</f>
        <v>x</v>
      </c>
      <c r="FU218" s="112" t="str">
        <f>HYPERLINK("http://www.rki.de/DE/Content/Infekt/Impfen/Materialien/Downloads-Varizellen/Varizellen-Impfinfo-arabisch.pdf;jsessionid=65B697F4EE7EDA8A1ED9E2C4CD6C74EC.2_cid363?__blob=publicationFile","x")</f>
        <v>x</v>
      </c>
      <c r="FV218" s="112" t="str">
        <f>HYPERLINK("http://www.rki.de/DE/Content/Infekt/Impfen/Materialien/Downloads-Tdap-IPV/Tdap-IPV-arabisch.pdf?__blob=publicationFile","x")</f>
        <v>x</v>
      </c>
      <c r="FW218" s="112" t="str">
        <f>HYPERLINK("http://www.rki.de/DE/Content/Infekt/Impfen/Materialien/Downloads-Influenza_nasal/Influenza_nasal-arabisch.pdf?__blob=publicationFile","x")</f>
        <v>x</v>
      </c>
      <c r="FX218" s="112" t="str">
        <f>HYPERLINK("http://www.medical-tribune.de/fileadmin/PDF/Arthrose_arabisch.pdf","x")</f>
        <v>x</v>
      </c>
      <c r="FY218" s="112" t="str">
        <f>HYPERLINK("http://www.medical-tribune.de/fileadmin/PDF/Asthma_arabisch.pdf","x")</f>
        <v>x</v>
      </c>
      <c r="FZ218" s="112" t="str">
        <f>HYPERLINK("http://www.medical-tribune.de/fileadmin/PDF/Bluthochdruck_arabisch.pdf","x")</f>
        <v>x</v>
      </c>
      <c r="GA218" s="112"/>
      <c r="GB218" s="112" t="str">
        <f>HYPERLINK("http://www.medical-tribune.de/fileadmin/PDF/COPD_arabisch.pdf","x")</f>
        <v>x</v>
      </c>
      <c r="GC218" s="112"/>
      <c r="GD218" s="112" t="str">
        <f>HYPERLINK("http://www.ethno-medizinisches-zentrum.de/images/PDF-Files/lf_diabete_arab.pdf","x")</f>
        <v>x</v>
      </c>
      <c r="GE218" s="112"/>
      <c r="GF218" s="112"/>
      <c r="GG218" s="112"/>
      <c r="GH218" s="112"/>
      <c r="GI218" s="112" t="str">
        <f>HYPERLINK("http://www.tipdoc.de/bus/pdf/hepatitis/Hep_B_Webseite.pdf","x")</f>
        <v>x</v>
      </c>
      <c r="GJ218" s="112" t="str">
        <f>HYPERLINK("http://www.tipdoc.de/bus/pdf/hepatitis/Hep_C_Webseite.pdf","x")</f>
        <v>x</v>
      </c>
      <c r="GK218" s="111"/>
      <c r="GL218" s="111"/>
      <c r="GM218" s="112" t="str">
        <f>HYPERLINK("http://www.rki.de/DE/Content/Infekt/Impfen/Materialien/Downloads-Influenza/Influenza-arabisch.pdf?__blob=publicationFile","x")</f>
        <v>x</v>
      </c>
      <c r="GN218" s="112"/>
      <c r="GO218" s="112" t="str">
        <f>HYPERLINK("http://www.aponet.de/arabisch/20151111-so-unterscheiden-sich-grippe-und-erkaeltung.html","x")</f>
        <v>x</v>
      </c>
      <c r="GP218" s="112" t="str">
        <f>HYPERLINK("http://www.tipdoc.de/grafik/pdf/kopflaeuse/Kopflaeuse_ARAB.pdf","x")</f>
        <v>x</v>
      </c>
      <c r="GQ218" s="112"/>
      <c r="GR218" s="112" t="str">
        <f>HYPERLINK("http://www.tipdoc.com/bus/pdf/kraetze/tipdoc_Scabies_ARAB.pdf","x")</f>
        <v>x</v>
      </c>
      <c r="GS218" s="112" t="str">
        <f>HYPERLINK("http://www.tipdoc.com/bus/pdf/MagenDarmHaende/MagenDarmHaende_Arab.pdf","x")</f>
        <v>x</v>
      </c>
      <c r="GT218" s="112"/>
      <c r="GU218" s="112" t="str">
        <f>HYPERLINK("http://www.medical-tribune.de/fileadmin/PDF/Rueckenschmerzen_arabisch.pdf","x")</f>
        <v>x</v>
      </c>
      <c r="GV218" s="112"/>
      <c r="GW218" s="112"/>
      <c r="GX218" s="112" t="str">
        <f>HYPERLINK("http://www.medical-tribune.de/fileadmin/PDF/Schwindel_arabisch.pdf","x")</f>
        <v>x</v>
      </c>
      <c r="GY218" s="112"/>
      <c r="GZ218" s="112"/>
      <c r="HA218" s="112"/>
      <c r="HB218" s="112"/>
      <c r="HC218" s="112" t="str">
        <f t="shared" si="94"/>
        <v>x</v>
      </c>
      <c r="HD218" s="112" t="str">
        <f t="shared" ref="HD218:HD223" si="98">HYPERLINK("https://www.zahnaerzte-wl.de/images/_PDF-suche/KZV_ZÄK/ENDSTAND_Ankreuzbogen_Ich_verstehe.pdf","x")</f>
        <v>x</v>
      </c>
      <c r="HE218" s="112" t="str">
        <f>HYPERLINK("https://www.zahnaerzte-wl.de/images/_PDF-suche/KZV_ZÄK/Anschreiben_Patienten_arabisch.pdf","x")</f>
        <v>x</v>
      </c>
      <c r="HF218" s="112" t="str">
        <f>HYPERLINK("https://www.zahnaerzte-wl.de/images/_PDF-suche/KZV_ZÄK/Fragebogen_arabisch.pdf","x")</f>
        <v>x</v>
      </c>
      <c r="HG218" s="112" t="str">
        <f>HYPERLINK("https://www.zahnaerzte-wl.de/images/_PDF-suche/KZV_ZÄK/Patientenerhebungsbogen_arabisch.pdf","x")</f>
        <v>x</v>
      </c>
      <c r="HH218" s="112"/>
      <c r="HI218" s="112"/>
      <c r="HJ218" s="112" t="str">
        <f>HYPERLINK("http://www.ibbc-berlin.de/media/Bro_de-arab.pdf","x")</f>
        <v>x</v>
      </c>
      <c r="HK218" s="112"/>
      <c r="HL218" s="112" t="str">
        <f>HYPERLINK("http://www.ethno-medizinisches-zentrum.de/images/PDF-Files/lf_depression__arab.pdf","x")</f>
        <v>x</v>
      </c>
      <c r="HM218" s="112"/>
      <c r="HN218" s="112"/>
      <c r="HO218" s="112"/>
      <c r="HP218" s="112"/>
      <c r="HQ218" s="112"/>
      <c r="HR218" s="112"/>
      <c r="HS218" s="112"/>
      <c r="HT218" s="112"/>
      <c r="HU218" s="112"/>
      <c r="HV218" s="112"/>
      <c r="HW218" s="112"/>
      <c r="HX218" s="112" t="str">
        <f>HYPERLINK("http://www.bkk-psychisch-gesund.de/fileadmin/user_upload/Dokumente/Versicherte/Broschueren/Wegweiser_Psychotherapie_arabisch.pdf","x")</f>
        <v>x</v>
      </c>
      <c r="HY218" s="112" t="str">
        <f t="shared" si="95"/>
        <v>x</v>
      </c>
      <c r="HZ218" s="112" t="str">
        <f t="shared" si="96"/>
        <v>x</v>
      </c>
      <c r="IA218" s="112"/>
      <c r="IB218" s="112"/>
      <c r="IC218" s="112"/>
      <c r="ID218" s="112" t="str">
        <f>HYPERLINK("http://www.susannestein.de/VIA-online/trauma-bilderbuch-arabisch.pdf","x")</f>
        <v>x</v>
      </c>
      <c r="IE218" s="112"/>
      <c r="IF218" s="112"/>
      <c r="IG218" s="112"/>
      <c r="IH218" s="111"/>
      <c r="II218" s="112"/>
      <c r="IJ218" s="112"/>
      <c r="IK218" s="112" t="str">
        <f>HYPERLINK("http://www.bamf.de/SharedDocs/Anlagen/DE/Publikationen/Flyer/Lassen-Sie-Sich-Beraten/lassen-sie-sich-beraten_ar.pdf?__blob=publicationFile","x")</f>
        <v>x</v>
      </c>
      <c r="IL218" s="112" t="str">
        <f>HYPERLINK("http://www.bamf.de/SharedDocs/Anlagen/DE/Publikationen/Flyer/flyer-erstorientierung-asylsuchende_arabisch.pdf?__blob=publicationFile","x")</f>
        <v>x</v>
      </c>
      <c r="IM218" s="111"/>
      <c r="IN218" s="112" t="str">
        <f>HYPERLINK("https://www.bamf.de/SharedDocs/Anlagen/DE/Publikationen/Broschueren/willkommen-in-deutschland_ar.pdf?__blob=publicationFile","x")</f>
        <v>x</v>
      </c>
      <c r="IO218" s="112"/>
      <c r="IP218" s="111"/>
      <c r="IQ218" s="112" t="str">
        <f>HYPERLINK("http://www.bamf.de/SharedDocs/Anlagen/DE/Publikationen/Flyer/Lernen-Sie-Deutsch/lernen-sie-deutsch_ar.pdf?__blob=publicationFile","x")</f>
        <v>x</v>
      </c>
      <c r="IR218" s="112" t="str">
        <f>HYPERLINK("http://www.asyl.net/fileadmin/user_upload/redaktion/Dokumente/Arbeitshilfen/150910_Wie_l%C3%A4uft_ein_Asylverfahren_ab_%C3%9Cberblickstext_Arabisch.pdf","x")</f>
        <v>x</v>
      </c>
      <c r="IS218" s="111"/>
      <c r="IT218" s="111"/>
      <c r="IU218" s="111"/>
      <c r="IV218" s="112" t="str">
        <f>HYPERLINK("http://www.asyl.net/fileadmin/user_upload/infoblatt_anhoerung/Infoblatt_2015_ar_fin.pdf","x")</f>
        <v>x</v>
      </c>
      <c r="IW218" s="112" t="str">
        <f>HYPERLINK("http://efi-landsberg.de/asyl/wp-content/uploads/2014/04/Merkblatt-Asylbewerber-Fluechtlinge.pdf","x")</f>
        <v>x</v>
      </c>
      <c r="IX218" s="112"/>
      <c r="IY218" s="112" t="str">
        <f>HYPERLINK("http://www.bamf.de/SharedDocs/Anlagen/DE/Publikationen/Broschueren/broschuere-eat-a4-ar-arabisch.pdf?__blob=publicationFile","x")</f>
        <v>x</v>
      </c>
      <c r="IZ218" s="111"/>
      <c r="JA218" s="112" t="str">
        <f>HYPERLINK("http://fluechtlingsrat-bw.de/informationen-fuer-fluechtlinge.html","x")</f>
        <v>x</v>
      </c>
      <c r="JB218" s="111"/>
      <c r="JC218" s="112"/>
      <c r="JD218" s="111"/>
      <c r="JE218" s="112"/>
      <c r="JF218" s="112"/>
      <c r="JG218" s="112" t="str">
        <f>HYPERLINK("http://www.bamf.de/SharedDocs/Anlagen/DE/Publikationen/Flyer/Ehegattennachzug/ehegattennachzug-ar.pdf?__blob=publicationFile","x")</f>
        <v>x</v>
      </c>
      <c r="JH218" s="112" t="str">
        <f>HYPERLINK("https://familyreunion-syria.diplo.de/webportal/index.html#start","x")</f>
        <v>x</v>
      </c>
      <c r="JI218" s="111"/>
      <c r="JJ218" s="112"/>
      <c r="JK218" s="112" t="str">
        <f>HYPERLINK("https://www.arbeitsagentur.de/web/wcm/idc/groups/public/documents/webdatei/mdaw/mjgz/~edisp/l6019022dstbai784629.pdf?_ba.sid=L6019022DSTBAI788745","x")</f>
        <v>x</v>
      </c>
      <c r="JL218" s="112" t="str">
        <f>HYPERLINK("http://www.kub-berlin.org/formularprojekt/de/arabisch-antraege-und-anlagen/","x")</f>
        <v>x</v>
      </c>
      <c r="JM218" s="112" t="str">
        <f>HYPERLINK("https://www.arbeitsagentur.de/web/content/DE/Formulare/Detail/index.htm?dfContentId=L6019022DSTBAI485740","x")</f>
        <v>x</v>
      </c>
      <c r="JN218" s="112"/>
      <c r="JO218" s="112"/>
      <c r="JP218" s="112"/>
      <c r="JQ218" s="112"/>
      <c r="JR218" s="112" t="str">
        <f t="shared" si="97"/>
        <v>x</v>
      </c>
      <c r="JS218" s="112"/>
      <c r="JT218" s="112" t="str">
        <f>HYPERLINK("http://www.b-umf.de/images/willkommen/willkommensbroschurearabisch-web.pdf","x")</f>
        <v>x</v>
      </c>
      <c r="JU218" s="111"/>
      <c r="JV218" s="111"/>
      <c r="JW218" s="112"/>
      <c r="JX218" s="112"/>
      <c r="JY218" s="112"/>
      <c r="JZ218" s="112"/>
      <c r="KA218" s="112" t="str">
        <f>HYPERLINK("http://www.kas.de/wf/de/33.43117/","x")</f>
        <v>x</v>
      </c>
      <c r="KB218" s="112" t="str">
        <f>HYPERLINK("http://www.refugeeguide.de/dl/RefugeeGuide_ar_930.pdf","x")</f>
        <v>x</v>
      </c>
      <c r="KC218" s="112" t="str">
        <f>HYPERLINK("http://www.bpb.de/shop/buecher/grundgesetz/215136/grundgesetz-auf-arabisch","x")</f>
        <v>x</v>
      </c>
      <c r="KD218" s="112" t="str">
        <f>HYPERLINK("http://www.wedel.de/fileadmin/user_upload/media/pdf/Rathaus_und_Politik/20160118_PM_Broschuere.pdf","x")</f>
        <v>x</v>
      </c>
      <c r="KE218" s="112" t="str">
        <f>HYPERLINK("http://www.frauenrechte.de/online/images/downloads/allgemein/TDF_Flyer_Women_Men.pdf","x")</f>
        <v>x</v>
      </c>
      <c r="KF218" s="112" t="str">
        <f>HYPERLINK("http://sab.landtag.sachsen.de/dokumente/landtagskurier/Grundwerte-A5-international_web_08012016.pdf","x")</f>
        <v>x</v>
      </c>
      <c r="KG218" s="112"/>
      <c r="KH218" s="112"/>
      <c r="KI218" s="112"/>
      <c r="KJ218" s="112"/>
      <c r="KK218" s="112"/>
      <c r="KL218" s="112"/>
      <c r="KM218" s="112"/>
      <c r="KN218" s="112"/>
      <c r="KO218" s="112"/>
      <c r="KP218" s="112"/>
      <c r="KQ218" s="112"/>
      <c r="KR218" s="112"/>
      <c r="KS218" s="112"/>
      <c r="KT218" s="112"/>
      <c r="KU218" s="112"/>
      <c r="KV218" s="112"/>
      <c r="KW218" s="112"/>
      <c r="KX218" s="112"/>
      <c r="KY218" s="112"/>
      <c r="KZ218" s="112"/>
      <c r="LA218" s="112"/>
      <c r="LB218" s="112"/>
      <c r="LC218" s="111"/>
      <c r="LD218" s="111"/>
      <c r="LE218" s="111"/>
      <c r="LF218" s="111"/>
      <c r="LG218" s="112"/>
      <c r="LH218" s="111"/>
      <c r="LI218" s="111"/>
      <c r="LJ218" s="111"/>
      <c r="LK218" s="111"/>
      <c r="LL218" s="111"/>
      <c r="LM218" s="111"/>
      <c r="LN218" s="111"/>
      <c r="LO218" s="111"/>
      <c r="LP218" s="111"/>
      <c r="LQ218" s="111"/>
      <c r="LR218" s="111"/>
      <c r="LS218" s="111"/>
      <c r="LT218" s="112"/>
      <c r="LU218" s="111"/>
      <c r="LV218" s="111"/>
      <c r="LW218" s="111"/>
      <c r="LX218" s="111"/>
      <c r="LY218" s="111"/>
      <c r="LZ218" s="112" t="str">
        <f>HYPERLINK("http://www.bjf.info/projekte/cinemanya","x")</f>
        <v>x</v>
      </c>
      <c r="MA218" s="111"/>
      <c r="MB218" s="111"/>
      <c r="MC218" s="111"/>
      <c r="MD218" s="112" t="str">
        <f>HYPERLINK("http://www.rki.de/DE/Content/Infekt/IfSG/Belehrungsbogen/belehrungsbogen_lebensmittel_arabisch.pdf?__blob=publicationFile","x")</f>
        <v>x</v>
      </c>
      <c r="ME218" s="111"/>
      <c r="MF218" s="112" t="str">
        <f>HYPERLINK("http://www.gdv.de/wp-content/uploads/2016/01/Information_Brandschutz_Fluechtlingsheim_-Sicherheit_mehrsprachig.pdf","x")</f>
        <v>x</v>
      </c>
      <c r="MG218" s="112" t="str">
        <f>HYPERLINK("http://www.gdv.de/wp-content/uploads/2016/01/Information_Verhalten-im-Brandfall_mehrsprachig.pdf","x")</f>
        <v>x</v>
      </c>
      <c r="MH218" s="112" t="str">
        <f>HYPERLINK("http://www.aha-region.de/fileadmin/Download/pdf/aha_Plakat_Muelltrennung_ar.pdf","x")</f>
        <v>x</v>
      </c>
      <c r="MI218" s="112" t="str">
        <f>HYPERLINK("http://www.kindersicherheit.de/pdf/2012_poster_achtunggiftig_8sprachig.pdf","x")</f>
        <v>x</v>
      </c>
    </row>
    <row r="219" spans="1:347" x14ac:dyDescent="0.25">
      <c r="A219" s="102" t="s">
        <v>77</v>
      </c>
      <c r="B219" s="127" t="s">
        <v>480</v>
      </c>
      <c r="C219" s="102"/>
      <c r="D219" s="102"/>
      <c r="E219" s="102"/>
      <c r="F219" s="102"/>
      <c r="G219" s="102"/>
      <c r="H219" s="102"/>
      <c r="I219" s="102"/>
      <c r="J219" s="102"/>
      <c r="K219" s="103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2" t="str">
        <f>HYPERLINK("https://www.vrsinfo.de/fileadmin/Dateien/downloadcenter/Folder_MobilPassTicket_Refugees01012016.pdf","x")</f>
        <v>x</v>
      </c>
      <c r="AL219" s="112" t="str">
        <f>HYPERLINK("https://www.vrsinfo.de/fileadmin/Dateien/downloadcenter/Willkommen_im_VRS2016_Druck.pdf","x")</f>
        <v>x</v>
      </c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3"/>
      <c r="AW219" s="114" t="str">
        <f t="shared" si="78"/>
        <v>x</v>
      </c>
      <c r="AX219" s="114" t="str">
        <f t="shared" si="79"/>
        <v>x</v>
      </c>
      <c r="AY219" s="112" t="str">
        <f>HYPERLINK("http://fi-lohmar-siegburg.de/data/documents/Findefix_kurdisch-Bildwoerterbuch.pdf","x")</f>
        <v>x</v>
      </c>
      <c r="AZ219" s="111"/>
      <c r="BA219" s="112" t="str">
        <f t="shared" si="80"/>
        <v>x</v>
      </c>
      <c r="BB219" s="112" t="str">
        <f t="shared" si="81"/>
        <v>x</v>
      </c>
      <c r="BC219" s="111"/>
      <c r="BD219" s="111"/>
      <c r="BE219" s="111"/>
      <c r="BF219" s="111"/>
      <c r="BG219" s="111"/>
      <c r="BH219" s="112" t="str">
        <f>HYPERLINK("http://www.refugeephrasebook.de/pdf/germany150920.pdf","x")</f>
        <v>x</v>
      </c>
      <c r="BI219" s="112" t="str">
        <f>HYPERLINK("https://www.advanced-online.eu/downloads/RefugeePhrasebookCards_German-Kurdish-Kurmanji.pdf","x")</f>
        <v>x</v>
      </c>
      <c r="BJ219" s="111"/>
      <c r="BK219" s="111"/>
      <c r="BL219" s="111"/>
      <c r="BM219" s="112" t="str">
        <f>HYPERLINK("http://www.frnrw.de/images/Aus_den_Initiativen/Ehrenamtler/2015/Dictionary_x10_print-2.pdf","x")</f>
        <v>x</v>
      </c>
      <c r="BN219" s="111"/>
      <c r="BO219" s="111"/>
      <c r="BP219" s="111"/>
      <c r="BQ219" s="111"/>
      <c r="BR219" s="111"/>
      <c r="BS219" s="112" t="str">
        <f t="shared" si="82"/>
        <v>x</v>
      </c>
      <c r="BT219" s="112"/>
      <c r="BU219" s="111"/>
      <c r="BV219" s="112" t="str">
        <f t="shared" si="83"/>
        <v>x</v>
      </c>
      <c r="BW219" s="112"/>
      <c r="BX219" s="112"/>
      <c r="BY219" s="112"/>
      <c r="BZ219" s="112"/>
      <c r="CA219" s="112" t="str">
        <f t="shared" si="84"/>
        <v>x</v>
      </c>
      <c r="CB219" s="112" t="str">
        <f t="shared" si="85"/>
        <v>x</v>
      </c>
      <c r="CC219" s="112" t="str">
        <f t="shared" si="86"/>
        <v>x</v>
      </c>
      <c r="CD219" s="112"/>
      <c r="CE219" s="112"/>
      <c r="CF219" s="111"/>
      <c r="CG219" s="112" t="str">
        <f>HYPERLINK("http://www.braunschweig.de/leben/frauen/hilfe/Ohne-Gewalt-leben.pdf","x")</f>
        <v>x</v>
      </c>
      <c r="CH219" s="112"/>
      <c r="CI219" s="112"/>
      <c r="CJ219" s="112"/>
      <c r="CK219" s="112" t="str">
        <f t="shared" si="87"/>
        <v>x</v>
      </c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 t="str">
        <f>HYPERLINK("http://sichere-orte-schaffen.de/wp-content/uploads/Minibrosch_Fluechtlinge_multilang.pdf","x")</f>
        <v>x</v>
      </c>
      <c r="DB219" s="112"/>
      <c r="DC219" s="115"/>
      <c r="DD219" s="112"/>
      <c r="DE219" s="112"/>
      <c r="DF219" s="112" t="str">
        <f t="shared" si="88"/>
        <v>x</v>
      </c>
      <c r="DG219" s="115" t="str">
        <f t="shared" si="89"/>
        <v>x</v>
      </c>
      <c r="DH219" s="112" t="str">
        <f t="shared" si="90"/>
        <v>x</v>
      </c>
      <c r="DI219" s="112" t="str">
        <f t="shared" si="91"/>
        <v>x</v>
      </c>
      <c r="DJ219" s="111"/>
      <c r="DK219" s="111"/>
      <c r="DL219" s="112" t="str">
        <f>HYPERLINK("http://www.carlsen.de/sites/default/files/Walter-ebook_kurdisch_klein.pdf","x")</f>
        <v>x</v>
      </c>
      <c r="DM219" s="112"/>
      <c r="DN219" s="111"/>
      <c r="DO219" s="112" t="str">
        <f>HYPERLINK("http://www.wdrmaus.de/sachgeschichten/maus-international/","x")</f>
        <v>x</v>
      </c>
      <c r="DP219" s="111"/>
      <c r="DQ219" s="111"/>
      <c r="DR219" s="111"/>
      <c r="DS219" s="112" t="str">
        <f>HYPERLINK("http://bildung.koeln.de/materialbibliothek/download.php?idx=fc4887ef7fe884e5adf460bb238faf37","x")</f>
        <v>x</v>
      </c>
      <c r="DT219" s="112" t="str">
        <f>HYPERLINK("http://bildung.koeln.de/materialbibliothek/download.php?idx=99fc6dbeceefa7442b292c74ac93ba58","x")</f>
        <v>x</v>
      </c>
      <c r="DU219" s="112"/>
      <c r="DV219" s="111"/>
      <c r="DW219" s="111"/>
      <c r="DX219" s="111"/>
      <c r="DY219" s="111"/>
      <c r="DZ219" s="111"/>
      <c r="EA219" s="111"/>
      <c r="EB219" s="112"/>
      <c r="EC219" s="111"/>
      <c r="ED219" s="111"/>
      <c r="EE219" s="111"/>
      <c r="EF219" s="111"/>
      <c r="EG219" s="111"/>
      <c r="EH219" s="111"/>
      <c r="EI219" s="111"/>
      <c r="EJ219" s="112"/>
      <c r="EK219" s="112"/>
      <c r="EL219" s="111"/>
      <c r="EM219" s="112" t="str">
        <f>HYPERLINK("http://www.kvs-sachsen.de/fileadmin/img/Mitglieder/Asylbewerber/Allg-Informationen/Anlage_1_Kurmandschi_LEK.pdf","x")</f>
        <v>x</v>
      </c>
      <c r="EN219" s="111"/>
      <c r="EO219" s="111"/>
      <c r="EP219" s="117" t="str">
        <f>HYPERLINK("http://www.medi-bild.de/pdf/anamnese/Welche_Sprache.pdf","x")</f>
        <v>x</v>
      </c>
      <c r="EQ219" s="117" t="str">
        <f>HYPERLINK("http://www.medknowledge.de/migration/tipdoc/anamnesebogen/tipdoc_Anamnese_kurdi.pdf","x")</f>
        <v>x</v>
      </c>
      <c r="ER219" s="112" t="str">
        <f>HYPERLINK("http://www.kvs-sachsen.de/fileadmin/img/Mitglieder/Asylbewerber/Allg-Informationen/Anlagen_2-1_2-2_Kurmandschi_LEK.pdf","x")</f>
        <v>x</v>
      </c>
      <c r="ES219" s="111"/>
      <c r="ET219" s="111"/>
      <c r="EU219" s="111"/>
      <c r="EV219" s="111"/>
      <c r="EW219" s="112" t="str">
        <f t="shared" si="92"/>
        <v>x</v>
      </c>
      <c r="EX219" s="111"/>
      <c r="EY219" s="111"/>
      <c r="EZ219" s="112" t="str">
        <f>HYPERLINK("https://www.mh-hannover.de/fileadmin/mhh/bilder/aktuelles_presse/presseinformationen_news/-Pilzvergif_kurdisch_2.pdf","x")</f>
        <v>x</v>
      </c>
      <c r="FA219" s="112"/>
      <c r="FB219" s="111"/>
      <c r="FC219" s="111"/>
      <c r="FD219" s="112" t="str">
        <f t="shared" si="93"/>
        <v>x</v>
      </c>
      <c r="FE219" s="112" t="str">
        <f>HYPERLINK("http://sghanstedt.elbnetz.com/ueber-uns/","x")</f>
        <v>x</v>
      </c>
      <c r="FF219" s="111"/>
      <c r="FG219" s="111"/>
      <c r="FH219" s="111"/>
      <c r="FI219" s="111"/>
      <c r="FJ219" s="112" t="str">
        <f>HYPERLINK("http://www.bundesgesundheitsministerium.de/fileadmin/dateien/Publikationen/Gesundheit/Broschueren/Ratgeber_Asylsuchende/Ratgeber_Asylsuchende_kurd.pdf","x")</f>
        <v>x</v>
      </c>
      <c r="FK219" s="112" t="str">
        <f>HYPERLINK("http://www.rki.de/DE/Content/Infekt/Impfen/Materialien/Downloads-Impfkalender/Impfkalender_Kurdisch.pdf?__blob=publicationFile","x")</f>
        <v>x</v>
      </c>
      <c r="FL219" s="112" t="str">
        <f>HYPERLINK("http://www.ethno-medizinisches-zentrum.de/images/PDF-Files/impfwegweiser_kurdisch_2014_online.pdf","x")</f>
        <v>x</v>
      </c>
      <c r="FM219" s="112"/>
      <c r="FN219" s="112" t="str">
        <f>HYPERLINK("http://www.rki.de/DE/Content/Infekt/Impfen/Materialien/Glossar-Downloads/glossar-de-kurdisch.pdf?__blob=publicationFile","x")</f>
        <v>x</v>
      </c>
      <c r="FO219" s="112"/>
      <c r="FP219" s="112" t="str">
        <f>HYPERLINK("http://www.rki.de/DE/Content/Infekt/Impfen/Materialien/Downloads-MMR/MMR-Impfinfo-kurdisch.pdf?__blob=publicationFile","x")</f>
        <v>x</v>
      </c>
      <c r="FQ219" s="112"/>
      <c r="FR219" s="112" t="str">
        <f>HYPERLINK("http://www.rki.de/DE/Content/Infekt/Impfen/Materialien/Downloads_HepA/Aufklaerung_HAV-Impfung_Kurdisch.pdf?__blob=publicationFile","x")</f>
        <v>x</v>
      </c>
      <c r="FS219" s="112" t="str">
        <f>HYPERLINK("http://www.rki.de/DE/Content/Infekt/Impfen/Materialien/Downloads_Pneumokokken/Aufklaerung_Pneumo-Impfung_Kurdisch.pdf?__blob=publicationFile","x")</f>
        <v>x</v>
      </c>
      <c r="FT219" s="112" t="str">
        <f>HYPERLINK("http://www.rki.de/DE/Content/Infekt/Impfen/Materialien/Downloads-DTaPIPVHibHepB/DTaPIPVHibHepB-kurdisch.pdf?__blob=publicationFile","x")</f>
        <v>x</v>
      </c>
      <c r="FU219" s="112" t="str">
        <f>HYPERLINK("http://www.rki.de/DE/Content/Infekt/Impfen/Materialien/Downloads-Varizellen/Varizellen-Impfinfo-kurdisch.pdf;jsessionid=65B697F4EE7EDA8A1ED9E2C4CD6C74EC.2_cid363?__blob=publicationFile","x")</f>
        <v>x</v>
      </c>
      <c r="FV219" s="112" t="str">
        <f>HYPERLINK("http://www.rki.de/DE/Content/Infekt/Impfen/Materialien/Downloads-Tdap-IPV/Tdap-IPV-kurdisch.pdf?__blob=publicationFile","x")</f>
        <v>x</v>
      </c>
      <c r="FW219" s="112" t="str">
        <f>HYPERLINK("http://www.rki.de/DE/Content/Infekt/Impfen/Materialien/Downloads-Influenza_nasal/Influenza_nasal-kurdisch.pdf?__blob=publicationFile","x")</f>
        <v>x</v>
      </c>
      <c r="FX219" s="111"/>
      <c r="FY219" s="112"/>
      <c r="FZ219" s="112"/>
      <c r="GA219" s="111"/>
      <c r="GB219" s="111"/>
      <c r="GC219" s="111"/>
      <c r="GD219" s="111"/>
      <c r="GE219" s="111"/>
      <c r="GF219" s="111"/>
      <c r="GG219" s="111"/>
      <c r="GH219" s="111"/>
      <c r="GI219" s="111"/>
      <c r="GJ219" s="111"/>
      <c r="GK219" s="111"/>
      <c r="GL219" s="111"/>
      <c r="GM219" s="112" t="str">
        <f>HYPERLINK("http://www.rki.de/DE/Content/Infekt/Impfen/Materialien/Downloads-Influenza/Influenza-kurdisch.pdf?__blob=publicationFile","x")</f>
        <v>x</v>
      </c>
      <c r="GN219" s="111"/>
      <c r="GO219" s="111"/>
      <c r="GP219" s="111"/>
      <c r="GQ219" s="111"/>
      <c r="GR219" s="111"/>
      <c r="GS219" s="111"/>
      <c r="GT219" s="111"/>
      <c r="GU219" s="111"/>
      <c r="GV219" s="111"/>
      <c r="GW219" s="111"/>
      <c r="GX219" s="111"/>
      <c r="GY219" s="111"/>
      <c r="GZ219" s="111"/>
      <c r="HA219" s="111"/>
      <c r="HB219" s="111"/>
      <c r="HC219" s="112" t="str">
        <f t="shared" si="94"/>
        <v>x</v>
      </c>
      <c r="HD219" s="112" t="str">
        <f t="shared" si="98"/>
        <v>x</v>
      </c>
      <c r="HE219" s="112" t="str">
        <f>HYPERLINK("https://www.zahnaerzte-wl.de/images/_PDF-suche/KZV_ZÄK/Anschreiben_Patienten_kurdisch_kurmandschi.pdf","x")</f>
        <v>x</v>
      </c>
      <c r="HF219" s="112" t="str">
        <f>HYPERLINK("https://www.zahnaerzte-wl.de/images/_PDF-suche/KZV_ZÄK/Fragebogen_kurdisch-kurmandschi.pdf","x")</f>
        <v>x</v>
      </c>
      <c r="HG219" s="112" t="str">
        <f>HYPERLINK("https://www.zahnaerzte-wl.de/images/_PDF-suche/KZV_ZÄK/Patientenerhebungsbogen_kurdisch-kurmandschi.pdf","x")</f>
        <v>x</v>
      </c>
      <c r="HH219" s="112"/>
      <c r="HI219" s="112"/>
      <c r="HJ219" s="112"/>
      <c r="HK219" s="112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2" t="str">
        <f t="shared" si="95"/>
        <v>x</v>
      </c>
      <c r="HZ219" s="112" t="str">
        <f t="shared" si="96"/>
        <v>x</v>
      </c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2"/>
      <c r="IL219" s="112" t="str">
        <f>HYPERLINK("http://www.bamf.de/SharedDocs/Anlagen/DE/Publikationen/Flyer/flyer-erstorientierung-asylsuchende_kurdisch.pdf?__blob=publicationFile","x")</f>
        <v>x</v>
      </c>
      <c r="IM219" s="111"/>
      <c r="IN219" s="111"/>
      <c r="IO219" s="111"/>
      <c r="IP219" s="111"/>
      <c r="IQ219" s="112" t="str">
        <f>HYPERLINK("http://www.bamf.de/SharedDocs/Anlagen/DE/Publikationen/Flyer/Lernen-Sie-Deutsch/lernen-sie-deutsch_ku.pdf?__blob=publicationFile","x")</f>
        <v>x</v>
      </c>
      <c r="IR219" s="112"/>
      <c r="IS219" s="111"/>
      <c r="IT219" s="111"/>
      <c r="IU219" s="111"/>
      <c r="IV219" s="112" t="str">
        <f>HYPERLINK("http://www.asyl.net/fileadmin/user_upload/infoblatt_anhoerung/Kurd_final.pdf","x")</f>
        <v>x</v>
      </c>
      <c r="IW219" s="112"/>
      <c r="IX219" s="112"/>
      <c r="IY219" s="112"/>
      <c r="IZ219" s="111"/>
      <c r="JA219" s="111"/>
      <c r="JB219" s="111"/>
      <c r="JC219" s="112"/>
      <c r="JD219" s="111"/>
      <c r="JE219" s="112"/>
      <c r="JF219" s="112"/>
      <c r="JG219" s="111"/>
      <c r="JH219" s="111"/>
      <c r="JI219" s="111"/>
      <c r="JJ219" s="112"/>
      <c r="JK219" s="112"/>
      <c r="JL219" s="112"/>
      <c r="JM219" s="112"/>
      <c r="JN219" s="112"/>
      <c r="JO219" s="112"/>
      <c r="JP219" s="112"/>
      <c r="JQ219" s="112"/>
      <c r="JR219" s="112"/>
      <c r="JS219" s="112"/>
      <c r="JT219" s="111"/>
      <c r="JU219" s="111"/>
      <c r="JV219" s="111"/>
      <c r="JW219" s="112"/>
      <c r="JX219" s="112"/>
      <c r="JY219" s="112"/>
      <c r="JZ219" s="112"/>
      <c r="KA219" s="112"/>
      <c r="KB219" s="112" t="str">
        <f>HYPERLINK("http://www.refugeeguide.de/dl/RefugeeGuide_ku_1214.pdf","x")</f>
        <v>x</v>
      </c>
      <c r="KC219" s="111"/>
      <c r="KD219" s="112" t="str">
        <f>HYPERLINK("http://www.wedel.de/fileadmin/user_upload/media/pdf/Rathaus_und_Politik/20160118_PM_Broschuere.pdf","x")</f>
        <v>x</v>
      </c>
      <c r="KE219" s="112"/>
      <c r="KF219" s="111"/>
      <c r="KG219" s="112"/>
      <c r="KH219" s="112"/>
      <c r="KI219" s="112"/>
      <c r="KJ219" s="112"/>
      <c r="KK219" s="112"/>
      <c r="KL219" s="112"/>
      <c r="KM219" s="112"/>
      <c r="KN219" s="112"/>
      <c r="KO219" s="112"/>
      <c r="KP219" s="112"/>
      <c r="KQ219" s="112"/>
      <c r="KR219" s="112"/>
      <c r="KS219" s="112"/>
      <c r="KT219" s="112"/>
      <c r="KU219" s="112"/>
      <c r="KV219" s="112"/>
      <c r="KW219" s="112"/>
      <c r="KX219" s="112"/>
      <c r="KY219" s="112"/>
      <c r="KZ219" s="112"/>
      <c r="LA219" s="112"/>
      <c r="LB219" s="112"/>
      <c r="LC219" s="111"/>
      <c r="LD219" s="111"/>
      <c r="LE219" s="111"/>
      <c r="LF219" s="111"/>
      <c r="LG219" s="111"/>
      <c r="LH219" s="111"/>
      <c r="LI219" s="111"/>
      <c r="LJ219" s="111"/>
      <c r="LK219" s="111"/>
      <c r="LL219" s="111"/>
      <c r="LM219" s="111"/>
      <c r="LN219" s="111"/>
      <c r="LO219" s="111"/>
      <c r="LP219" s="111"/>
      <c r="LQ219" s="111"/>
      <c r="LR219" s="111"/>
      <c r="LS219" s="111"/>
      <c r="LT219" s="111"/>
      <c r="LU219" s="111"/>
      <c r="LV219" s="111"/>
      <c r="LW219" s="111"/>
      <c r="LX219" s="111"/>
      <c r="LY219" s="111"/>
      <c r="LZ219" s="111"/>
      <c r="MA219" s="111"/>
      <c r="MB219" s="111"/>
      <c r="MC219" s="111"/>
      <c r="MD219" s="111"/>
      <c r="ME219" s="111"/>
      <c r="MF219" s="111"/>
      <c r="MG219" s="111"/>
      <c r="MH219" s="111"/>
      <c r="MI219" s="111"/>
    </row>
    <row r="220" spans="1:347" x14ac:dyDescent="0.25">
      <c r="A220" s="102" t="s">
        <v>77</v>
      </c>
      <c r="B220" s="127" t="s">
        <v>11</v>
      </c>
      <c r="C220" s="102"/>
      <c r="D220" s="102"/>
      <c r="E220" s="102"/>
      <c r="F220" s="102"/>
      <c r="G220" s="102"/>
      <c r="H220" s="102"/>
      <c r="I220" s="102"/>
      <c r="J220" s="102"/>
      <c r="K220" s="103"/>
      <c r="L220" s="111"/>
      <c r="M220" s="111"/>
      <c r="N220" s="112" t="str">
        <f>HYPERLINK("http://www.ag-fluechtlingshilfe-wetterau.de/uploads/infos/170.pdf","x")</f>
        <v>x</v>
      </c>
      <c r="O220" s="112"/>
      <c r="P220" s="112" t="str">
        <f>HYPERLINK("http://www.awb-ahrweiler.de/admin/data/ddownload/Abfall%20Sonderhinweise-tuerkisch%202014.pdf","x")</f>
        <v>x</v>
      </c>
      <c r="Q220" s="112"/>
      <c r="R220" s="112"/>
      <c r="S220" s="112"/>
      <c r="T220" s="112"/>
      <c r="U220" s="112"/>
      <c r="V220" s="112"/>
      <c r="W220" s="111"/>
      <c r="X220" s="112"/>
      <c r="Y220" s="111"/>
      <c r="Z220" s="111"/>
      <c r="AA220" s="111"/>
      <c r="AB220" s="111"/>
      <c r="AC220" s="111"/>
      <c r="AD220" s="112" t="str">
        <f>HYPERLINK("http://www.rundfunkbeitrag.de/e175/e199/Informationsflyer_Buergerinnen_und_Buerger_tuerkisch.pdf","x")</f>
        <v>x</v>
      </c>
      <c r="AE220" s="111"/>
      <c r="AF220" s="112" t="str">
        <f>HYPERLINK("http://www.kub-berlin.org/formularprojekt/de/tuerkisch-antraege-und-anlagen/","x")</f>
        <v>x</v>
      </c>
      <c r="AG220" s="111"/>
      <c r="AH220" s="111"/>
      <c r="AI220" s="111"/>
      <c r="AJ220" s="111"/>
      <c r="AK220" s="111"/>
      <c r="AL220" s="111"/>
      <c r="AM220" s="111"/>
      <c r="AN220" s="111"/>
      <c r="AO220" s="112"/>
      <c r="AP220" s="112"/>
      <c r="AQ220" s="112"/>
      <c r="AR220" s="112"/>
      <c r="AS220" s="112"/>
      <c r="AT220" s="112"/>
      <c r="AU220" s="112"/>
      <c r="AV220" s="113"/>
      <c r="AW220" s="114" t="str">
        <f t="shared" si="78"/>
        <v>x</v>
      </c>
      <c r="AX220" s="114" t="str">
        <f t="shared" si="79"/>
        <v>x</v>
      </c>
      <c r="AY220" s="111"/>
      <c r="AZ220" s="111"/>
      <c r="BA220" s="112" t="str">
        <f t="shared" si="80"/>
        <v>x</v>
      </c>
      <c r="BB220" s="112" t="str">
        <f t="shared" si="81"/>
        <v>x</v>
      </c>
      <c r="BC220" s="111"/>
      <c r="BD220" s="111"/>
      <c r="BE220" s="111"/>
      <c r="BF220" s="111"/>
      <c r="BG220" s="111"/>
      <c r="BH220" s="112" t="str">
        <f>HYPERLINK("http://www.refugeephrasebook.de/pdf/germany150920.pdf","x")</f>
        <v>x</v>
      </c>
      <c r="BI220" s="112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2" t="str">
        <f t="shared" si="82"/>
        <v>x</v>
      </c>
      <c r="BT220" s="112"/>
      <c r="BU220" s="111"/>
      <c r="BV220" s="112" t="str">
        <f t="shared" si="83"/>
        <v>x</v>
      </c>
      <c r="BW220" s="112" t="str">
        <f>HYPERLINK("http://www.welcomegrooves.de/wp-content/uploads/2015/10/welcomegrooves_DE-TUERKISCH1.pdf","x")</f>
        <v>x</v>
      </c>
      <c r="BX220" s="112"/>
      <c r="BY220" s="112"/>
      <c r="BZ220" s="112"/>
      <c r="CA220" s="112" t="str">
        <f t="shared" si="84"/>
        <v>x</v>
      </c>
      <c r="CB220" s="112" t="str">
        <f t="shared" si="85"/>
        <v>x</v>
      </c>
      <c r="CC220" s="112" t="str">
        <f t="shared" si="86"/>
        <v>x</v>
      </c>
      <c r="CD220" s="112"/>
      <c r="CE220" s="112"/>
      <c r="CF220" s="111"/>
      <c r="CG220" s="112" t="str">
        <f>HYPERLINK("http://www.braunschweig.de/leben/frauen/hilfe/Ohne-Gewalt-leben.pdf","x")</f>
        <v>x</v>
      </c>
      <c r="CH220" s="112" t="str">
        <f>HYPERLINK("http://mifkjf.rlp.de/fileadmin/mifkjf/Frauen/Gewalt_gegen_Frauen/Downloads/Broschueren_Flyer/Flyer_Gewalt_tuerkisch.pdf","x")</f>
        <v>x</v>
      </c>
      <c r="CI220" s="112" t="str">
        <f>HYPERLINK("https://www.hilfetelefon.de/fileadmin/hilfetelefon_de/Materialien/Flyer/Infoflyer_Hilfetelefon_Gewalt_gegen_Frauen141105_b2.pdf","x")</f>
        <v>x</v>
      </c>
      <c r="CJ220" s="112" t="str">
        <f>HYPERLINK("https://www.hilfetelefon.de/fileadmin/hilfetelefon_de/Materialien/weitere_werbemittel/Klappflyer_Vorder-_und_Rueckseite_opt2.pdf","x")</f>
        <v>x</v>
      </c>
      <c r="CK220" s="112" t="str">
        <f t="shared" si="87"/>
        <v>x</v>
      </c>
      <c r="CL220" s="112" t="str">
        <f>HYPERLINK("http://www.frauenberatungsstelle.de/pdf/Migrantinnen-beraten-Migrantinnen.pdf","x")</f>
        <v>x</v>
      </c>
      <c r="CM220" s="112"/>
      <c r="CN220" s="112"/>
      <c r="CO220" s="112"/>
      <c r="CP220" s="112" t="str">
        <f>HYPERLINK("http://www.schwanger-und-viele-fragen.de/tr/","x")</f>
        <v>x</v>
      </c>
      <c r="CQ220" s="112"/>
      <c r="CR220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220" s="112"/>
      <c r="CT220" s="112"/>
      <c r="CU220" s="112" t="str">
        <f>HYPERLINK("http://www.profamilia.de/fileadmin/publikationen/Erwachsene/mehrsprachig/verhuetung_tuerkisch.pdf","x")</f>
        <v>x</v>
      </c>
      <c r="CV220" s="112" t="str">
        <f>HYPERLINK("http://www.profamilia.de/fileadmin/publikationen/Reihe_Verhuetungsmethoden/Pille_Spirale_danach_tuerkisch_2011.pdf","x")</f>
        <v>x</v>
      </c>
      <c r="CW220" s="112" t="str">
        <f>HYPERLINK("http://www.profamilia.de/fileadmin/publikationen/Reihe_Verhuetungsmethoden/Einleger_tuerkisch.pdf","x")</f>
        <v>x</v>
      </c>
      <c r="CX220" s="112" t="str">
        <f>HYPERLINK("http://www.profamilia.de/fileadmin/publikationen/Reihe_Koerper_und_Sexualtitaet/Bro_Schwangerschaftsabbruch_TR_ANSICHT.pdf","x")</f>
        <v>x</v>
      </c>
      <c r="CY220" s="112" t="str">
        <f>HYPERLINK("http://www.caritas-schwarzwald-alb-donau.de/68854.html","x")</f>
        <v>x</v>
      </c>
      <c r="CZ220" s="112" t="str">
        <f>HYPERLINK("http://www.dgfpi.de/tl_files/download/medien/unwissen-macht-tk.pdf","x")</f>
        <v>x</v>
      </c>
      <c r="DA220" s="112"/>
      <c r="DB220" s="112"/>
      <c r="DC220" s="115" t="str">
        <f>HYPERLINK("http://www.kindersicherheit.de/pdf/2012_Bilderbuch-Gift-Tuerkisch.pdf","x")</f>
        <v>x</v>
      </c>
      <c r="DD220" s="112"/>
      <c r="DE220" s="112"/>
      <c r="DF220" s="112" t="str">
        <f t="shared" si="88"/>
        <v>x</v>
      </c>
      <c r="DG220" s="115" t="str">
        <f t="shared" si="89"/>
        <v>x</v>
      </c>
      <c r="DH220" s="112" t="str">
        <f t="shared" si="90"/>
        <v>x</v>
      </c>
      <c r="DI220" s="112" t="str">
        <f t="shared" si="91"/>
        <v>x</v>
      </c>
      <c r="DJ220" s="112" t="str">
        <f>HYPERLINK("http://www.bibliomedia.ch/de/angebote/dokumente/Glossar_tuerkisch.pdf","x")</f>
        <v>x</v>
      </c>
      <c r="DK220" s="112"/>
      <c r="DL220" s="112"/>
      <c r="DM220" s="112"/>
      <c r="DN220" s="112"/>
      <c r="DO220" s="112"/>
      <c r="DP220" s="111"/>
      <c r="DQ220" s="112" t="str">
        <f>HYPERLINK("http://tipdoc.de/bus/grafik/kinder-tip/SCHULTIP_give_didacta.pdf","x")</f>
        <v>x</v>
      </c>
      <c r="DR220" s="112" t="str">
        <f>HYPERLINK("https://broschueren.nordrheinwestfalendirekt.de/broschuerenservice/msw/tue-das-schulsystem-in-nordrhein-westfalen-einfach-und-schnell-erklaert/1906","x")</f>
        <v>x</v>
      </c>
      <c r="DS220" s="112" t="str">
        <f>HYPERLINK("http://bildung.koeln.de/materialbibliothek/download.php?idx=46d99ecd1cd085058204a036d1394fed","x")</f>
        <v>x</v>
      </c>
      <c r="DT220" s="112" t="str">
        <f>HYPERLINK("http://bildung.koeln.de/materialbibliothek/download.php?idx=5fa16c0085d80ec9f9262f25c773ed7f","x")</f>
        <v>x</v>
      </c>
      <c r="DU220" s="112"/>
      <c r="DV220" s="112" t="str">
        <f>HYPERLINK("https://www.bmbf.de/pub/Kausa_Elternbroschuere_tuerkisch.pdf","x")</f>
        <v>x</v>
      </c>
      <c r="DW220" s="111"/>
      <c r="DX220" s="111"/>
      <c r="DY220" s="111"/>
      <c r="DZ220" s="112" t="str">
        <f>HYPERLINK("http://www.bamf.de/SharedDocs/Anlagen/TR/Publikationen/Flyer/AnerkennungBerufsabschluss/anerkennung-berufsabschluss.pdf?__blob=publicationFile","x")</f>
        <v>x</v>
      </c>
      <c r="EA220" s="112" t="str">
        <f>HYPERLINK("http://www.bamf.de/SharedDocs/Anlagen/TR/Publikationen/Flyer/AnerkennungBerufsabschluss/anerkennung-berufsabschluss_ausland.pdf?__blob=publicationFile","x")</f>
        <v>x</v>
      </c>
      <c r="EB220" s="112" t="str">
        <f>HYPERLINK("http://www.bamf.de/SharedDocs/Anlagen/DE/Publikationen/Broschueren/willkommen-in-deutschland-info-blaue-karte-eu_tr.pdf?__blob=publicationFile","x")</f>
        <v>x</v>
      </c>
      <c r="EC220" s="112" t="str">
        <f>HYPERLINK("http://www.bamf.de/SharedDocs/Anlagen/TR/Publikationen/Flyer/Berufsbezsprachf-ESF-BAMF/berufsbezsprachf-esf-bamf.pdf?__blob=publicationFile","x")</f>
        <v>x</v>
      </c>
      <c r="ED220" s="111"/>
      <c r="EE220" s="111"/>
      <c r="EF220" s="111"/>
      <c r="EG220" s="111"/>
      <c r="EH220" s="111"/>
      <c r="EI220" s="111"/>
      <c r="EJ220" s="112"/>
      <c r="EK220" s="112"/>
      <c r="EL220" s="115"/>
      <c r="EM220" s="112" t="str">
        <f>HYPERLINK("http://www.kvs-sachsen.de/fileadmin/img/Mitglieder/Asylbewerber/Allg-Informationen/Anlage_1_Tuerkisch_LEK.pdf","x")</f>
        <v>x</v>
      </c>
      <c r="EN220" s="112" t="str">
        <f>HYPERLINK("http://www.medizin-hilft-fluechtlingen.de/images/Dokumente/gSch/gSch_tur.pdf","x")</f>
        <v>x</v>
      </c>
      <c r="EO220" s="111"/>
      <c r="EP220" s="117" t="str">
        <f>HYPERLINK("http://www.medi-bild.de/pdf/anamnese/Welche_Sprache.pdf","x")</f>
        <v>x</v>
      </c>
      <c r="EQ220" s="117" t="str">
        <f>HYPERLINK("http://www.armut-gesundheit.de/fileadmin/redakteur/dokumente/Anamnesebogen%20-%20t%C3%BCrkischnew.pdf","x")</f>
        <v>x</v>
      </c>
      <c r="ER220" s="112" t="str">
        <f>HYPERLINK("http://www.kvs-sachsen.de/fileadmin/img/Mitglieder/Asylbewerber/Allg-Informationen/Anlagen_2-1_2-2_Tuerkisch_LEK.pdf","x")</f>
        <v>x</v>
      </c>
      <c r="ES220" s="111"/>
      <c r="ET220" s="111"/>
      <c r="EU220" s="111"/>
      <c r="EV220" s="112" t="str">
        <f>HYPERLINK("http://www.adler-apotheke-hh.de/fileadmin/user_upload/PDF-Dateien/Dosierzettel_mehrsprachig_AUF_0_.pdf","x")</f>
        <v>x</v>
      </c>
      <c r="EW220" s="112" t="str">
        <f t="shared" si="92"/>
        <v>x</v>
      </c>
      <c r="EX220" s="112" t="str">
        <f>HYPERLINK("http://www.rki.de/DE/Content/Infekt/IfSG/Belehrungsbogen/belehrungsbogen_eltern_tuerkisch.pdf?__blob=publicationFile","x")</f>
        <v>x</v>
      </c>
      <c r="EY220" s="112" t="str">
        <f>HYPERLINK("http://www.bzga.de/infomaterialien/?sid=236","x")</f>
        <v>x</v>
      </c>
      <c r="EZ220" s="112" t="str">
        <f>HYPERLINK("https://www.mh-hannover.de/fileadmin/mhh/bilder/aktuelles_presse/pressestelle/bilder/Pilzverg_tuerkisch.pdf","x")</f>
        <v>x</v>
      </c>
      <c r="FA220" s="112"/>
      <c r="FB220" s="116"/>
      <c r="FC220" s="111"/>
      <c r="FD220" s="112" t="str">
        <f t="shared" si="93"/>
        <v>x</v>
      </c>
      <c r="FE220" s="112" t="str">
        <f>HYPERLINK("http://sghanstedt.elbnetz.com/ueber-uns/","x")</f>
        <v>x</v>
      </c>
      <c r="FF220" s="112" t="str">
        <f>HYPERLINK("http://www.fuhlenhagen.com/pdf_dateien/uebertzungshilfe_aerzte_mehrsprachig.pdf","x")</f>
        <v>x</v>
      </c>
      <c r="FG220" s="111"/>
      <c r="FH220" s="111"/>
      <c r="FI220" s="111"/>
      <c r="FJ220" s="112"/>
      <c r="FK220" s="112" t="str">
        <f>HYPERLINK("http://www.rki.de/DE/Content/Infekt/Impfen/Materialien/Downloads-Impfkalender/Impfkalender_Tuerkisch.pdf?__blob=publicationFile","x")</f>
        <v>x</v>
      </c>
      <c r="FL220" s="112" t="str">
        <f>HYPERLINK("http://www.ethno-medizinisches-zentrum.de/images/PDF-Files/impfwegweiser_turkisch_2013_online.pdf","x")</f>
        <v>x</v>
      </c>
      <c r="FM220" s="112"/>
      <c r="FN220" s="112" t="str">
        <f>HYPERLINK("http://www.rki.de/DE/Content/Infekt/Impfen/Materialien/Glossar-Downloads/glossar-de-tuerkisch.pdf?__blob=publicationFile","x")</f>
        <v>x</v>
      </c>
      <c r="FO220" s="112"/>
      <c r="FP220" s="112" t="str">
        <f>HYPERLINK("http://www.rki.de/DE/Content/Infekt/Impfen/Materialien/Downloads-MMR/MMR-Impfinfo-tuerkisch.pdf?__blob=publicationFile","x")</f>
        <v>x</v>
      </c>
      <c r="FQ220" s="112"/>
      <c r="FR220" s="112" t="str">
        <f>HYPERLINK("http://www.rki.de/DE/Content/Infekt/Impfen/Materialien/Downloads_HepA/Aufklaerung_HAV-Impfung_Tuerkisch.pdf?__blob=publicationFile","x")</f>
        <v>x</v>
      </c>
      <c r="FS220" s="112" t="str">
        <f>HYPERLINK("http://www.rki.de/DE/Content/Infekt/Impfen/Materialien/Downloads_Pneumokokken/Aufklaerung_Pneumo-Impfung_Tuerkisch.pdf?__blob=publicationFile","x")</f>
        <v>x</v>
      </c>
      <c r="FT220" s="112" t="str">
        <f>HYPERLINK("http://www.rki.de/DE/Content/Infekt/Impfen/Materialien/Downloads-DTaPIPVHibHepB/DTaPIPVHibHepB-tuerkisch.pdf?__blob=publicationFile","x")</f>
        <v>x</v>
      </c>
      <c r="FU220" s="112" t="str">
        <f>HYPERLINK("http://www.rki.de/DE/Content/Infekt/Impfen/Materialien/Downloads-Varizellen/Varizellen-Impfinfo-tuerkisch.pdf;jsessionid=65B697F4EE7EDA8A1ED9E2C4CD6C74EC.2_cid363?__blob=publicationFile","x")</f>
        <v>x</v>
      </c>
      <c r="FV220" s="112" t="str">
        <f>HYPERLINK("http://www.rki.de/DE/Content/Infekt/Impfen/Materialien/Downloads-Tdap-IPV/Tdap-IPV-tuerkisch.pdf?__blob=publicationFile","x")</f>
        <v>x</v>
      </c>
      <c r="FW220" s="112" t="str">
        <f>HYPERLINK("http://www.rki.de/DE/Content/Infekt/Impfen/Materialien/Downloads-Influenza_nasal/Influenza_nasal-tuerkisch.pdf?__blob=publicationFile","x")</f>
        <v>x</v>
      </c>
      <c r="FX220" s="112" t="str">
        <f>HYPERLINK("http://www.medical-tribune.de/fileadmin/PDF/Arthrose_tuerkisch.pdf","x")</f>
        <v>x</v>
      </c>
      <c r="FY220" s="112"/>
      <c r="FZ220" s="112" t="str">
        <f>HYPERLINK("http://www.medical-tribune.de/fileadmin/PDF/Bluthochdruck_tuerkisch.pdf","x")</f>
        <v>x</v>
      </c>
      <c r="GA220" s="112"/>
      <c r="GB220" s="112"/>
      <c r="GC220" s="112" t="str">
        <f>HYPERLINK("http://www.medical-tribune.de/fileadmin/PDF/Demenz_tuerkisch.pdf","x")</f>
        <v>x</v>
      </c>
      <c r="GD220" s="115" t="str">
        <f>HYPERLINK("http://www.ethno-medizinisches-zentrum.de/images/PDF-Files/lf_diabetes_turkisch.pdf","x")</f>
        <v>x</v>
      </c>
      <c r="GE220" s="112" t="str">
        <f>HYPERLINK("http://www.medical-tribune.de/fileadmin/PDF/Divertikel_tuerkisch.pdf","x")</f>
        <v>x</v>
      </c>
      <c r="GF220" s="112"/>
      <c r="GG220" s="112" t="str">
        <f>HYPERLINK("http://www.medical-tribune.de/fileadmin/PDF/Gallenstein_tuerkisch.pdf","x")</f>
        <v>x</v>
      </c>
      <c r="GH220" s="112"/>
      <c r="GI220" s="112" t="str">
        <f>HYPERLINK("http://www.tipdoc.de/bus/pdf/hepatitis/Hep_B_Webseite.pdf","x")</f>
        <v>x</v>
      </c>
      <c r="GJ220" s="112" t="str">
        <f>HYPERLINK("http://www.tipdoc.de/bus/pdf/hepatitis/Hep_C_Webseite.pdf","x")</f>
        <v>x</v>
      </c>
      <c r="GK220" s="111"/>
      <c r="GL220" s="111"/>
      <c r="GM220" s="112" t="str">
        <f>HYPERLINK("http://www.rki.de/DE/Content/Infekt/Impfen/Materialien/Downloads-Influenza/Influenza-tuerkisch.pdf?__blob=publicationFile","x")</f>
        <v>x</v>
      </c>
      <c r="GN220" s="112" t="str">
        <f>HYPERLINK("http://www.medical-tribune.de/fileadmin/PDF/Erkaeltung_tuerkisch.pdf","x")</f>
        <v>x</v>
      </c>
      <c r="GO220" s="112"/>
      <c r="GP220" s="112" t="str">
        <f>HYPERLINK("http://www.medi-bild.de/pdf/kopflaeuse2/Kopflaeuse_TURK.pdf","x")</f>
        <v>x</v>
      </c>
      <c r="GQ220" s="112"/>
      <c r="GR220" s="111"/>
      <c r="GS220" s="111"/>
      <c r="GT220" s="115" t="str">
        <f>HYPERLINK("http://www.medical-tribune.de/fileadmin/PDF/Migraene_tuerkisch.pdf","x")</f>
        <v>x</v>
      </c>
      <c r="GU220" s="112" t="str">
        <f>HYPERLINK("http://www.medical-tribune.de/fileadmin/PDF/Rueckenschmerzen_tuerkisch.pdf","x")</f>
        <v>x</v>
      </c>
      <c r="GV220" s="112"/>
      <c r="GW220" s="112" t="str">
        <f>HYPERLINK("http://www.medical-tribune.de/fileadmin/PDF/Schlafstoerungen_tuerkisch.pdf","x")</f>
        <v>x</v>
      </c>
      <c r="GX220" s="112" t="str">
        <f>HYPERLINK("http://www.medical-tribune.de/fileadmin/PDF/Schwindel_tuerkisch.pdf","x")</f>
        <v>x</v>
      </c>
      <c r="GY220" s="112" t="str">
        <f>HYPERLINK("http://www.medical-tribune.de/fileadmin/PDF/Sodbrennen_tuerkisch.pdf","x")</f>
        <v>x</v>
      </c>
      <c r="GZ220" s="112" t="str">
        <f>HYPERLINK("http://www.medical-tribune.de/fileadmin/PDF/Sportverletzungen_tuerkisch.pdf","x")</f>
        <v>x</v>
      </c>
      <c r="HA220" s="112" t="str">
        <f>HYPERLINK("http://www.medical-tribune.de/fileadmin/PDF/Thrombose_tuerkisch.pdf","x")</f>
        <v>x</v>
      </c>
      <c r="HB220" s="112"/>
      <c r="HC220" s="112" t="str">
        <f t="shared" si="94"/>
        <v>x</v>
      </c>
      <c r="HD220" s="112" t="str">
        <f t="shared" si="98"/>
        <v>x</v>
      </c>
      <c r="HE220" s="112" t="str">
        <f>HYPERLINK("https://www.zahnaerzte-wl.de/images/_PDF-suche/KZV_ZÄK/Anschreiben_Patienten_tuerkisch.pdf","x")</f>
        <v>x</v>
      </c>
      <c r="HF220" s="112" t="str">
        <f>HYPERLINK("https://www.zahnaerzte-wl.de/images/_PDF-suche/KZV_ZÄK/Fragebogen_tuerkisch.pdf","x")</f>
        <v>x</v>
      </c>
      <c r="HG220" s="112" t="str">
        <f>HYPERLINK("https://www.zahnaerzte-wl.de/images/_PDF-suche/KZV_ZÄK/Patientenerhebungsbogen_tuerkisch.pdf","x")</f>
        <v>x</v>
      </c>
      <c r="HH220" s="112"/>
      <c r="HI220" s="112" t="str">
        <f>HYPERLINK("http://www.bvkm.de/fileadmin/web_data/Behinderung_und_Migration_tuerkisch_2014.pdf","x")</f>
        <v>x</v>
      </c>
      <c r="HJ220" s="112" t="str">
        <f>HYPERLINK("http://www.ibbc-berlin.de/media/bvkm_Bro_de-tuerk_Berlin_web%20Endversion.pdf","x")</f>
        <v>x</v>
      </c>
      <c r="HK220" s="112" t="str">
        <f>HYPERLINK("http://www.psychenet.de/tr/ruhsal-saglik/bilgiler/depresyon.html","x")</f>
        <v>x</v>
      </c>
      <c r="HL220" s="115" t="str">
        <f>HYPERLINK("http://www.ethno-medizinisches-zentrum.de/images/PDF-Files/lf_depression_tr.pdf","x")</f>
        <v>x</v>
      </c>
      <c r="HM220" s="115" t="str">
        <f>HYPERLINK("http://www.psychenet.de/tr/ruhsal-saglik/bilgiler/psikoz.html","x")</f>
        <v>x</v>
      </c>
      <c r="HN220" s="115" t="str">
        <f>HYPERLINK("http://www.psychenet.de/tr/ruhsal-saglik/bilgiler/somatoform-bozukluklar.html","x")</f>
        <v>x</v>
      </c>
      <c r="HO220" s="115" t="str">
        <f>HYPERLINK("http://www.psychenet.de/tr/ruhsal-saglik/bilgiler/asiri-zayiflik.html","x")</f>
        <v>x</v>
      </c>
      <c r="HP220" s="115" t="str">
        <f>HYPERLINK("http://www.psychenet.de/tr/ruhsal-saglik/bilgiler/bulimia.html","x")</f>
        <v>x</v>
      </c>
      <c r="HQ220" s="115" t="str">
        <f>HYPERLINK("http://www.psychenet.de/tr/ruhsal-saglik/bilgiler/bipolar-bozukluk.html","x")</f>
        <v>x</v>
      </c>
      <c r="HR220" s="115" t="str">
        <f>HYPERLINK("http://www.psychenet.de/tr/ruhsal-saglik/bilgiler/agorafobili-panik-bozukluk.html","x")</f>
        <v>x</v>
      </c>
      <c r="HS220" s="115" t="str">
        <f>HYPERLINK("http://www.psychenet.de/tr/ruhsal-saglik/bilgiler/sosyal-fobi.html","x")</f>
        <v>x</v>
      </c>
      <c r="HT220" s="115"/>
      <c r="HU220" s="115" t="str">
        <f>HYPERLINK("http://www.psychenet.de/tr/ruhsal-saglik/bilgiler/burnout.html","x")</f>
        <v>x</v>
      </c>
      <c r="HV220" s="115" t="str">
        <f>HYPERLINK("http://www.psychenet.de/tr/ruhsal-saglik/bilgiler/bilgiler-ve-destek.html","x")</f>
        <v>x</v>
      </c>
      <c r="HW220" s="115" t="str">
        <f>HYPERLINK("http://www.medical-tribune.de/fileadmin/PDF/Restless_Legs_tuerkisch.pdf","x")</f>
        <v>x</v>
      </c>
      <c r="HX220" s="115" t="str">
        <f>HYPERLINK("http://www.bkk-psychisch-gesund.de/fileadmin/user_upload/Dokumente/Versicherte/Broschueren/Wegweiser_Psychotherapie_tuerkisch.pdf","x")</f>
        <v>x</v>
      </c>
      <c r="HY220" s="112" t="str">
        <f t="shared" si="95"/>
        <v>x</v>
      </c>
      <c r="HZ220" s="112" t="str">
        <f t="shared" si="96"/>
        <v>x</v>
      </c>
      <c r="IA220" s="115"/>
      <c r="IB220" s="115"/>
      <c r="IC220" s="115"/>
      <c r="ID220" s="115"/>
      <c r="IE220" s="115" t="str">
        <f>HYPERLINK("http://www.psychenet.de/tr/ruhsal-saglik/bilgiler/genclerde-alkol-tueketimi.html","x")</f>
        <v>x</v>
      </c>
      <c r="IF220" s="115"/>
      <c r="IG220" s="115"/>
      <c r="IH220" s="112" t="str">
        <f>HYPERLINK("http://www.ethno-medizinisches-zentrum.de/images/PDF-Files/lf_mediensucht_tr_geschutzt.pdf","x")</f>
        <v>x</v>
      </c>
      <c r="II220" s="115" t="str">
        <f>HYPERLINK("http://www.caritas.de/hilfeundberatung/onlineberatung/suchtberatung/haeufiggestelltefragensucht/haeufiggestelltefragen-sucht","x")</f>
        <v>x</v>
      </c>
      <c r="IJ220" s="115" t="str">
        <f>HYPERLINK("http://www.bzga.de/infomaterialien/suchtvorbeugung/","x")</f>
        <v>x</v>
      </c>
      <c r="IK220" s="112" t="str">
        <f>HYPERLINK("http://www.bamf.de/SharedDocs/Anlagen/TR/Publikationen/Flyer/Lassen-Sie-Sich-Beraten/lassen-sie-sich-beraten.pdf?__blob=publicationFile","x")</f>
        <v>x</v>
      </c>
      <c r="IL220" s="111"/>
      <c r="IM220" s="111"/>
      <c r="IN220" s="112" t="str">
        <f>HYPERLINK("https://www.bamf.de/SharedDocs/Anlagen/TR/Publikationen/Broschueren/willkommen-in-deutschland-tr.pdf?__blob=publicationFile","x")</f>
        <v>x</v>
      </c>
      <c r="IO220" s="112"/>
      <c r="IP220" s="111"/>
      <c r="IQ220" s="112" t="str">
        <f>HYPERLINK("http://www.bamf.de/SharedDocs/Anlagen/TR/Publikationen/Flyer/Lernen-Sie-Deutsch/lernen-sie-deutsch.pdf?__blob=publicationFile","x")</f>
        <v>x</v>
      </c>
      <c r="IR220" s="112"/>
      <c r="IS220" s="111"/>
      <c r="IT220" s="111"/>
      <c r="IU220" s="111"/>
      <c r="IV220" s="112" t="str">
        <f>HYPERLINK("http://www.asyl.net/fileadmin/user_upload/infoblatt_anhoerung/Tuerk_final.pdf","x")</f>
        <v>x</v>
      </c>
      <c r="IW220" s="112"/>
      <c r="IX220" s="112" t="str">
        <f>HYPERLINK("http://www.berlin.de/labo/willkommen-in-berlin/service/downloads/artikel.273193.php","x")</f>
        <v>x</v>
      </c>
      <c r="IY220" s="112" t="str">
        <f>HYPERLINK("http://www.bamf.de/SharedDocs/Anlagen/TR/Publikationen/Broschueren/broschuere-eat-a4-tr.pdf?__blob=publicationFile","x")</f>
        <v>x</v>
      </c>
      <c r="IZ220" s="111"/>
      <c r="JA220" s="111"/>
      <c r="JB220" s="111"/>
      <c r="JC220" s="112"/>
      <c r="JD220" s="111"/>
      <c r="JE220" s="112"/>
      <c r="JF220" s="112"/>
      <c r="JG220" s="112" t="str">
        <f>HYPERLINK("http://www.bamf.de/SharedDocs/Anlagen/TR/Publikationen/Flyer/Ehegattennachzug/ehegattennachzug.pdf?__blob=publicationFile","x")</f>
        <v>x</v>
      </c>
      <c r="JH220" s="112"/>
      <c r="JI220" s="111"/>
      <c r="JJ220" s="112"/>
      <c r="JK220" s="112"/>
      <c r="JL220" s="112"/>
      <c r="JM220" s="112" t="str">
        <f>HYPERLINK("https://www.arbeitsagentur.de/web/content/DE/Formulare/Detail/index.htm?dfContentId=L6019022DSTBAI485740","x")</f>
        <v>x</v>
      </c>
      <c r="JN220" s="112"/>
      <c r="JO220" s="112"/>
      <c r="JP220" s="112"/>
      <c r="JQ220" s="112"/>
      <c r="JR220" s="112" t="str">
        <f>HYPERLINK("http://www.ibla-germany.de/merkblaetter.php","x")</f>
        <v>x</v>
      </c>
      <c r="JS220" s="112"/>
      <c r="JT220" s="111"/>
      <c r="JU220" s="111"/>
      <c r="JV220" s="111"/>
      <c r="JW220" s="112"/>
      <c r="JX220" s="112"/>
      <c r="JY220" s="112"/>
      <c r="JZ220" s="112"/>
      <c r="KA220" s="112"/>
      <c r="KB220" s="112" t="str">
        <f>HYPERLINK("http://www.refugeeguide.de/dl/RefugeeGuide_tu_1208.pdf","x")</f>
        <v>x</v>
      </c>
      <c r="KC220" s="112" t="str">
        <f>HYPERLINK("http://www.bpb.de/shop/buecher/grundgesetz/34367/grundgesetz-fuer-die-bundesrepublik-deutschland","x")</f>
        <v>x</v>
      </c>
      <c r="KD220" s="112" t="str">
        <f>HYPERLINK("http://www.wedel.de/fileadmin/user_upload/media/pdf/Rathaus_und_Politik/20160118_PM_Broschuere.pdf","x")</f>
        <v>x</v>
      </c>
      <c r="KE220" s="112"/>
      <c r="KF220" s="111"/>
      <c r="KG220" s="112"/>
      <c r="KH220" s="112"/>
      <c r="KI220" s="112"/>
      <c r="KJ220" s="112"/>
      <c r="KK220" s="112"/>
      <c r="KL220" s="112"/>
      <c r="KM220" s="112"/>
      <c r="KN220" s="112"/>
      <c r="KO220" s="112"/>
      <c r="KP220" s="112"/>
      <c r="KQ220" s="112"/>
      <c r="KR220" s="112"/>
      <c r="KS220" s="112"/>
      <c r="KT220" s="112"/>
      <c r="KU220" s="112"/>
      <c r="KV220" s="112"/>
      <c r="KW220" s="112"/>
      <c r="KX220" s="112"/>
      <c r="KY220" s="112"/>
      <c r="KZ220" s="112"/>
      <c r="LA220" s="112"/>
      <c r="LB220" s="112"/>
      <c r="LC220" s="111"/>
      <c r="LD220" s="111"/>
      <c r="LE220" s="111"/>
      <c r="LF220" s="111"/>
      <c r="LG220" s="111"/>
      <c r="LH220" s="111"/>
      <c r="LI220" s="111"/>
      <c r="LJ220" s="111"/>
      <c r="LK220" s="111"/>
      <c r="LL220" s="111"/>
      <c r="LM220" s="111"/>
      <c r="LN220" s="111"/>
      <c r="LO220" s="111"/>
      <c r="LP220" s="111"/>
      <c r="LQ220" s="111"/>
      <c r="LR220" s="111"/>
      <c r="LS220" s="111"/>
      <c r="LT220" s="111"/>
      <c r="LU220" s="111"/>
      <c r="LV220" s="111"/>
      <c r="LW220" s="111"/>
      <c r="LX220" s="111"/>
      <c r="LY220" s="111"/>
      <c r="LZ220" s="111"/>
      <c r="MA220" s="111"/>
      <c r="MB220" s="111"/>
      <c r="MC220" s="111"/>
      <c r="MD220" s="112" t="str">
        <f>HYPERLINK("http://www.rki.de/DE/Content/Infekt/IfSG/Belehrungsbogen/belehrungsbogen_lebensmittel_tuerkisch.pdf?__blob=publicationFile","x")</f>
        <v>x</v>
      </c>
      <c r="ME220" s="111"/>
      <c r="MF220" s="111"/>
      <c r="MG220" s="111"/>
      <c r="MH220" s="111"/>
      <c r="MI220" s="112" t="str">
        <f>HYPERLINK("http://www.kindersicherheit.de/pdf/2012_poster_achtunggiftig_8sprachig.pdf","x")</f>
        <v>x</v>
      </c>
    </row>
    <row r="221" spans="1:347" x14ac:dyDescent="0.25">
      <c r="A221" s="102" t="s">
        <v>77</v>
      </c>
      <c r="B221" s="127" t="s">
        <v>484</v>
      </c>
      <c r="C221" s="102"/>
      <c r="D221" s="102"/>
      <c r="E221" s="102"/>
      <c r="F221" s="102"/>
      <c r="G221" s="102"/>
      <c r="H221" s="102"/>
      <c r="I221" s="102"/>
      <c r="J221" s="102"/>
      <c r="K221" s="103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2"/>
      <c r="AP221" s="112"/>
      <c r="AQ221" s="112"/>
      <c r="AR221" s="112"/>
      <c r="AS221" s="112"/>
      <c r="AT221" s="112"/>
      <c r="AU221" s="112"/>
      <c r="AV221" s="113"/>
      <c r="AW221" s="114" t="str">
        <f t="shared" si="78"/>
        <v>x</v>
      </c>
      <c r="AX221" s="114" t="str">
        <f t="shared" si="79"/>
        <v>x</v>
      </c>
      <c r="AY221" s="111"/>
      <c r="AZ221" s="111"/>
      <c r="BA221" s="112" t="str">
        <f t="shared" si="80"/>
        <v>x</v>
      </c>
      <c r="BB221" s="112" t="str">
        <f t="shared" si="81"/>
        <v>x</v>
      </c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2" t="str">
        <f t="shared" si="82"/>
        <v>x</v>
      </c>
      <c r="BT221" s="112"/>
      <c r="BU221" s="111"/>
      <c r="BV221" s="112" t="str">
        <f t="shared" si="83"/>
        <v>x</v>
      </c>
      <c r="BW221" s="112"/>
      <c r="BX221" s="112"/>
      <c r="BY221" s="112"/>
      <c r="BZ221" s="112"/>
      <c r="CA221" s="112" t="str">
        <f t="shared" si="84"/>
        <v>x</v>
      </c>
      <c r="CB221" s="112" t="str">
        <f t="shared" si="85"/>
        <v>x</v>
      </c>
      <c r="CC221" s="112" t="str">
        <f t="shared" si="86"/>
        <v>x</v>
      </c>
      <c r="CD221" s="112"/>
      <c r="CE221" s="112"/>
      <c r="CF221" s="111"/>
      <c r="CG221" s="111"/>
      <c r="CH221" s="111"/>
      <c r="CI221" s="111"/>
      <c r="CJ221" s="112"/>
      <c r="CK221" s="112" t="str">
        <f t="shared" si="87"/>
        <v>x</v>
      </c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5"/>
      <c r="DD221" s="112"/>
      <c r="DE221" s="112"/>
      <c r="DF221" s="112" t="str">
        <f t="shared" si="88"/>
        <v>x</v>
      </c>
      <c r="DG221" s="115" t="str">
        <f t="shared" si="89"/>
        <v>x</v>
      </c>
      <c r="DH221" s="112" t="str">
        <f t="shared" si="90"/>
        <v>x</v>
      </c>
      <c r="DI221" s="112" t="str">
        <f t="shared" si="91"/>
        <v>x</v>
      </c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2"/>
      <c r="DV221" s="111"/>
      <c r="DW221" s="111"/>
      <c r="DX221" s="111"/>
      <c r="DY221" s="111"/>
      <c r="DZ221" s="111"/>
      <c r="EA221" s="111"/>
      <c r="EB221" s="112"/>
      <c r="EC221" s="112"/>
      <c r="ED221" s="111"/>
      <c r="EE221" s="111"/>
      <c r="EF221" s="111"/>
      <c r="EG221" s="111"/>
      <c r="EH221" s="111"/>
      <c r="EI221" s="111"/>
      <c r="EJ221" s="112"/>
      <c r="EK221" s="112"/>
      <c r="EL221" s="111"/>
      <c r="EM221" s="112"/>
      <c r="EN221" s="112"/>
      <c r="EO221" s="111"/>
      <c r="EP221" s="117"/>
      <c r="EQ221" s="118"/>
      <c r="ER221" s="112"/>
      <c r="ES221" s="111"/>
      <c r="ET221" s="111"/>
      <c r="EU221" s="111"/>
      <c r="EV221" s="111"/>
      <c r="EW221" s="112" t="str">
        <f t="shared" si="92"/>
        <v>x</v>
      </c>
      <c r="EX221" s="111"/>
      <c r="EY221" s="111"/>
      <c r="EZ221" s="111"/>
      <c r="FA221" s="111"/>
      <c r="FB221" s="111"/>
      <c r="FC221" s="111"/>
      <c r="FD221" s="112" t="str">
        <f t="shared" si="93"/>
        <v>x</v>
      </c>
      <c r="FE221" s="112"/>
      <c r="FF221" s="111"/>
      <c r="FG221" s="111"/>
      <c r="FH221" s="111"/>
      <c r="FI221" s="111"/>
      <c r="FJ221" s="112"/>
      <c r="FK221" s="112"/>
      <c r="FL221" s="111"/>
      <c r="FM221" s="111"/>
      <c r="FN221" s="112"/>
      <c r="FO221" s="112"/>
      <c r="FP221" s="112"/>
      <c r="FQ221" s="111"/>
      <c r="FR221" s="112"/>
      <c r="FS221" s="112"/>
      <c r="FT221" s="112"/>
      <c r="FU221" s="112"/>
      <c r="FV221" s="112"/>
      <c r="FW221" s="112"/>
      <c r="FX221" s="111"/>
      <c r="FY221" s="111"/>
      <c r="FZ221" s="111"/>
      <c r="GA221" s="111"/>
      <c r="GB221" s="111"/>
      <c r="GC221" s="111"/>
      <c r="GD221" s="111"/>
      <c r="GE221" s="111"/>
      <c r="GF221" s="111"/>
      <c r="GG221" s="111"/>
      <c r="GH221" s="112"/>
      <c r="GI221" s="111"/>
      <c r="GJ221" s="111"/>
      <c r="GK221" s="111"/>
      <c r="GL221" s="111"/>
      <c r="GM221" s="112"/>
      <c r="GN221" s="111"/>
      <c r="GO221" s="111"/>
      <c r="GP221" s="111"/>
      <c r="GQ221" s="111"/>
      <c r="GR221" s="111"/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1"/>
      <c r="HC221" s="112" t="str">
        <f t="shared" si="94"/>
        <v>x</v>
      </c>
      <c r="HD221" s="112" t="str">
        <f t="shared" si="98"/>
        <v>x</v>
      </c>
      <c r="HE221" s="112" t="str">
        <f>HYPERLINK("https://www.zahnaerzte-wl.de/images/_PDF-suche/KZV_ZÄK/Anschreiben_Patienten_kurdisch_zaza.pdf","x")</f>
        <v>x</v>
      </c>
      <c r="HF221" s="112" t="str">
        <f>HYPERLINK("https://www.zahnaerzte-wl.de/images/_PDF-suche/KZV_ZÄK/Fragebogen_kurdisch_zaza.pdf","x")</f>
        <v>x</v>
      </c>
      <c r="HG221" s="112" t="str">
        <f>HYPERLINK("https://www.zahnaerzte-wl.de/images/_PDF-suche/KZV_ZÄK/Patientenerhebungsbogen_kurdisch_zaza.pdf","x")</f>
        <v>x</v>
      </c>
      <c r="HH221" s="111"/>
      <c r="HI221" s="111"/>
      <c r="HJ221" s="111"/>
      <c r="HK221" s="112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2" t="str">
        <f t="shared" si="95"/>
        <v>x</v>
      </c>
      <c r="HZ221" s="112" t="str">
        <f t="shared" si="96"/>
        <v>x</v>
      </c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2"/>
      <c r="IL221" s="111"/>
      <c r="IM221" s="111"/>
      <c r="IN221" s="111"/>
      <c r="IO221" s="111"/>
      <c r="IP221" s="111"/>
      <c r="IQ221" s="112"/>
      <c r="IR221" s="112"/>
      <c r="IS221" s="111"/>
      <c r="IT221" s="111"/>
      <c r="IU221" s="111"/>
      <c r="IV221" s="112"/>
      <c r="IW221" s="112"/>
      <c r="IX221" s="112"/>
      <c r="IY221" s="112"/>
      <c r="IZ221" s="111"/>
      <c r="JA221" s="111"/>
      <c r="JB221" s="111"/>
      <c r="JC221" s="112"/>
      <c r="JD221" s="111"/>
      <c r="JE221" s="112"/>
      <c r="JF221" s="112"/>
      <c r="JG221" s="112"/>
      <c r="JH221" s="112"/>
      <c r="JI221" s="111"/>
      <c r="JJ221" s="112"/>
      <c r="JK221" s="112"/>
      <c r="JL221" s="112"/>
      <c r="JM221" s="112"/>
      <c r="JN221" s="112"/>
      <c r="JO221" s="112"/>
      <c r="JP221" s="112"/>
      <c r="JQ221" s="112"/>
      <c r="JR221" s="112"/>
      <c r="JS221" s="112"/>
      <c r="JT221" s="112"/>
      <c r="JU221" s="111"/>
      <c r="JV221" s="111"/>
      <c r="JW221" s="112"/>
      <c r="JX221" s="112"/>
      <c r="JY221" s="111"/>
      <c r="JZ221" s="111"/>
      <c r="KA221" s="111"/>
      <c r="KB221" s="111"/>
      <c r="KC221" s="111"/>
      <c r="KD221" s="111"/>
      <c r="KE221" s="111"/>
      <c r="KF221" s="112"/>
      <c r="KG221" s="111"/>
      <c r="KH221" s="111"/>
      <c r="KI221" s="111"/>
      <c r="KJ221" s="111"/>
      <c r="KK221" s="111"/>
      <c r="KL221" s="111"/>
      <c r="KM221" s="111"/>
      <c r="KN221" s="111"/>
      <c r="KO221" s="111"/>
      <c r="KP221" s="111"/>
      <c r="KQ221" s="111"/>
      <c r="KR221" s="111"/>
      <c r="KS221" s="111"/>
      <c r="KT221" s="111"/>
      <c r="KU221" s="111"/>
      <c r="KV221" s="111"/>
      <c r="KW221" s="111"/>
      <c r="KX221" s="111"/>
      <c r="KY221" s="111"/>
      <c r="KZ221" s="111"/>
      <c r="LA221" s="111"/>
      <c r="LB221" s="111"/>
      <c r="LC221" s="111"/>
      <c r="LD221" s="111"/>
      <c r="LE221" s="111"/>
      <c r="LF221" s="111"/>
      <c r="LG221" s="111"/>
      <c r="LH221" s="111"/>
      <c r="LI221" s="111"/>
      <c r="LJ221" s="111"/>
      <c r="LK221" s="111"/>
      <c r="LL221" s="111"/>
      <c r="LM221" s="111"/>
      <c r="LN221" s="111"/>
      <c r="LO221" s="111"/>
      <c r="LP221" s="111"/>
      <c r="LQ221" s="111"/>
      <c r="LR221" s="111"/>
      <c r="LS221" s="111"/>
      <c r="LT221" s="111"/>
      <c r="LU221" s="111"/>
      <c r="LV221" s="111"/>
      <c r="LW221" s="111"/>
      <c r="LX221" s="111"/>
      <c r="LY221" s="111"/>
      <c r="LZ221" s="111"/>
      <c r="MA221" s="111"/>
      <c r="MB221" s="111"/>
      <c r="MC221" s="111"/>
      <c r="MD221" s="111"/>
      <c r="ME221" s="111"/>
      <c r="MF221" s="111"/>
      <c r="MG221" s="111"/>
      <c r="MH221" s="111"/>
      <c r="MI221" s="111"/>
    </row>
    <row r="222" spans="1:347" x14ac:dyDescent="0.25">
      <c r="A222" s="102" t="s">
        <v>157</v>
      </c>
      <c r="B222" s="127" t="s">
        <v>154</v>
      </c>
      <c r="C222" s="102"/>
      <c r="D222" s="102"/>
      <c r="E222" s="102"/>
      <c r="F222" s="102"/>
      <c r="G222" s="102"/>
      <c r="H222" s="102"/>
      <c r="I222" s="102"/>
      <c r="J222" s="102"/>
      <c r="K222" s="103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3"/>
      <c r="AW222" s="114" t="str">
        <f t="shared" si="78"/>
        <v>x</v>
      </c>
      <c r="AX222" s="114" t="str">
        <f t="shared" si="79"/>
        <v>x</v>
      </c>
      <c r="AY222" s="111"/>
      <c r="AZ222" s="111"/>
      <c r="BA222" s="112" t="str">
        <f t="shared" si="80"/>
        <v>x</v>
      </c>
      <c r="BB222" s="112" t="str">
        <f t="shared" si="81"/>
        <v>x</v>
      </c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2" t="str">
        <f t="shared" si="82"/>
        <v>x</v>
      </c>
      <c r="BT222" s="112"/>
      <c r="BU222" s="111"/>
      <c r="BV222" s="112" t="str">
        <f t="shared" si="83"/>
        <v>x</v>
      </c>
      <c r="BW222" s="112"/>
      <c r="BX222" s="112"/>
      <c r="BY222" s="112"/>
      <c r="BZ222" s="112"/>
      <c r="CA222" s="112" t="str">
        <f t="shared" si="84"/>
        <v>x</v>
      </c>
      <c r="CB222" s="112" t="str">
        <f t="shared" si="85"/>
        <v>x</v>
      </c>
      <c r="CC222" s="112" t="str">
        <f t="shared" si="86"/>
        <v>x</v>
      </c>
      <c r="CD222" s="112"/>
      <c r="CE222" s="112"/>
      <c r="CF222" s="111"/>
      <c r="CG222" s="111"/>
      <c r="CH222" s="111"/>
      <c r="CI222" s="111"/>
      <c r="CJ222" s="111"/>
      <c r="CK222" s="112" t="str">
        <f t="shared" si="87"/>
        <v>x</v>
      </c>
      <c r="CL222" s="112"/>
      <c r="CM222" s="112"/>
      <c r="CN222" s="112"/>
      <c r="CO222" s="112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2"/>
      <c r="DA222" s="112"/>
      <c r="DB222" s="112"/>
      <c r="DC222" s="115"/>
      <c r="DD222" s="112"/>
      <c r="DE222" s="112"/>
      <c r="DF222" s="112" t="str">
        <f t="shared" si="88"/>
        <v>x</v>
      </c>
      <c r="DG222" s="115" t="str">
        <f t="shared" si="89"/>
        <v>x</v>
      </c>
      <c r="DH222" s="112" t="str">
        <f t="shared" si="90"/>
        <v>x</v>
      </c>
      <c r="DI222" s="112" t="str">
        <f t="shared" si="91"/>
        <v>x</v>
      </c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8"/>
      <c r="EQ222" s="118"/>
      <c r="ER222" s="111"/>
      <c r="ES222" s="111"/>
      <c r="ET222" s="111"/>
      <c r="EU222" s="111"/>
      <c r="EV222" s="111"/>
      <c r="EW222" s="112" t="str">
        <f t="shared" si="92"/>
        <v>x</v>
      </c>
      <c r="EX222" s="111"/>
      <c r="EY222" s="111"/>
      <c r="EZ222" s="111"/>
      <c r="FA222" s="111"/>
      <c r="FB222" s="111"/>
      <c r="FC222" s="111"/>
      <c r="FD222" s="112" t="str">
        <f t="shared" si="93"/>
        <v>x</v>
      </c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  <c r="FW222" s="111"/>
      <c r="FX222" s="111"/>
      <c r="FY222" s="111"/>
      <c r="FZ222" s="111"/>
      <c r="GA222" s="111"/>
      <c r="GB222" s="111"/>
      <c r="GC222" s="111"/>
      <c r="GD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2" t="str">
        <f t="shared" si="94"/>
        <v>x</v>
      </c>
      <c r="HD222" s="112" t="str">
        <f t="shared" si="98"/>
        <v>x</v>
      </c>
      <c r="HE222" s="112" t="str">
        <f>HYPERLINK("https://www.zahnaerzte-wl.de/images/_PDF-suche/KZV_ZÄK/Anschreiben_Patienten_usbekisch.pdf","x")</f>
        <v>x</v>
      </c>
      <c r="HF222" s="112" t="str">
        <f>HYPERLINK("https://www.zahnaerzte-wl.de/images/_PDF-suche/KZV_ZÄK/Fragebogen_usbekisch.pdf","x")</f>
        <v>x</v>
      </c>
      <c r="HG222" s="112" t="str">
        <f>HYPERLINK("https://www.zahnaerzte-wl.de/images/_PDF-suche/KZV_ZÄK/Patientenerhebungsbogen_usbekisch.pdf","x")</f>
        <v>x</v>
      </c>
      <c r="HH222" s="112"/>
      <c r="HI222" s="112"/>
      <c r="HJ222" s="112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2" t="str">
        <f t="shared" si="95"/>
        <v>x</v>
      </c>
      <c r="HZ222" s="112" t="str">
        <f t="shared" si="96"/>
        <v>x</v>
      </c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1"/>
      <c r="IZ222" s="111"/>
      <c r="JA222" s="111"/>
      <c r="JB222" s="111"/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1"/>
      <c r="JM222" s="111"/>
      <c r="JN222" s="111"/>
      <c r="JO222" s="111"/>
      <c r="JP222" s="111"/>
      <c r="JQ222" s="111"/>
      <c r="JR222" s="111"/>
      <c r="JS222" s="111"/>
      <c r="JT222" s="111"/>
      <c r="JU222" s="111"/>
      <c r="JV222" s="111"/>
      <c r="JW222" s="111"/>
      <c r="JX222" s="111"/>
      <c r="JY222" s="111"/>
      <c r="JZ222" s="111"/>
      <c r="KA222" s="111"/>
      <c r="KB222" s="111"/>
      <c r="KC222" s="111"/>
      <c r="KD222" s="111"/>
      <c r="KE222" s="111"/>
      <c r="KF222" s="111"/>
      <c r="KG222" s="111"/>
      <c r="KH222" s="111"/>
      <c r="KI222" s="111"/>
      <c r="KJ222" s="111"/>
      <c r="KK222" s="111"/>
      <c r="KL222" s="111"/>
      <c r="KM222" s="111"/>
      <c r="KN222" s="111"/>
      <c r="KO222" s="111"/>
      <c r="KP222" s="111"/>
      <c r="KQ222" s="111"/>
      <c r="KR222" s="111"/>
      <c r="KS222" s="111"/>
      <c r="KT222" s="111"/>
      <c r="KU222" s="111"/>
      <c r="KV222" s="111"/>
      <c r="KW222" s="111"/>
      <c r="KX222" s="111"/>
      <c r="KY222" s="111"/>
      <c r="KZ222" s="111"/>
      <c r="LA222" s="111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  <c r="MI222" s="111"/>
    </row>
    <row r="223" spans="1:347" x14ac:dyDescent="0.25">
      <c r="A223" s="102" t="s">
        <v>396</v>
      </c>
      <c r="B223" s="127" t="s">
        <v>4</v>
      </c>
      <c r="C223" s="102"/>
      <c r="D223" s="102"/>
      <c r="E223" s="102"/>
      <c r="F223" s="102"/>
      <c r="G223" s="102"/>
      <c r="H223" s="102"/>
      <c r="I223" s="102"/>
      <c r="J223" s="102"/>
      <c r="K223" s="103"/>
      <c r="L223" s="111"/>
      <c r="M223" s="111"/>
      <c r="N223" s="112" t="str">
        <f>HYPERLINK("http://www.ag-fluechtlingshilfe-wetterau.de/uploads/infos/170.pdf","x")</f>
        <v>x</v>
      </c>
      <c r="O223" s="112" t="str">
        <f>HYPERLINK("http://www.ag-fluechtlingshilfe-wetterau.de/uploads/infos/220.pdf","x")</f>
        <v>x</v>
      </c>
      <c r="P223" s="112" t="str">
        <f>HYPERLINK("http://www.awb-ahrweiler.de/admin/data/ddownload/Abfall%20Sonderhinweise-englisch_2014.pdf","x")</f>
        <v>x</v>
      </c>
      <c r="Q223" s="112" t="str">
        <f>HYPERLINK("http://www.ag-fluechtlingshilfe-wetterau.de/uploads/infos/221.pdf","x")</f>
        <v>x</v>
      </c>
      <c r="R223" s="112" t="str">
        <f>HYPERLINK("http://www.konto.org/download/merkblatt-basiskonto-asylbewerber-english.pdf","x")</f>
        <v>x</v>
      </c>
      <c r="S223" s="112"/>
      <c r="T223" s="112" t="str">
        <f>HYPERLINK("https://antworten.sparkasse.de/wp-content/uploads/2015/10/English.pdf","x")</f>
        <v>x</v>
      </c>
      <c r="U223" s="112" t="str">
        <f>HYPERLINK("http://www.ag-fluechtlingshilfe-wetterau.de/uploads/infos/191.pdf","x")</f>
        <v>x</v>
      </c>
      <c r="V223" s="112"/>
      <c r="W223" s="112"/>
      <c r="X22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2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23" s="112"/>
      <c r="AA223" s="112"/>
      <c r="AB223" s="112"/>
      <c r="AC223" s="112" t="str">
        <f>HYPERLINK("http://www.vzhh.de/vzhh/409638/vzhh_refugees_telephone_internet.pdf","x")</f>
        <v>x</v>
      </c>
      <c r="AD223" s="112" t="str">
        <f>HYPERLINK("http://www.vzhh.de/vzhh/410647/vzhh_refugees_rundfunk.pdf","x")</f>
        <v>x</v>
      </c>
      <c r="AE223" s="112" t="str">
        <f>HYPERLINK("http://www.vzhh.de/vzhh/411476/vzhh_refugees_rundfunk_befreiung.pdf","x")</f>
        <v>x</v>
      </c>
      <c r="AF223" s="112" t="str">
        <f>HYPERLINK("http://www.kub-berlin.org/formularprojekt/de/englisch-antraege-und-anlagen-uebersetzungshilfen/","x")</f>
        <v>x</v>
      </c>
      <c r="AG223" s="112" t="str">
        <f>HYPERLINK("http://asyl-in-moenchengladbach.de/wp-content/uploads/2015/11/100711-Flyer_GB.pdf","x")</f>
        <v>x</v>
      </c>
      <c r="AH223" s="112" t="str">
        <f>HYPERLINK("http://sghanstedt.elbnetz.com/ueber-uns/","x")</f>
        <v>x</v>
      </c>
      <c r="AI223" s="112" t="str">
        <f>HYPERLINK("https://www.adac.de/sp/stiftung/_mmm/pdf/SGE_FOL_Verkehrssicherheit_Fl%C3%BCchtlinge_A3_01_16_Internet_250277.pdf","x")</f>
        <v>x</v>
      </c>
      <c r="AJ223" s="112" t="str">
        <f>HYPERLINK("http://www.stadt-koeln.de/mediaasset/content/kvb_kinderleicht_und_spielend_einfach__englisch_.pdf","x")</f>
        <v>x</v>
      </c>
      <c r="AK223" s="112" t="str">
        <f>HYPERLINK("https://www.vrsinfo.de/fileadmin/Dateien/downloadcenter/Folder_MobilPassTicket_Refugees01012016.pdf","x")</f>
        <v>x</v>
      </c>
      <c r="AL223" s="112" t="str">
        <f>HYPERLINK("https://www.vrsinfo.de/fileadmin/Dateien/downloadcenter/Willkommen_im_VRS2016_Druck.pdf","x")</f>
        <v>x</v>
      </c>
      <c r="AM223" s="112"/>
      <c r="AN223" s="112" t="str">
        <f>HYPERLINK("https://www.deutschebahn.com/file/de/2191748/eYdgZpqGpp5sMJ2KMKtg2r8aE4Q/10123812/data/infos_fuer_fluechtlinge.pdf","x")</f>
        <v>x</v>
      </c>
      <c r="AO223" s="112"/>
      <c r="AP223" s="112"/>
      <c r="AQ223" s="112"/>
      <c r="AR223" s="112"/>
      <c r="AS223" s="112"/>
      <c r="AT223" s="112"/>
      <c r="AU223" s="112" t="str">
        <f>HYPERLINK("http://www.stadt-koeln.de/mediaasset/content/festkomitee_flyer_2016_d_gb.pdf","x")</f>
        <v>x</v>
      </c>
      <c r="AV223" s="113"/>
      <c r="AW223" s="114" t="str">
        <f t="shared" si="78"/>
        <v>x</v>
      </c>
      <c r="AX223" s="114" t="str">
        <f t="shared" si="79"/>
        <v>x</v>
      </c>
      <c r="AY223" s="112" t="str">
        <f>HYPERLINK("http://fi-lohmar-siegburg.de/data/documents/Findefix_arabisch-Bildwoerterbuch.pdf","x")</f>
        <v>x</v>
      </c>
      <c r="AZ223" s="111"/>
      <c r="BA223" s="112" t="str">
        <f t="shared" si="80"/>
        <v>x</v>
      </c>
      <c r="BB223" s="112" t="str">
        <f t="shared" si="81"/>
        <v>x</v>
      </c>
      <c r="BC223" s="111"/>
      <c r="BD223" s="111"/>
      <c r="BE223" s="112" t="str">
        <f>HYPERLINK("http://fi-lohmar-siegburg.de/data/documents/communicationboard-arabic-english.pdf","x")</f>
        <v>x</v>
      </c>
      <c r="BF223" s="112"/>
      <c r="BG223" s="111"/>
      <c r="BH223" s="112" t="str">
        <f>HYPERLINK("http://www.refugeephrasebook.de/pdf/germany150920.pdf","x")</f>
        <v>x</v>
      </c>
      <c r="BI223" s="112" t="str">
        <f>HYPERLINK("https://www.advanced-online.eu/downloads/RefugeePhrasebookCards_German-English.pdf","x")</f>
        <v>x</v>
      </c>
      <c r="BJ223" s="112" t="str">
        <f>HYPERLINK("http://www.klett-sprachen.de/download/8638/W100255_Refugees_Welcome_Wortschatz.pdf","x")</f>
        <v>x</v>
      </c>
      <c r="BK223" s="111"/>
      <c r="BL223" s="112" t="str">
        <f>HYPERLINK("http://www.bundessprachenamt.de/deutsch/wir_ueber_uns/nachrichten/2015/20151103/Verständigungshilfe_Englisch_26_11_2015.pdf","x")</f>
        <v>x</v>
      </c>
      <c r="BM223" s="112" t="str">
        <f>HYPERLINK("http://www.frnrw.de/images/Aus_den_Initiativen/Ehrenamtler/2015/Dictionary_x10_print-2.pdf","x")</f>
        <v>x</v>
      </c>
      <c r="BN223" s="112" t="str">
        <f>HYPERLINK("http://www.medbox.org/toolboxes/kleines-worterbuch-little-dictionary-deutsch-englisch-arabisch/preview","x")</f>
        <v>x</v>
      </c>
      <c r="BO223" s="112" t="str">
        <f>HYPERLINK("http://mylanguages.org/dari_phrases.php","x")</f>
        <v>x</v>
      </c>
      <c r="BP223" s="111"/>
      <c r="BQ223" s="111"/>
      <c r="BR223" s="111"/>
      <c r="BS223" s="112" t="str">
        <f t="shared" si="82"/>
        <v>x</v>
      </c>
      <c r="BT223" s="112"/>
      <c r="BU223" s="111"/>
      <c r="BV223" s="112" t="str">
        <f t="shared" si="83"/>
        <v>x</v>
      </c>
      <c r="BW223" s="112" t="str">
        <f>HYPERLINK("http://www.welcomegrooves.de/wp-content/uploads/2015/10/welcomegrooves_DE-ENGLISH1.pdf","x")</f>
        <v>x</v>
      </c>
      <c r="BX223" s="112"/>
      <c r="BY223" s="112"/>
      <c r="BZ223" s="112"/>
      <c r="CA223" s="112" t="str">
        <f t="shared" si="84"/>
        <v>x</v>
      </c>
      <c r="CB223" s="112" t="str">
        <f t="shared" si="85"/>
        <v>x</v>
      </c>
      <c r="CC223" s="112" t="str">
        <f t="shared" si="86"/>
        <v>x</v>
      </c>
      <c r="CD223" s="112"/>
      <c r="CE223" s="112"/>
      <c r="CF223" s="111"/>
      <c r="CG223" s="112" t="str">
        <f>HYPERLINK("http://www.braunschweig.de/leben/frauen/hilfe/Ohne-Gewalt-leben.pdf","x")</f>
        <v>x</v>
      </c>
      <c r="CH223" s="112" t="str">
        <f>HYPERLINK("http://mifkjf.rlp.de/fileadmin/mifkjf/Frauen/Gewalt_gegen_Frauen/Downloads/Broschueren_Flyer/Flyer_Gewalt_englisch.pdf","x")</f>
        <v>x</v>
      </c>
      <c r="CI223" s="112" t="str">
        <f>HYPERLINK("https://www.hilfetelefon.de/fileadmin/hilfetelefon_de/Materialien/Flyer/Infoflyer_Hilfetelefon_Gewalt_gegen_Frauen141105_b2.pdf","x")</f>
        <v>x</v>
      </c>
      <c r="CJ223" s="112" t="str">
        <f>HYPERLINK("https://www.hilfetelefon.de/fileadmin/hilfetelefon_de/Materialien/weitere_werbemittel/Klappflyer_Vorder-_und_Rueckseite_opt2.pdf","x")</f>
        <v>x</v>
      </c>
      <c r="CK223" s="112" t="str">
        <f t="shared" si="87"/>
        <v>x</v>
      </c>
      <c r="CL223" s="112" t="str">
        <f>HYPERLINK("http://www.frauenberatungsstelle.de/pdf/Migrantinnen-beraten-Migrantinnen.pdf","x")</f>
        <v>x</v>
      </c>
      <c r="CM223" s="112" t="str">
        <f>HYPERLINK("http://www.frauenleben.org/spezielle_beratungsangebote/sexualisierte_gewalt.htm","x")</f>
        <v>x</v>
      </c>
      <c r="CN223" s="112"/>
      <c r="CO223" s="112"/>
      <c r="CP223" s="112" t="str">
        <f>HYPERLINK("http://www.schwanger-und-viele-fragen.de/en/","x")</f>
        <v>x</v>
      </c>
      <c r="CQ223" s="112"/>
      <c r="CR22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23" s="112" t="str">
        <f>HYPERLINK("http://en.beststart.org/for_parents/are-you-looking-resources-languages-other-english-and-french","x")</f>
        <v>x</v>
      </c>
      <c r="CT223" s="112"/>
      <c r="CU223" s="112" t="str">
        <f>HYPERLINK("http://www.profamilia.de/fileadmin/publikationen/Erwachsene/mehrsprachig/Bro_Verhuetung_engl_2013.pdf","x")</f>
        <v>x</v>
      </c>
      <c r="CV223" s="112" t="str">
        <f>HYPERLINK("http://www.profamilia.de/fileadmin/publikationen/Erwachsene/mehrsprachig/Bro_Pille_danach_Faltblatt_140122_RZ.pdf","x")</f>
        <v>x</v>
      </c>
      <c r="CW223" s="112" t="str">
        <f>HYPERLINK("http://www.profamilia.de/fileadmin/publikationen/Reihe_Verhuetungsmethoden/Einleger_englisch.pdf","x")</f>
        <v>x</v>
      </c>
      <c r="CX223" s="112" t="str">
        <f>HYPERLINK("http://www.profamilia.de/fileadmin/publikationen/Reihe_Koerper_und_Sexualtitaet/Schwangerschaftsabbruch_englisch_2010.pdf","x")</f>
        <v>x</v>
      </c>
      <c r="CY223" s="112" t="str">
        <f>HYPERLINK("http://www.caritas-schwarzwald-alb-donau.de/68854.html","x")</f>
        <v>x</v>
      </c>
      <c r="CZ223" s="112" t="str">
        <f>HYPERLINK("http://www.dgfpi.de/tl_files/download/medien/unwissen-macht-en.pdf","x")</f>
        <v>x</v>
      </c>
      <c r="DA223" s="112"/>
      <c r="DB223" s="112"/>
      <c r="DC223" s="115" t="str">
        <f>HYPERLINK("http://www.kindersicherheit.de/pdf/2013_BAG_Tomi_and_Mila_Deutsch_English.pdf","x")</f>
        <v>x</v>
      </c>
      <c r="DD223" s="112"/>
      <c r="DE223" s="112"/>
      <c r="DF223" s="112" t="str">
        <f t="shared" si="88"/>
        <v>x</v>
      </c>
      <c r="DG223" s="115" t="str">
        <f t="shared" si="89"/>
        <v>x</v>
      </c>
      <c r="DH223" s="112" t="str">
        <f t="shared" si="90"/>
        <v>x</v>
      </c>
      <c r="DI223" s="112" t="str">
        <f t="shared" si="91"/>
        <v>x</v>
      </c>
      <c r="DJ223" s="112"/>
      <c r="DK223" s="112"/>
      <c r="DL223" s="112"/>
      <c r="DM223" s="112"/>
      <c r="DN223" s="112"/>
      <c r="DO223" s="112" t="str">
        <f>HYPERLINK("http://www.wdrmaus.de/sachgeschichten/maus-international/","x")</f>
        <v>x</v>
      </c>
      <c r="DP223" s="111"/>
      <c r="DQ223" s="111"/>
      <c r="DR223" s="112" t="str">
        <f>HYPERLINK("https://broschueren.nordrheinwestfalendirekt.de/broschuerenservice/msw/eng-das-schulsystem-in-nordrhein-westfalen-einfach-und-schnell-erklaert/1902","x")</f>
        <v>x</v>
      </c>
      <c r="DS223" s="112" t="str">
        <f>HYPERLINK("http://bildung.koeln.de/materialbibliothek/download.php?idx=8e2a9f658e9fa830ce17dc18f0fb0268","x")</f>
        <v>x</v>
      </c>
      <c r="DT223" s="112" t="str">
        <f>HYPERLINK("http://bildung.koeln.de/materialbibliothek/download.php?idx=90aff7e7259385cadb46c517317f1446","x")</f>
        <v>x</v>
      </c>
      <c r="DU223" s="112"/>
      <c r="DV223" s="112" t="str">
        <f>HYPERLINK("https://www.bmbf.de/pub/Kausa_Elternbroschuere_englisch.pdf","x")</f>
        <v>x</v>
      </c>
      <c r="DW223" s="112"/>
      <c r="DX223" s="112" t="str">
        <f>HYPERLINK("http://www.wissenschaft.nrw.de/studium/informieren/informationen-fuer-fluechtlinge-die-in-nrw-studieren-moechten/","x")</f>
        <v>x</v>
      </c>
      <c r="DY223" s="112" t="str">
        <f>HYPERLINK("http://www.bamf.de/SharedDocs/Anlagen/DE/Publikationen/Flyer/AnerkennungBerufsabschluss/berufliche_anerkennung_akademische-heilberufe_en.pdf?__blob=publicationFile","x")</f>
        <v>x</v>
      </c>
      <c r="DZ223" s="112" t="str">
        <f>HYPERLINK("http://www.bamf.de/SharedDocs/Anlagen/EN/Publikationen/Flyer/AnerkennungBerufsabschluss/anerkennung-berufsabschluss.pdf?__blob=publicationFile","x")</f>
        <v>x</v>
      </c>
      <c r="EA223" s="112" t="str">
        <f>HYPERLINK("http://www.bamf.de/SharedDocs/Anlagen/EN/Publikationen/Flyer/AnerkennungBerufsabschluss/anerkennung-berufsabschluss_ausland.pdf?__blob=publicationFile","x")</f>
        <v>x</v>
      </c>
      <c r="EB223" s="112" t="str">
        <f>HYPERLINK("http://www.bamf.de/SharedDocs/Anlagen/EN/Publikationen/Broschueren/willkommen-in-deutschland-info-blaue-karte-eu_en.pdf?__blob=publicationFile","x")</f>
        <v>x</v>
      </c>
      <c r="EC223" s="112" t="str">
        <f>HYPERLINK("http://www.bamf.de/SharedDocs/Anlagen/EN/Publikationen/Flyer/Berufsbezsprachf-ESF-BAMF/berufsbezsprachf-esf-bamf.pdf?__blob=publicationFile","x")</f>
        <v>x</v>
      </c>
      <c r="ED223" s="111"/>
      <c r="EE223" s="111"/>
      <c r="EF223" s="111"/>
      <c r="EG223" s="111"/>
      <c r="EH223" s="111"/>
      <c r="EI223" s="111"/>
      <c r="EJ223" s="112"/>
      <c r="EK223" s="112" t="str">
        <f>HYPERLINK("http://fluechtlingsrat-bw.de/files/Dateien/Dokumente/Materialbestellung/2014-12-flyer%20arbeitserlaubnis%20EN%20WEB.pdf","x")</f>
        <v>x</v>
      </c>
      <c r="EL223" s="112" t="str">
        <f>HYPERLINK("http://www.aponet.de/englisch/20151019-fuer-den-notfall-wichtige-rufnummern-im-ueberblick.html","x")</f>
        <v>x</v>
      </c>
      <c r="EM223" s="112" t="str">
        <f>HYPERLINK("http://www.kvs-sachsen.de/fileadmin/img/Mitglieder/Asylbewerber/Allg-Informationen/Anlage_1_Englisch_LEK.pdf","x")</f>
        <v>x</v>
      </c>
      <c r="EN223" s="112" t="str">
        <f>HYPERLINK("http://www.medizin-hilft-fluechtlingen.de/images/Dokumente/gSch/gSch_eng.pdf","x")</f>
        <v>x</v>
      </c>
      <c r="EO223" s="112" t="str">
        <f>HYPERLINK("http://www.aponet.de/englisch/medical-care-for-asylum-seekers.html","x")</f>
        <v>x</v>
      </c>
      <c r="EP223" s="117" t="str">
        <f>HYPERLINK("http://www.medi-bild.de/pdf/anamnese/Welche_Sprache.pdf","x")</f>
        <v>x</v>
      </c>
      <c r="EQ223" s="117" t="str">
        <f>HYPERLINK("http://www.armut-gesundheit.de/fileadmin/redakteur/dokumente/Anamnesebogen%20-%20englischnew.pdf","x")</f>
        <v>x</v>
      </c>
      <c r="ER223" s="112" t="str">
        <f>HYPERLINK("http://www.kvs-sachsen.de/fileadmin/img/Mitglieder/Asylbewerber/Allg-Informationen/Anlagen_2-1_2-2_Englisch_LEK.pdf","x")</f>
        <v>x</v>
      </c>
      <c r="ES223" s="111"/>
      <c r="ET223" s="111"/>
      <c r="EU223" s="112" t="str">
        <f>HYPERLINK("http://www.medizin-hilft-fluechtlingen.de/images/Dokumente/ein/ein_engl.pdf","x")</f>
        <v>x</v>
      </c>
      <c r="EV223" s="112" t="str">
        <f>HYPERLINK("http://www.adler-apotheke-hh.de/fileadmin/user_upload/PDF-Dateien/Dosierzettel_mehrsprachig_AUF_0_.pdf","x")</f>
        <v>x</v>
      </c>
      <c r="EW223" s="112" t="str">
        <f t="shared" si="92"/>
        <v>x</v>
      </c>
      <c r="EX223" s="112" t="str">
        <f>HYPERLINK("http://www.rki.de/DE/Content/Infekt/IfSG/Belehrungsbogen/belehrungsbogen_eltern_englisch.pdf?__blob=publicationFile","x")</f>
        <v>x</v>
      </c>
      <c r="EY223" s="112" t="str">
        <f>HYPERLINK("http://www.bzga.de/infomaterialien/?sid=236","x")</f>
        <v>x</v>
      </c>
      <c r="EZ223" s="112" t="str">
        <f>HYPERLINK("https://www.mh-hannover.de/fileadmin/mhh/bilder/aktuelles_presse/pressestelle/bilder/Pilzvergif_English.pdf","x")</f>
        <v>x</v>
      </c>
      <c r="FA223" s="112"/>
      <c r="FB223" s="112" t="str">
        <f>HYPERLINK("http://static.apotheken-umschau.de/media/gp/article_506373/bildwoerterbuch.pdf","x")</f>
        <v>x</v>
      </c>
      <c r="FC223" s="112" t="str">
        <f>HYPERLINK("https://www.studentenwerke.de/sites/default/files/gesundheitswoerterbuch.pdf","x")</f>
        <v>x</v>
      </c>
      <c r="FD223" s="112" t="str">
        <f t="shared" si="93"/>
        <v>x</v>
      </c>
      <c r="FE223" s="112" t="str">
        <f>HYPERLINK("http://sghanstedt.elbnetz.com/ueber-uns/","x")</f>
        <v>x</v>
      </c>
      <c r="FF223" s="112" t="str">
        <f>HYPERLINK("http://www.fuhlenhagen.com/pdf_dateien/uebertzungshilfe_aerzte_mehrsprachig.pdf","x")</f>
        <v>x</v>
      </c>
      <c r="FG223" s="112" t="str">
        <f>HYPERLINK("http://www.tipdoc.de/grafik/asyl/Gesundheitsheft_Asyl.pdf","x")</f>
        <v>x</v>
      </c>
      <c r="FH223" s="111"/>
      <c r="FI223" s="111"/>
      <c r="FJ223" s="112" t="str">
        <f>HYPERLINK("http://www.bundesgesundheitsministerium.de/fileadmin/dateien/Publikationen/Gesundheit/Broschueren/Ratgeber_Asylsuchende/Ratgeber_Asylsuchende_engl.pdf","x")</f>
        <v>x</v>
      </c>
      <c r="FK223" s="112" t="str">
        <f>HYPERLINK("http://www.rki.de/DE/Content/Infekt/Impfen/Materialien/Downloads-Impfkalender/Impfkalender_Englisch.pdf?__blob=publicationFile","x")</f>
        <v>x</v>
      </c>
      <c r="FL223" s="112" t="str">
        <f>HYPERLINK("http://www.ethno-medizinisches-zentrum.de/images/PDF-Files/impfwegweiser_englisch_2013_online.pdf","x")</f>
        <v>x</v>
      </c>
      <c r="FM223" s="112"/>
      <c r="FN223" s="112" t="str">
        <f>HYPERLINK("http://www.rki.de/DE/Content/Infekt/Impfen/Materialien/Glossar-Downloads/glossar-de-englisch.pdf?__blob=publicationFile","x")</f>
        <v>x</v>
      </c>
      <c r="FO223" s="112" t="str">
        <f>HYPERLINK("http://www.euro.who.int/__data/assets/pdf_file/0005/160754/VPDs_Signs-symptoms-complications.pdf?ua=1","x")</f>
        <v>x</v>
      </c>
      <c r="FP223" s="112" t="str">
        <f>HYPERLINK("http://www.rki.de/DE/Content/Infekt/Impfen/Materialien/Downloads-MMR/MMR-Impfinfo-englisch.pdf?__blob=publicationFile","x")</f>
        <v>x</v>
      </c>
      <c r="FQ223" s="112" t="str">
        <f>HYPERLINK("http://www.rki.de/DE/Content/InfAZ/P/Polio/Ausbruch_Syrien/Informationsblatt_Polio_Englisch.pdf?__blob=publicationFile","x")</f>
        <v>x</v>
      </c>
      <c r="FR223" s="112" t="str">
        <f>HYPERLINK("http://www.rki.de/DE/Content/Infekt/Impfen/Materialien/Downloads_HepA/Aufklaerung_HAV-Impfung_Englisch.pdf?__blob=publicationFile","x")</f>
        <v>x</v>
      </c>
      <c r="FS223" s="112" t="str">
        <f>HYPERLINK("http://www.rki.de/DE/Content/Infekt/Impfen/Materialien/Downloads_Pneumokokken/Aufklaerung_Pneumo-Impfung_Englisch.pdf?__blob=publicationFile","x")</f>
        <v>x</v>
      </c>
      <c r="FT223" s="112" t="str">
        <f>HYPERLINK("http://www.rki.de/DE/Content/Infekt/Impfen/Materialien/Downloads-DTaPIPVHibHepB/DTaPIPVHibHepB-englisch.pdf?__blob=publicationFile","x")</f>
        <v>x</v>
      </c>
      <c r="FU223" s="112" t="str">
        <f>HYPERLINK("http://www.rki.de/DE/Content/Infekt/Impfen/Materialien/Downloads-Varizellen/Varizellen-Impfinfo-englisch.pdf;jsessionid=65B697F4EE7EDA8A1ED9E2C4CD6C74EC.2_cid363?__blob=publicationFile","x")</f>
        <v>x</v>
      </c>
      <c r="FV223" s="112" t="str">
        <f>HYPERLINK("http://www.rki.de/DE/Content/Infekt/Impfen/Materialien/Downloads-Tdap-IPV/Tdap-IPV-englisch.pdf?__blob=publicationFile","x")</f>
        <v>x</v>
      </c>
      <c r="FW223" s="112" t="str">
        <f>HYPERLINK("http://www.rki.de/DE/Content/Infekt/Impfen/Materialien/Downloads-Influenza_nasal/Influenza_nasal-englisch.pdf?__blob=publicationFile","x")</f>
        <v>x</v>
      </c>
      <c r="FX223" s="111"/>
      <c r="FY223" s="112"/>
      <c r="FZ223" s="112"/>
      <c r="GA223" s="111"/>
      <c r="GB223" s="111"/>
      <c r="GC223" s="111"/>
      <c r="GD223" s="112" t="str">
        <f>HYPERLINK("http://www.ethno-medizinisches-zentrum.de/images/PDF-Files/lf_diabete_englisch.pdf","x")</f>
        <v>x</v>
      </c>
      <c r="GE223" s="111"/>
      <c r="GF223" s="111"/>
      <c r="GG223" s="111"/>
      <c r="GH223" s="112"/>
      <c r="GI223" s="111"/>
      <c r="GJ223" s="111"/>
      <c r="GK223" s="112" t="str">
        <f>HYPERLINK("http://www.tipdoc.de/bus/pdf/hiv/HIV%20ESP_Webseite.pdf","x")</f>
        <v>x</v>
      </c>
      <c r="GL223" s="111"/>
      <c r="GM223" s="112" t="str">
        <f>HYPERLINK("http://www.rki.de/DE/Content/Infekt/Impfen/Materialien/Downloads-Influenza/Influenza-englisch.pdf?__blob=publicationFile","x")</f>
        <v>x</v>
      </c>
      <c r="GN223" s="111"/>
      <c r="GO223" s="112" t="str">
        <f>HYPERLINK("http://www.aponet.de/englisch/20151111-so-unterscheiden-sich-grippe-und-erkaeltung.html","x")</f>
        <v>x</v>
      </c>
      <c r="GP223" s="111"/>
      <c r="GQ223" s="111"/>
      <c r="GR223" s="111"/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1"/>
      <c r="HC223" s="112" t="str">
        <f t="shared" si="94"/>
        <v>x</v>
      </c>
      <c r="HD223" s="112" t="str">
        <f t="shared" si="98"/>
        <v>x</v>
      </c>
      <c r="HE223" s="112" t="str">
        <f>HYPERLINK("https://www.zahnaerzte-wl.de/images/_PDF-suche/KZV_ZÄK/Anschreiben_Patienten_englisch.pdf","x")</f>
        <v>x</v>
      </c>
      <c r="HF223" s="112" t="str">
        <f>HYPERLINK("https://www.zahnaerzte-wl.de/images/_PDF-suche/KZV_ZÄK/Fragebogen_englisch.pdf","x")</f>
        <v>x</v>
      </c>
      <c r="HG223" s="112" t="str">
        <f>HYPERLINK("https://www.zahnaerzte-wl.de/images/_PDF-suche/KZV_ZÄK/Patientenerhebungsbogen_englisch.pdf","x")</f>
        <v>x</v>
      </c>
      <c r="HH223" s="112"/>
      <c r="HI223" s="112" t="str">
        <f>HYPERLINK("http://www.bvkm.de/fileadmin/web_data/Behinderung_und_Migration_englisch_2014.pdf","x")</f>
        <v>x</v>
      </c>
      <c r="HJ223" s="112"/>
      <c r="HK223" s="112" t="str">
        <f>HYPERLINK("http://www.psychenet.de/en/mental-health/knowledge/depression.html","x")</f>
        <v>x</v>
      </c>
      <c r="HL223" s="111"/>
      <c r="HM223" s="112" t="str">
        <f>HYPERLINK("http://www.psychenet.de/en/mental-health/knowledge/psychoses.html","x")</f>
        <v>x</v>
      </c>
      <c r="HN223" s="112" t="str">
        <f>HYPERLINK("http://www.psychenet.de/en/mental-health/knowledge/somatoform-disorders.html","x")</f>
        <v>x</v>
      </c>
      <c r="HO223" s="112" t="str">
        <f>HYPERLINK("http://www.psychenet.de/en/mental-health/knowledge/anorexia.html","x")</f>
        <v>x</v>
      </c>
      <c r="HP223" s="112" t="str">
        <f>HYPERLINK("http://www.psychenet.de/en/mental-health/knowledge/bulimia.html","x")</f>
        <v>x</v>
      </c>
      <c r="HQ223" s="112" t="str">
        <f>HYPERLINK("http://www.psychenet.de/en/mental-health/knowledge/bipolar-disorder.html","x")</f>
        <v>x</v>
      </c>
      <c r="HR223" s="112" t="str">
        <f>HYPERLINK("http://www.psychenet.de/en/mental-health/knowledge/panic-and-agoraphobia.html","x")</f>
        <v>x</v>
      </c>
      <c r="HS223" s="112" t="str">
        <f>HYPERLINK("http://www.psychenet.de/en/mental-health/knowledge/social-phobia.html","x")</f>
        <v>x</v>
      </c>
      <c r="HT223" s="112" t="str">
        <f>HYPERLINK("http://www.psychenet.de/en/mental-health/knowledge/generalized-anxiety-disorder.html","x")</f>
        <v>x</v>
      </c>
      <c r="HU223" s="112"/>
      <c r="HV223" s="112" t="str">
        <f>HYPERLINK("http://www.psychenet.de/en/mental-health/knowledge/information-and-support.html","x")</f>
        <v>x</v>
      </c>
      <c r="HW223" s="112"/>
      <c r="HX223" s="112" t="str">
        <f>HYPERLINK("http://www.bkk-psychisch-gesund.de/fileadmin/user_upload/Dokumente/Versicherte/Broschueren/Wegweiser_Psychotherapie_englisch.pdf","x")</f>
        <v>x</v>
      </c>
      <c r="HY223" s="112" t="str">
        <f t="shared" si="95"/>
        <v>x</v>
      </c>
      <c r="HZ223" s="112" t="str">
        <f t="shared" si="96"/>
        <v>x</v>
      </c>
      <c r="IA223" s="112" t="str">
        <f>HYPERLINK("http://peacefulheart.se/wp-content/uploads/2012/02/TTT_English_2013.pdf","x")</f>
        <v>x</v>
      </c>
      <c r="IB223" s="112"/>
      <c r="IC223" s="112"/>
      <c r="ID223" s="112" t="str">
        <f>HYPERLINK("http://www.susannestein.de/VIA-online/trauma-picture-book.pdf","x")</f>
        <v>x</v>
      </c>
      <c r="IE223" s="112" t="str">
        <f>HYPERLINK("http://www.psychenet.de/en/mental-health/knowledge/alcohol-in-adolescence.html","x")</f>
        <v>x</v>
      </c>
      <c r="IF223" s="112"/>
      <c r="IG223" s="112"/>
      <c r="IH223" s="111"/>
      <c r="II223" s="112" t="str">
        <f>HYPERLINK("http://www.caritas.de/hilfeundberatung/onlineberatung/suchtberatung/haeufiggestelltefragensucht/haeufiggestelltefragen-sucht","x")</f>
        <v>x</v>
      </c>
      <c r="IJ223" s="112" t="str">
        <f>HYPERLINK("http://www.dhs.de/fileadmin/user_upload/pdf/Broschueren/Ein_Angebot_an_alle-Englisch.pdf","x")</f>
        <v>x</v>
      </c>
      <c r="IK223" s="112" t="str">
        <f>HYPERLINK("http://www.bamf.de/SharedDocs/Anlagen/EN/Publikationen/Flyer/Lassen-Sie-Sich-Beraten/lassen-sie-sich-beraten.pdf?__blob=publicationFile","x")</f>
        <v>x</v>
      </c>
      <c r="IL223" s="115" t="str">
        <f>HYPERLINK("http://www.bamf.de/SharedDocs/Anlagen/EN/Publikationen/Flyer/flyer-erstorientierung-asylsuchende.pdf?__blob=publicationFile","x")</f>
        <v>x</v>
      </c>
      <c r="IM223" s="112" t="str">
        <f>HYPERLINK("http://www.frnrw.de/index.php/inhaltliche-themen/arbeitshilfen/item/3710-erstinfos-fuer-asylsuchende","x")</f>
        <v>x</v>
      </c>
      <c r="IN223" s="112" t="str">
        <f>HYPERLINK("http://www.bamf.de/SharedDocs/Anlagen/EN/Publikationen/Broschueren/willkommen-in-deutschland.pdf;jsessionid=2D72CB108E4AC02BBB9659E7D9A589B2.1_cid368?__blob=publicationFile","x")</f>
        <v>x</v>
      </c>
      <c r="IO223" s="112"/>
      <c r="IP223" s="112"/>
      <c r="IQ223" s="112" t="str">
        <f>HYPERLINK("http://www.bamf.de/SharedDocs/Anlagen/EN/Publikationen/Flyer/Lernen-Sie-Deutsch/lernen-sie-deutsch.pdf?__blob=publicationFile","x")</f>
        <v>x</v>
      </c>
      <c r="IR223" s="112" t="str">
        <f>HYPERLINK("http://www.asyl.net/fileadmin/user_upload/redaktion/Dokumente/Arbeitshilfen/150910_Wie_l%C3%A4uft_ein_Asylverfahren_ab_%C3%9Cberblickstext_Englisch.pdf","x")</f>
        <v>x</v>
      </c>
      <c r="IS223" s="111"/>
      <c r="IT223" s="112" t="str">
        <f>HYPERLINK("http://www.bamf.de/SharedDocs/Anlagen/EN/Publikationen/Flyer/ablauf-asylverfahren.pdf;jsessionid=DBD4307960D761935FCC3E0325D459A1.1_cid294?__blob=publicationFile","x")</f>
        <v>x</v>
      </c>
      <c r="IU223" s="111"/>
      <c r="IV223" s="112" t="str">
        <f>HYPERLINK("http://www.asyl.net/fileadmin/user_upload/infoblatt_anhoerung/Infoblatt_2015_en_fin.pdf","x")</f>
        <v>x</v>
      </c>
      <c r="IW223" s="112"/>
      <c r="IX223" s="112" t="str">
        <f>HYPERLINK("http://www.berlin.de/labo/willkommen-in-berlin/service/downloads/artikel.273193.php","x")</f>
        <v>x</v>
      </c>
      <c r="IY223" s="112" t="str">
        <f>HYPERLINK("http://www.bamf.de/SharedDocs/Anlagen/EN/Publikationen/Broschueren/broschuere-eat-a4.pdf?__blob=publicationFile","x")</f>
        <v>x</v>
      </c>
      <c r="IZ223" s="111"/>
      <c r="JA223" s="112" t="str">
        <f>HYPERLINK("http://fluechtlingsrat-bw.de/informationen-fuer-fluechtlinge.html","x")</f>
        <v>x</v>
      </c>
      <c r="JB223" s="111"/>
      <c r="JC223" s="112" t="str">
        <f>HYPERLINK("http://www.bamf.de/SharedDocs/Anlagen/EN/Publikationen/Flyer/20150223_ura2_en.pdf?__blob=publicationFile","x")</f>
        <v>x</v>
      </c>
      <c r="JD223" s="111"/>
      <c r="JE223" s="112"/>
      <c r="JF223" s="112"/>
      <c r="JG223" s="112" t="str">
        <f>HYPERLINK("http://www.bamf.de/SharedDocs/Anlagen/EN/Publikationen/Flyer/Ehegattennachzug/ehegattennachzug.pdf?__blob=publicationFile","x")</f>
        <v>x</v>
      </c>
      <c r="JH223" s="112" t="str">
        <f>HYPERLINK("https://familyreunion-syria.diplo.de/webportal/index.html#start","x")</f>
        <v>x</v>
      </c>
      <c r="JI223" s="112" t="str">
        <f>HYPERLINK("http://ec.europa.eu/dgs/home-affairs/what-we-do/networks/european_migration_network/docs/emn-glossary-en-version.pdf","x")</f>
        <v>x</v>
      </c>
      <c r="JJ223" s="112"/>
      <c r="JK223" s="112" t="str">
        <f>HYPERLINK("https://www.arbeitsagentur.de/web/wcm/idc/groups/public/documents/webdatei/mdaw/mjgz/~edisp/l6019022dstbai784628.pdf?_ba.sid=L6019022DSTBAI784625","x")</f>
        <v>x</v>
      </c>
      <c r="JL223" s="112" t="str">
        <f>HYPERLINK("http://www.kub-berlin.org/formularprojekt/de/englisch-antraege-und-anlagen-uebersetzungshilfen/","x")</f>
        <v>x</v>
      </c>
      <c r="JM223" s="112" t="str">
        <f>HYPERLINK("https://www.arbeitsagentur.de/web/content/DE/Formulare/Detail/index.htm?dfContentId=L6019022DSTBAI485740","x")</f>
        <v>x</v>
      </c>
      <c r="JN223" s="112"/>
      <c r="JO223" s="112"/>
      <c r="JP223" s="112"/>
      <c r="JQ223" s="112"/>
      <c r="JR223" s="112" t="str">
        <f>HYPERLINK("http://www.ibla-germany.de/merkblaetter.php","x")</f>
        <v>x</v>
      </c>
      <c r="JS223" s="112"/>
      <c r="JT223" s="112" t="str">
        <f>HYPERLINK("http://www.b-umf.de/images/willkommen/willkommensbroschureenglisch-web.pdf","x")</f>
        <v>x</v>
      </c>
      <c r="JU223" s="111"/>
      <c r="JV223" s="111"/>
      <c r="JW223" s="112"/>
      <c r="JX223" s="112" t="str">
        <f>HYPERLINK("https://www.arbeitsagentur.de/web/wcm/idc/groups/public/documents/webdatei/mdaw/mjgz/~edisp/l6019022dstbai784636.pdf?_ba.sid=L6019022DSTBAI784633","x")</f>
        <v>x</v>
      </c>
      <c r="JY223" s="112"/>
      <c r="JZ223" s="112"/>
      <c r="KA223" s="112"/>
      <c r="KB223" s="112" t="str">
        <f>HYPERLINK("http://www.refugeeguide.de/dl/RefugeeGuide_en_925.pdf","x")</f>
        <v>x</v>
      </c>
      <c r="KC223" s="112" t="str">
        <f>HYPERLINK("http://www.gesetze-im-internet.de/englisch_gg/basic_law_for_the_federal_republic_of_germany.pdf","x")</f>
        <v>x</v>
      </c>
      <c r="KD223" s="112" t="str">
        <f>HYPERLINK("http://www.wedel.de/fileadmin/user_upload/media/pdf/Rathaus_und_Politik/20160118_PM_Broschuere.pdf","x")</f>
        <v>x</v>
      </c>
      <c r="KE223" s="112" t="str">
        <f>HYPERLINK("http://www.frauenrechte.de/online/images/downloads/allgemein/TDF_Flyer_Women_Men.pdf","x")</f>
        <v>x</v>
      </c>
      <c r="KF223" s="112" t="str">
        <f>HYPERLINK("http://sab.landtag.sachsen.de/dokumente/landtagskurier/Grundwerte-A5-international_web_08012016.pdf","x")</f>
        <v>x</v>
      </c>
      <c r="KG223" s="112"/>
      <c r="KH223" s="112"/>
      <c r="KI223" s="112"/>
      <c r="KJ223" s="112"/>
      <c r="KK223" s="112"/>
      <c r="KL223" s="112"/>
      <c r="KM223" s="112"/>
      <c r="KN223" s="112"/>
      <c r="KO223" s="112"/>
      <c r="KP223" s="112"/>
      <c r="KQ223" s="112"/>
      <c r="KR223" s="112"/>
      <c r="KS223" s="112"/>
      <c r="KT223" s="112"/>
      <c r="KU223" s="112"/>
      <c r="KV223" s="112"/>
      <c r="KW223" s="112"/>
      <c r="KX223" s="112"/>
      <c r="KY223" s="112"/>
      <c r="KZ223" s="112"/>
      <c r="LA223" s="112"/>
      <c r="LB223" s="112"/>
      <c r="LC223" s="111"/>
      <c r="LD223" s="112"/>
      <c r="LE223" s="112"/>
      <c r="LF223" s="112"/>
      <c r="LG223" s="112"/>
      <c r="LH223" s="112"/>
      <c r="LI223" s="112"/>
      <c r="LJ223" s="112"/>
      <c r="LK223" s="112"/>
      <c r="LL223" s="112"/>
      <c r="LM223" s="112"/>
      <c r="LN223" s="112"/>
      <c r="LO223" s="112"/>
      <c r="LP223" s="112"/>
      <c r="LQ223" s="112"/>
      <c r="LR223" s="112"/>
      <c r="LS223" s="112"/>
      <c r="LT223" s="112"/>
      <c r="LU223" s="112"/>
      <c r="LV223" s="112"/>
      <c r="LW223" s="112"/>
      <c r="LX223" s="112"/>
      <c r="LY223" s="112"/>
      <c r="LZ223" s="112"/>
      <c r="MA223" s="112"/>
      <c r="MB223" s="112"/>
      <c r="MC223" s="111"/>
      <c r="MD223" s="112" t="str">
        <f>HYPERLINK("http://www.rki.de/DE/Content/Infekt/IfSG/Belehrungsbogen/belehrungsbogen_lebensmittel_englisch.pdf?__blob=publicationFile","x")</f>
        <v>x</v>
      </c>
      <c r="ME223" s="112"/>
      <c r="MF223" s="112" t="str">
        <f>HYPERLINK("http://www.gdv.de/wp-content/uploads/2016/01/Information_Brandschutz_Fluechtlingsheim_-Sicherheit_mehrsprachig.pdf","x")</f>
        <v>x</v>
      </c>
      <c r="MG223" s="112" t="str">
        <f>HYPERLINK("http://www.gdv.de/wp-content/uploads/2016/01/Information_Verhalten-im-Brandfall_mehrsprachig.pdf","x")</f>
        <v>x</v>
      </c>
      <c r="MH223" s="112" t="str">
        <f>HYPERLINK("http://www.aha-region.de/fileadmin/Download/pdf/aha_Plakat_Muelltrennung_en.pdf","x")</f>
        <v>x</v>
      </c>
      <c r="MI223" s="112" t="str">
        <f>HYPERLINK("http://www.kindersicherheit.de/pdf/2012_poster_achtunggiftig_8sprachig.pdf","x")</f>
        <v>x</v>
      </c>
    </row>
    <row r="224" spans="1:347" x14ac:dyDescent="0.25">
      <c r="A224" s="102" t="s">
        <v>396</v>
      </c>
      <c r="B224" s="127" t="s">
        <v>490</v>
      </c>
      <c r="C224" s="102"/>
      <c r="D224" s="102"/>
      <c r="E224" s="102"/>
      <c r="F224" s="102"/>
      <c r="G224" s="102"/>
      <c r="H224" s="102"/>
      <c r="I224" s="102"/>
      <c r="J224" s="102"/>
      <c r="K224" s="103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2"/>
      <c r="AP224" s="112"/>
      <c r="AQ224" s="112"/>
      <c r="AR224" s="112"/>
      <c r="AS224" s="112"/>
      <c r="AT224" s="112"/>
      <c r="AU224" s="112"/>
      <c r="AV224" s="113"/>
      <c r="AW224" s="114" t="str">
        <f t="shared" si="78"/>
        <v>x</v>
      </c>
      <c r="AX224" s="114" t="str">
        <f t="shared" si="79"/>
        <v>x</v>
      </c>
      <c r="AY224" s="111"/>
      <c r="AZ224" s="111"/>
      <c r="BA224" s="112" t="str">
        <f t="shared" si="80"/>
        <v>x</v>
      </c>
      <c r="BB224" s="112" t="str">
        <f t="shared" si="81"/>
        <v>x</v>
      </c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2" t="str">
        <f t="shared" si="82"/>
        <v>x</v>
      </c>
      <c r="BT224" s="112"/>
      <c r="BU224" s="111"/>
      <c r="BV224" s="112" t="str">
        <f t="shared" si="83"/>
        <v>x</v>
      </c>
      <c r="BW224" s="112" t="str">
        <f>HYPERLINK("http://www.welcomegrooves.de/wp-content/uploads/2015/10/welcomegrooves_DE-KISWAHILI.pdf","x")</f>
        <v>x</v>
      </c>
      <c r="BX224" s="112"/>
      <c r="BY224" s="112"/>
      <c r="BZ224" s="112"/>
      <c r="CA224" s="112" t="str">
        <f t="shared" si="84"/>
        <v>x</v>
      </c>
      <c r="CB224" s="112" t="str">
        <f t="shared" si="85"/>
        <v>x</v>
      </c>
      <c r="CC224" s="112" t="str">
        <f t="shared" si="86"/>
        <v>x</v>
      </c>
      <c r="CD224" s="112"/>
      <c r="CE224" s="112"/>
      <c r="CF224" s="111"/>
      <c r="CG224" s="111"/>
      <c r="CH224" s="111"/>
      <c r="CI224" s="111"/>
      <c r="CJ224" s="112"/>
      <c r="CK224" s="112" t="str">
        <f t="shared" si="87"/>
        <v>x</v>
      </c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5"/>
      <c r="DD224" s="112"/>
      <c r="DE224" s="112"/>
      <c r="DF224" s="112" t="str">
        <f t="shared" si="88"/>
        <v>x</v>
      </c>
      <c r="DG224" s="115" t="str">
        <f t="shared" si="89"/>
        <v>x</v>
      </c>
      <c r="DH224" s="112" t="str">
        <f t="shared" si="90"/>
        <v>x</v>
      </c>
      <c r="DI224" s="112" t="str">
        <f t="shared" si="91"/>
        <v>x</v>
      </c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2"/>
      <c r="DV224" s="111"/>
      <c r="DW224" s="111"/>
      <c r="DX224" s="111"/>
      <c r="DY224" s="111"/>
      <c r="DZ224" s="111"/>
      <c r="EA224" s="111"/>
      <c r="EB224" s="112"/>
      <c r="EC224" s="112"/>
      <c r="ED224" s="111"/>
      <c r="EE224" s="111"/>
      <c r="EF224" s="111"/>
      <c r="EG224" s="111"/>
      <c r="EH224" s="111"/>
      <c r="EI224" s="111"/>
      <c r="EJ224" s="112"/>
      <c r="EK224" s="112"/>
      <c r="EL224" s="111"/>
      <c r="EM224" s="112"/>
      <c r="EN224" s="112"/>
      <c r="EO224" s="111"/>
      <c r="EP224" s="117"/>
      <c r="EQ224" s="118"/>
      <c r="ER224" s="112"/>
      <c r="ES224" s="111"/>
      <c r="ET224" s="111"/>
      <c r="EU224" s="111"/>
      <c r="EV224" s="111"/>
      <c r="EW224" s="112" t="str">
        <f t="shared" si="92"/>
        <v>x</v>
      </c>
      <c r="EX224" s="111"/>
      <c r="EY224" s="111"/>
      <c r="EZ224" s="111"/>
      <c r="FA224" s="111"/>
      <c r="FB224" s="111"/>
      <c r="FC224" s="111"/>
      <c r="FD224" s="112" t="str">
        <f t="shared" si="93"/>
        <v>x</v>
      </c>
      <c r="FE224" s="112"/>
      <c r="FF224" s="111"/>
      <c r="FG224" s="111"/>
      <c r="FH224" s="111"/>
      <c r="FI224" s="111"/>
      <c r="FJ224" s="112"/>
      <c r="FK224" s="112"/>
      <c r="FL224" s="111"/>
      <c r="FM224" s="111"/>
      <c r="FN224" s="112"/>
      <c r="FO224" s="112"/>
      <c r="FP224" s="112"/>
      <c r="FQ224" s="111"/>
      <c r="FR224" s="112"/>
      <c r="FS224" s="112"/>
      <c r="FT224" s="112"/>
      <c r="FU224" s="112"/>
      <c r="FV224" s="112"/>
      <c r="FW224" s="112"/>
      <c r="FX224" s="111"/>
      <c r="FY224" s="111"/>
      <c r="FZ224" s="111"/>
      <c r="GA224" s="111"/>
      <c r="GB224" s="111"/>
      <c r="GC224" s="111"/>
      <c r="GD224" s="111"/>
      <c r="GE224" s="111"/>
      <c r="GF224" s="111"/>
      <c r="GG224" s="111"/>
      <c r="GH224" s="112"/>
      <c r="GI224" s="111"/>
      <c r="GJ224" s="111"/>
      <c r="GK224" s="111"/>
      <c r="GL224" s="111"/>
      <c r="GM224" s="112"/>
      <c r="GN224" s="111"/>
      <c r="GO224" s="111"/>
      <c r="GP224" s="111"/>
      <c r="GQ224" s="111"/>
      <c r="GR224" s="111"/>
      <c r="GS224" s="111"/>
      <c r="GT224" s="111"/>
      <c r="GU224" s="111"/>
      <c r="GV224" s="111"/>
      <c r="GW224" s="111"/>
      <c r="GX224" s="111"/>
      <c r="GY224" s="111"/>
      <c r="GZ224" s="111"/>
      <c r="HA224" s="111"/>
      <c r="HB224" s="111"/>
      <c r="HC224" s="112" t="str">
        <f t="shared" si="94"/>
        <v>x</v>
      </c>
      <c r="HD224" s="111"/>
      <c r="HE224" s="111"/>
      <c r="HF224" s="111"/>
      <c r="HG224" s="111"/>
      <c r="HH224" s="111"/>
      <c r="HI224" s="111"/>
      <c r="HJ224" s="111"/>
      <c r="HK224" s="112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2" t="str">
        <f t="shared" si="95"/>
        <v>x</v>
      </c>
      <c r="HZ224" s="112" t="str">
        <f t="shared" si="96"/>
        <v>x</v>
      </c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2"/>
      <c r="IL224" s="111"/>
      <c r="IM224" s="111"/>
      <c r="IN224" s="111"/>
      <c r="IO224" s="111"/>
      <c r="IP224" s="111"/>
      <c r="IQ224" s="112"/>
      <c r="IR224" s="112"/>
      <c r="IS224" s="111"/>
      <c r="IT224" s="111"/>
      <c r="IU224" s="111"/>
      <c r="IV224" s="112"/>
      <c r="IW224" s="112"/>
      <c r="IX224" s="112"/>
      <c r="IY224" s="112"/>
      <c r="IZ224" s="111"/>
      <c r="JA224" s="111"/>
      <c r="JB224" s="111"/>
      <c r="JC224" s="112"/>
      <c r="JD224" s="111"/>
      <c r="JE224" s="112"/>
      <c r="JF224" s="112"/>
      <c r="JG224" s="112"/>
      <c r="JH224" s="112"/>
      <c r="JI224" s="111"/>
      <c r="JJ224" s="112"/>
      <c r="JK224" s="112"/>
      <c r="JL224" s="112"/>
      <c r="JM224" s="112"/>
      <c r="JN224" s="112"/>
      <c r="JO224" s="112"/>
      <c r="JP224" s="112"/>
      <c r="JQ224" s="112"/>
      <c r="JR224" s="112"/>
      <c r="JS224" s="112"/>
      <c r="JT224" s="112"/>
      <c r="JU224" s="111"/>
      <c r="JV224" s="111"/>
      <c r="JW224" s="112"/>
      <c r="JX224" s="112"/>
      <c r="JY224" s="111"/>
      <c r="JZ224" s="111"/>
      <c r="KA224" s="111"/>
      <c r="KB224" s="111"/>
      <c r="KC224" s="111"/>
      <c r="KD224" s="111"/>
      <c r="KE224" s="112" t="str">
        <f>HYPERLINK("http://www.frauenrechte.de/online/images/downloads/allgemein/TDF_Flyer_Women_Men.pdf","x")</f>
        <v>x</v>
      </c>
      <c r="KF224" s="112"/>
      <c r="KG224" s="111"/>
      <c r="KH224" s="111"/>
      <c r="KI224" s="111"/>
      <c r="KJ224" s="111"/>
      <c r="KK224" s="111"/>
      <c r="KL224" s="111"/>
      <c r="KM224" s="111"/>
      <c r="KN224" s="111"/>
      <c r="KO224" s="111"/>
      <c r="KP224" s="111"/>
      <c r="KQ224" s="111"/>
      <c r="KR224" s="111"/>
      <c r="KS224" s="111"/>
      <c r="KT224" s="111"/>
      <c r="KU224" s="111"/>
      <c r="KV224" s="111"/>
      <c r="KW224" s="111"/>
      <c r="KX224" s="111"/>
      <c r="KY224" s="111"/>
      <c r="KZ224" s="111"/>
      <c r="LA224" s="111"/>
      <c r="LB224" s="111"/>
      <c r="LC224" s="111"/>
      <c r="LD224" s="111"/>
      <c r="LE224" s="111"/>
      <c r="LF224" s="111"/>
      <c r="LG224" s="111"/>
      <c r="LH224" s="111"/>
      <c r="LI224" s="111"/>
      <c r="LJ224" s="111"/>
      <c r="LK224" s="111"/>
      <c r="LL224" s="111"/>
      <c r="LM224" s="111"/>
      <c r="LN224" s="111"/>
      <c r="LO224" s="111"/>
      <c r="LP224" s="111"/>
      <c r="LQ224" s="111"/>
      <c r="LR224" s="111"/>
      <c r="LS224" s="111"/>
      <c r="LT224" s="111"/>
      <c r="LU224" s="111"/>
      <c r="LV224" s="111"/>
      <c r="LW224" s="111"/>
      <c r="LX224" s="111"/>
      <c r="LY224" s="111"/>
      <c r="LZ224" s="111"/>
      <c r="MA224" s="111"/>
      <c r="MB224" s="111"/>
      <c r="MC224" s="111"/>
      <c r="MD224" s="111"/>
      <c r="ME224" s="111"/>
      <c r="MF224" s="111"/>
      <c r="MG224" s="111"/>
      <c r="MH224" s="111"/>
      <c r="MI224" s="111"/>
    </row>
    <row r="225" spans="1:347" x14ac:dyDescent="0.25">
      <c r="A225" s="102" t="s">
        <v>87</v>
      </c>
      <c r="B225" s="127" t="s">
        <v>30</v>
      </c>
      <c r="C225" s="102"/>
      <c r="D225" s="102"/>
      <c r="E225" s="102"/>
      <c r="F225" s="102"/>
      <c r="G225" s="102"/>
      <c r="H225" s="102"/>
      <c r="I225" s="102"/>
      <c r="J225" s="102"/>
      <c r="K225" s="103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2"/>
      <c r="AP225" s="112"/>
      <c r="AQ225" s="112"/>
      <c r="AR225" s="112"/>
      <c r="AS225" s="112"/>
      <c r="AT225" s="112"/>
      <c r="AU225" s="112"/>
      <c r="AV225" s="113"/>
      <c r="AW225" s="114" t="str">
        <f t="shared" si="78"/>
        <v>x</v>
      </c>
      <c r="AX225" s="114" t="str">
        <f t="shared" si="79"/>
        <v>x</v>
      </c>
      <c r="AY225" s="111"/>
      <c r="AZ225" s="111"/>
      <c r="BA225" s="112" t="str">
        <f t="shared" si="80"/>
        <v>x</v>
      </c>
      <c r="BB225" s="112" t="str">
        <f t="shared" si="81"/>
        <v>x</v>
      </c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2" t="str">
        <f t="shared" si="82"/>
        <v>x</v>
      </c>
      <c r="BT225" s="112"/>
      <c r="BU225" s="111"/>
      <c r="BV225" s="112" t="str">
        <f t="shared" si="83"/>
        <v>x</v>
      </c>
      <c r="BW225" s="112" t="str">
        <f>HYPERLINK("http://www.welcomegrooves.de/wp-content/uploads/2015/11/welcomegrooves_DE-BULGARISCH_V1.pdf","x")</f>
        <v>x</v>
      </c>
      <c r="BX225" s="112"/>
      <c r="BY225" s="112"/>
      <c r="BZ225" s="112"/>
      <c r="CA225" s="112" t="str">
        <f t="shared" si="84"/>
        <v>x</v>
      </c>
      <c r="CB225" s="112" t="str">
        <f t="shared" si="85"/>
        <v>x</v>
      </c>
      <c r="CC225" s="112" t="str">
        <f t="shared" si="86"/>
        <v>x</v>
      </c>
      <c r="CD225" s="112"/>
      <c r="CE225" s="112"/>
      <c r="CF225" s="111"/>
      <c r="CG225" s="111"/>
      <c r="CH225" s="111"/>
      <c r="CI225" s="111"/>
      <c r="CJ225" s="112" t="str">
        <f>HYPERLINK("https://www.hilfetelefon.de/fileadmin/hilfetelefon_de/Materialien/weitere_werbemittel/Klappflyer_Vorder-_und_Rueckseite_opt2.pdf","x")</f>
        <v>x</v>
      </c>
      <c r="CK225" s="112" t="str">
        <f t="shared" si="87"/>
        <v>x</v>
      </c>
      <c r="CL225" s="112"/>
      <c r="CM225" s="112"/>
      <c r="CN225" s="112"/>
      <c r="CO225" s="112"/>
      <c r="CP225" s="112" t="str">
        <f>HYPERLINK("http://www.schwanger-und-viele-fragen.de/bg/","x")</f>
        <v>x</v>
      </c>
      <c r="CQ225" s="112"/>
      <c r="CR225" s="112"/>
      <c r="CS225" s="112"/>
      <c r="CT225" s="112"/>
      <c r="CU225" s="112" t="str">
        <f>HYPERLINK("http://www.profamilia.de/fileadmin/publikationen/Erwachsene/mehrsprachig/Bro_Verhuetung_bul_141016.pdf","x")</f>
        <v>x</v>
      </c>
      <c r="CV225" s="112"/>
      <c r="CW225" s="112"/>
      <c r="CX225" s="112"/>
      <c r="CY225" s="112"/>
      <c r="CZ225" s="112"/>
      <c r="DA225" s="112"/>
      <c r="DB225" s="112"/>
      <c r="DC225" s="115"/>
      <c r="DD225" s="112"/>
      <c r="DE225" s="112"/>
      <c r="DF225" s="112" t="str">
        <f t="shared" si="88"/>
        <v>x</v>
      </c>
      <c r="DG225" s="115" t="str">
        <f t="shared" si="89"/>
        <v>x</v>
      </c>
      <c r="DH225" s="112" t="str">
        <f t="shared" si="90"/>
        <v>x</v>
      </c>
      <c r="DI225" s="112" t="str">
        <f t="shared" si="91"/>
        <v>x</v>
      </c>
      <c r="DJ225" s="112" t="str">
        <f>HYPERLINK("http://www.bibliomedia.ch/de/angebote/dokumente/Glossar_bulgarisch.pdf","x")</f>
        <v>x</v>
      </c>
      <c r="DK225" s="112"/>
      <c r="DL225" s="112"/>
      <c r="DM225" s="112"/>
      <c r="DN225" s="112"/>
      <c r="DO225" s="112"/>
      <c r="DP225" s="111"/>
      <c r="DQ225" s="112" t="str">
        <f>HYPERLINK("http://tipdoc.de/bus/grafik/kinder-tip/SCHULTIP_give_BulgRoSRB.pdf","x")</f>
        <v>x</v>
      </c>
      <c r="DR225" s="111"/>
      <c r="DS225" s="112" t="str">
        <f>HYPERLINK("http://bildung.koeln.de/materialbibliothek/download.php?idx=fa5ec5a51d71668e22b39aad7ce835b7","x")</f>
        <v>x</v>
      </c>
      <c r="DT225" s="112" t="str">
        <f>HYPERLINK("http://bildung.koeln.de/materialbibliothek/download.php?idx=b6156c96f0672121e7a1d19acc23ac96","x")</f>
        <v>x</v>
      </c>
      <c r="DU225" s="112"/>
      <c r="DV225" s="112" t="str">
        <f>HYPERLINK("https://www.bmbf.de/pub/Kausa_Elternratgeber_deutsch_bulgarisch.pdf","x")</f>
        <v>x</v>
      </c>
      <c r="DW225" s="111"/>
      <c r="DX225" s="111"/>
      <c r="DY225" s="111"/>
      <c r="DZ225" s="112" t="str">
        <f>HYPERLINK("http://www.bamf.de/SharedDocs/Anlagen/DE/Publikationen/Flyer/AnerkennungBerufsabschluss/anerkennung-berufsabschluss_bg.pdf?__blob=publicationFile","x")</f>
        <v>x</v>
      </c>
      <c r="EA225" s="112"/>
      <c r="EB225" s="112"/>
      <c r="EC225" s="112"/>
      <c r="ED225" s="111"/>
      <c r="EE225" s="111"/>
      <c r="EF225" s="111"/>
      <c r="EG225" s="111"/>
      <c r="EH225" s="111"/>
      <c r="EI225" s="111"/>
      <c r="EJ225" s="112"/>
      <c r="EK225" s="112"/>
      <c r="EL225" s="111"/>
      <c r="EM225" s="111"/>
      <c r="EN225" s="111"/>
      <c r="EO225" s="111"/>
      <c r="EP225" s="117" t="str">
        <f>HYPERLINK("http://www.medi-bild.de/pdf/anamnese/Welche_Sprache.pdf","x")</f>
        <v>x</v>
      </c>
      <c r="EQ225" s="117" t="str">
        <f>HYPERLINK("http://www.armut-gesundheit.de/fileadmin/redakteur/dokumente/Anamnesebogen%20-%20bulgarischnew.pdf","x")</f>
        <v>x</v>
      </c>
      <c r="ER225" s="111"/>
      <c r="ES225" s="111"/>
      <c r="ET225" s="111"/>
      <c r="EU225" s="111"/>
      <c r="EV225" s="111"/>
      <c r="EW225" s="112" t="str">
        <f t="shared" si="92"/>
        <v>x</v>
      </c>
      <c r="EX225" s="111"/>
      <c r="EY225" s="111"/>
      <c r="EZ225" s="111"/>
      <c r="FA225" s="111"/>
      <c r="FB225" s="111"/>
      <c r="FC225" s="111"/>
      <c r="FD225" s="112" t="str">
        <f t="shared" si="93"/>
        <v>x</v>
      </c>
      <c r="FE225" s="112" t="str">
        <f>HYPERLINK("http://sghanstedt.elbnetz.com/ueber-uns/","x")</f>
        <v>x</v>
      </c>
      <c r="FF225" s="111"/>
      <c r="FG225" s="111"/>
      <c r="FH225" s="111"/>
      <c r="FI225" s="111"/>
      <c r="FJ225" s="112"/>
      <c r="FK225" s="112" t="str">
        <f>HYPERLINK("http://www.rki.de/DE/Content/Infekt/Impfen/Materialien/Downloads-Impfkalender/Impfkalender_Bulgarisch.pdf?__blob=publicationFile","x")</f>
        <v>x</v>
      </c>
      <c r="FL225" s="112" t="str">
        <f>HYPERLINK("http://www.ethno-medizinisches-zentrum.de/images/PDF-Files/impfwegweiser_bulgarisch_2013_online.pdf","x")</f>
        <v>x</v>
      </c>
      <c r="FM225" s="112"/>
      <c r="FN225" s="111"/>
      <c r="FO225" s="111"/>
      <c r="FP225" s="112" t="str">
        <f>HYPERLINK("http://www.rki.de/DE/Content/Infekt/Impfen/Materialien/Downloads-MMR/MMR-Impfinfo-bulgarisch.pdf?__blob=publicationFile","x")</f>
        <v>x</v>
      </c>
      <c r="FQ225" s="111"/>
      <c r="FR225" s="112" t="str">
        <f>HYPERLINK("http://www.rki.de/DE/Content/Infekt/Impfen/Materialien/Downloads_HepA/Aufklaerung_HAV-Impfung_bulgarisch.pdf?__blob=publicationFile","x")</f>
        <v>x</v>
      </c>
      <c r="FS225" s="112" t="str">
        <f>HYPERLINK("http://www.rki.de/DE/Content/Infekt/Impfen/Materialien/Downloads_Pneumokokken/Aufklaerung_Pneumo-Impfung_Bulgarisch.pdf?__blob=publicationFile","x")</f>
        <v>x</v>
      </c>
      <c r="FT225" s="112" t="str">
        <f>HYPERLINK("http://www.rki.de/DE/Content/Infekt/Impfen/Materialien/Downloads-DTaPIPVHibHepB/DTaPIPVHibHepB_bulgarisch.pdf?__blob=publicationFile","x")</f>
        <v>x</v>
      </c>
      <c r="FU22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225" s="112" t="str">
        <f>HYPERLINK("http://www.rki.de/DE/Content/Infekt/Impfen/Materialien/Downloads-Tdap-IPV/Tdap-IPV-bulgarisch.pdf?__blob=publicationFile","x")</f>
        <v>x</v>
      </c>
      <c r="FW225" s="112" t="str">
        <f>HYPERLINK("http://www.rki.de/DE/Content/Infekt/Impfen/Materialien/Downloads-Influenza_nasal/Influenza_nasal-bulgarisch.pdf?__blob=publicationFile","x")</f>
        <v>x</v>
      </c>
      <c r="FX225" s="111"/>
      <c r="FY225" s="111"/>
      <c r="FZ225" s="111"/>
      <c r="GA225" s="111"/>
      <c r="GB225" s="111"/>
      <c r="GC225" s="111"/>
      <c r="GD225" s="112" t="str">
        <f>HYPERLINK("http://www.ethno-medizinisches-zentrum.de/images/PDF-Files/lf_diabete_bulgarish.pdf","x")</f>
        <v>x</v>
      </c>
      <c r="GE225" s="111"/>
      <c r="GF225" s="111"/>
      <c r="GG225" s="111"/>
      <c r="GH225" s="111"/>
      <c r="GI225" s="111"/>
      <c r="GJ225" s="111"/>
      <c r="GK225" s="111"/>
      <c r="GL225" s="111"/>
      <c r="GM225" s="112" t="str">
        <f>HYPERLINK("http://www.rki.de/DE/Content/Infekt/Impfen/Materialien/Downloads-Influenza/Influenza-bulgarisch.pdf?__blob=publicationFile","x")</f>
        <v>x</v>
      </c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2" t="str">
        <f t="shared" si="94"/>
        <v>x</v>
      </c>
      <c r="HD225" s="111"/>
      <c r="HE225" s="111"/>
      <c r="HF225" s="111"/>
      <c r="HG225" s="111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2" t="str">
        <f t="shared" si="95"/>
        <v>x</v>
      </c>
      <c r="HZ225" s="112" t="str">
        <f t="shared" si="96"/>
        <v>x</v>
      </c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2"/>
      <c r="IL225" s="111"/>
      <c r="IM225" s="111"/>
      <c r="IN225" s="112" t="str">
        <f>HYPERLINK("https://www.bamf.de/SharedDocs/Anlagen/DE/Publikationen/Broschueren/willkommen-in-deutschland_bg.pdf?__blob=publicationFile","x")</f>
        <v>x</v>
      </c>
      <c r="IO225" s="112"/>
      <c r="IP225" s="111"/>
      <c r="IQ225" s="112" t="str">
        <f>HYPERLINK("http://www.bamf.de/SharedDocs/Anlagen/DE/Publikationen/Flyer/Lernen-Sie-Deutsch/lernen-sie-deutsch_bg.pdf?__blob=publicationFile","x")</f>
        <v>x</v>
      </c>
      <c r="IR225" s="112"/>
      <c r="IS225" s="111"/>
      <c r="IT225" s="111"/>
      <c r="IU225" s="111"/>
      <c r="IV225" s="112"/>
      <c r="IW225" s="112"/>
      <c r="IX225" s="112"/>
      <c r="IY225" s="112"/>
      <c r="IZ225" s="111"/>
      <c r="JA225" s="111"/>
      <c r="JB225" s="111"/>
      <c r="JC225" s="112"/>
      <c r="JD225" s="111"/>
      <c r="JE225" s="112"/>
      <c r="JF225" s="112"/>
      <c r="JG225" s="112"/>
      <c r="JH225" s="112"/>
      <c r="JI225" s="111"/>
      <c r="JJ225" s="112"/>
      <c r="JK225" s="112"/>
      <c r="JL225" s="112"/>
      <c r="JM225" s="112" t="str">
        <f>HYPERLINK("https://www.arbeitsagentur.de/web/content/DE/Formulare/Detail/index.htm?dfContentId=L6019022DSTBAI485740","x")</f>
        <v>x</v>
      </c>
      <c r="JN225" s="112"/>
      <c r="JO225" s="112"/>
      <c r="JP225" s="112"/>
      <c r="JQ225" s="112"/>
      <c r="JR225" s="112" t="str">
        <f>HYPERLINK("http://www.ibla-germany.de/merkblaetter.php","x")</f>
        <v>x</v>
      </c>
      <c r="JS225" s="112"/>
      <c r="JT225" s="111"/>
      <c r="JU225" s="111"/>
      <c r="JV225" s="111"/>
      <c r="JW225" s="112"/>
      <c r="JX225" s="112"/>
      <c r="JY225" s="111"/>
      <c r="JZ225" s="111"/>
      <c r="KA225" s="111"/>
      <c r="KB225" s="111"/>
      <c r="KC225" s="111"/>
      <c r="KD225" s="111"/>
      <c r="KE225" s="111"/>
      <c r="KF225" s="111"/>
      <c r="KG225" s="111"/>
      <c r="KH225" s="111"/>
      <c r="KI225" s="111"/>
      <c r="KJ225" s="111"/>
      <c r="KK225" s="111"/>
      <c r="KL225" s="111"/>
      <c r="KM225" s="111"/>
      <c r="KN225" s="111"/>
      <c r="KO225" s="111"/>
      <c r="KP225" s="111"/>
      <c r="KQ225" s="111"/>
      <c r="KR225" s="111"/>
      <c r="KS225" s="111"/>
      <c r="KT225" s="111"/>
      <c r="KU225" s="111"/>
      <c r="KV225" s="111"/>
      <c r="KW225" s="111"/>
      <c r="KX225" s="111"/>
      <c r="KY225" s="111"/>
      <c r="KZ225" s="111"/>
      <c r="LA225" s="111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  <c r="MI225" s="111"/>
    </row>
    <row r="226" spans="1:347" x14ac:dyDescent="0.25">
      <c r="A226" s="102" t="s">
        <v>87</v>
      </c>
      <c r="B226" s="127" t="s">
        <v>7</v>
      </c>
      <c r="C226" s="102"/>
      <c r="D226" s="102"/>
      <c r="E226" s="102"/>
      <c r="F226" s="102"/>
      <c r="G226" s="102"/>
      <c r="H226" s="102"/>
      <c r="I226" s="102"/>
      <c r="J226" s="102"/>
      <c r="K226" s="103"/>
      <c r="L226" s="111"/>
      <c r="M226" s="111"/>
      <c r="N226" s="112" t="str">
        <f>HYPERLINK("http://www.ag-fluechtlingshilfe-wetterau.de/uploads/infos/170.pdf","x")</f>
        <v>x</v>
      </c>
      <c r="O226" s="112"/>
      <c r="P226" s="112" t="str">
        <f>HYPERLINK("https://willkommensteamelmshorn.files.wordpress.com/2015/11/sortieranleitung_pinneberg_2015_russisch.pdf","x")</f>
        <v>x</v>
      </c>
      <c r="Q226" s="112"/>
      <c r="R226" s="112"/>
      <c r="S226" s="112"/>
      <c r="T226" s="112"/>
      <c r="U226" s="112"/>
      <c r="V226" s="112"/>
      <c r="W226" s="111"/>
      <c r="X226" s="112"/>
      <c r="Y226" s="111"/>
      <c r="Z226" s="111"/>
      <c r="AA226" s="111"/>
      <c r="AB226" s="111"/>
      <c r="AC226" s="111"/>
      <c r="AD226" s="112" t="str">
        <f>HYPERLINK("http://www.rundfunkbeitrag.de/e175/e1634/Informationsflyer_Buerginnen_und_Buerger_russisch.pdf","x")</f>
        <v>x</v>
      </c>
      <c r="AE226" s="111"/>
      <c r="AF226" s="112" t="str">
        <f>HYPERLINK("http://www.kub-berlin.org/formularprojekt/de/russisch-antraege-und-anlagen/","x")</f>
        <v>x</v>
      </c>
      <c r="AG226" s="111"/>
      <c r="AH226" s="112" t="str">
        <f>HYPERLINK("http://sghanstedt.elbnetz.com/ueber-uns/","x")</f>
        <v>x</v>
      </c>
      <c r="AI226" s="111"/>
      <c r="AJ226" s="111"/>
      <c r="AK226" s="111"/>
      <c r="AL226" s="111"/>
      <c r="AM226" s="111"/>
      <c r="AN226" s="111"/>
      <c r="AO226" s="112"/>
      <c r="AP226" s="112"/>
      <c r="AQ226" s="112"/>
      <c r="AR226" s="112"/>
      <c r="AS226" s="112"/>
      <c r="AT226" s="112"/>
      <c r="AU226" s="112"/>
      <c r="AV226" s="113"/>
      <c r="AW226" s="114" t="str">
        <f t="shared" si="78"/>
        <v>x</v>
      </c>
      <c r="AX226" s="114" t="str">
        <f t="shared" si="79"/>
        <v>x</v>
      </c>
      <c r="AY226" s="111"/>
      <c r="AZ226" s="111"/>
      <c r="BA226" s="112" t="str">
        <f t="shared" si="80"/>
        <v>x</v>
      </c>
      <c r="BB226" s="112" t="str">
        <f t="shared" si="81"/>
        <v>x</v>
      </c>
      <c r="BC226" s="111"/>
      <c r="BD226" s="111"/>
      <c r="BE226" s="111"/>
      <c r="BF226" s="111"/>
      <c r="BG226" s="111"/>
      <c r="BH226" s="111"/>
      <c r="BI226" s="111"/>
      <c r="BJ226" s="111"/>
      <c r="BK226" s="112" t="str">
        <f>HYPERLINK("http://www.agf-trier.de/sites/default/files/bersetzungshilfe%20russisch%20allgemein.pdf","x")</f>
        <v>x</v>
      </c>
      <c r="BL226" s="111"/>
      <c r="BM226" s="112" t="str">
        <f>HYPERLINK("http://www.frnrw.de/images/Aus_den_Initiativen/Ehrenamtler/2015/Dictionary_x10_print-2.pdf","x")</f>
        <v>x</v>
      </c>
      <c r="BN226" s="111"/>
      <c r="BO226" s="111"/>
      <c r="BP226" s="111"/>
      <c r="BQ226" s="111"/>
      <c r="BR226" s="111"/>
      <c r="BS226" s="112" t="str">
        <f t="shared" si="82"/>
        <v>x</v>
      </c>
      <c r="BT226" s="112"/>
      <c r="BU226" s="111"/>
      <c r="BV226" s="112" t="str">
        <f t="shared" si="83"/>
        <v>x</v>
      </c>
      <c r="BW226" s="112" t="str">
        <f>HYPERLINK("http://www.welcomegrooves.de/wp-content/uploads/2015/10/welcomegrooves_DE-RUSSISCH.pdf","x")</f>
        <v>x</v>
      </c>
      <c r="BX226" s="112"/>
      <c r="BY226" s="112"/>
      <c r="BZ226" s="112"/>
      <c r="CA226" s="112" t="str">
        <f t="shared" si="84"/>
        <v>x</v>
      </c>
      <c r="CB226" s="112" t="str">
        <f t="shared" si="85"/>
        <v>x</v>
      </c>
      <c r="CC226" s="112" t="str">
        <f t="shared" si="86"/>
        <v>x</v>
      </c>
      <c r="CD226" s="112"/>
      <c r="CE226" s="112"/>
      <c r="CF226" s="112" t="str">
        <f>HYPERLINK("http://www.agf-trier.de/sites/default/files/bersetzungshilfe%20russisch%20f%C3%BCr%20Frauen.pdf","x")</f>
        <v>x</v>
      </c>
      <c r="CG226" s="112" t="str">
        <f>HYPERLINK("http://www.braunschweig.de/leben/frauen/hilfe/Ohne-Gewalt-leben.pdf","x")</f>
        <v>x</v>
      </c>
      <c r="CH226" s="112" t="str">
        <f>HYPERLINK("http://mifkjf.rlp.de/fileadmin/mifkjf/Frauen/Gewalt_gegen_Frauen/Downloads/Broschueren_Flyer/Flyer_Gewalt_russisch.pdf","x")</f>
        <v>x</v>
      </c>
      <c r="CI226" s="112" t="str">
        <f>HYPERLINK("https://www.hilfetelefon.de/fileadmin/hilfetelefon_de/Materialien/Flyer/Infoflyer_Hilfetelefon_Gewalt_gegen_Frauen141105_b2.pdf","x")</f>
        <v>x</v>
      </c>
      <c r="CJ226" s="112" t="str">
        <f>HYPERLINK("https://www.hilfetelefon.de/fileadmin/hilfetelefon_de/Materialien/weitere_werbemittel/Klappflyer_Vorder-_und_Rueckseite_opt2.pdf","x")</f>
        <v>x</v>
      </c>
      <c r="CK226" s="112" t="str">
        <f t="shared" si="87"/>
        <v>x</v>
      </c>
      <c r="CL226" s="112" t="str">
        <f>HYPERLINK("http://www.frauenberatungsstelle.de/pdf/Migrantinnen-beraten-Migrantinnen.pdf","x")</f>
        <v>x</v>
      </c>
      <c r="CM226" s="112"/>
      <c r="CN226" s="112"/>
      <c r="CO226" s="112"/>
      <c r="CP226" s="112" t="str">
        <f>HYPERLINK("http://www.schwanger-und-viele-fragen.de/ru/","x")</f>
        <v>x</v>
      </c>
      <c r="CQ226" s="112"/>
      <c r="CR226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26" s="112"/>
      <c r="CT226" s="112"/>
      <c r="CU226" s="112" t="str">
        <f>HYPERLINK("http://www.profamilia.de/fileadmin/publikationen/Erwachsene/mehrsprachig/verhuetung_russisch_2011.pdf","x")</f>
        <v>x</v>
      </c>
      <c r="CV226" s="112" t="str">
        <f>HYPERLINK("http://www.profamilia.de/fileadmin/publikationen/Erwachsene/mehrsprachig/Pille_danach_russisch_2012.pdf","x")</f>
        <v>x</v>
      </c>
      <c r="CW226" s="112" t="str">
        <f>HYPERLINK("http://www.profamilia.de/fileadmin/publikationen/Reihe_Verhuetungsmethoden/Einleger_Russisch.pdf","x")</f>
        <v>x</v>
      </c>
      <c r="CX226" s="112" t="str">
        <f>HYPERLINK("http://www.profamilia.de/fileadmin/publikationen/Erwachsene/mehrsprachig/schwangerschaftsabbruch_russisch.pdf","x")</f>
        <v>x</v>
      </c>
      <c r="CY226" s="112" t="str">
        <f>HYPERLINK("http://www.caritas-schwarzwald-alb-donau.de/68854.html","x")</f>
        <v>x</v>
      </c>
      <c r="CZ226" s="112" t="str">
        <f>HYPERLINK("http://www.dgfpi.de/tl_files/download/medien/unwissen-macht-ru.pdf","x")</f>
        <v>x</v>
      </c>
      <c r="DA226" s="112"/>
      <c r="DB226" s="112"/>
      <c r="DC226" s="115" t="str">
        <f>HYPERLINK("http://www.kindersicherheit.de/pdf/2012_Bilderbuch-Gift-Russisch.pdf","x")</f>
        <v>x</v>
      </c>
      <c r="DD226" s="112"/>
      <c r="DE226" s="112"/>
      <c r="DF226" s="112" t="str">
        <f t="shared" si="88"/>
        <v>x</v>
      </c>
      <c r="DG226" s="115" t="str">
        <f t="shared" si="89"/>
        <v>x</v>
      </c>
      <c r="DH226" s="112" t="str">
        <f t="shared" si="90"/>
        <v>x</v>
      </c>
      <c r="DI226" s="112" t="str">
        <f t="shared" si="91"/>
        <v>x</v>
      </c>
      <c r="DJ226" s="112" t="str">
        <f>HYPERLINK("http://www.bibliomedia.ch/de/angebote/dokumente/Glossar_russisch.pdf","x")</f>
        <v>x</v>
      </c>
      <c r="DK226" s="112"/>
      <c r="DL226" s="112"/>
      <c r="DM226" s="112"/>
      <c r="DN226" s="112"/>
      <c r="DO226" s="112"/>
      <c r="DP226" s="111"/>
      <c r="DQ226" s="112" t="str">
        <f>HYPERLINK("http://tipdoc.de/bus/grafik/kinder-tip/SCHULTIP_give_didacta.pdf","x")</f>
        <v>x</v>
      </c>
      <c r="DR226" s="112" t="str">
        <f>HYPERLINK("https://broschueren.nordrheinwestfalendirekt.de/broschuerenservice/msw/rus-das-schulsystem-in-nordrhein-westfalen-einfach-und-schnell-erklaert/1905","x")</f>
        <v>x</v>
      </c>
      <c r="DS226" s="112" t="str">
        <f>HYPERLINK("http://bildung.koeln.de/materialbibliothek/download.php?idx=89409237e8c48c84d1f410e2c231c942","x")</f>
        <v>x</v>
      </c>
      <c r="DT226" s="112" t="str">
        <f>HYPERLINK("http://bildung.koeln.de/materialbibliothek/download.php?idx=3e35937e1b8f8986880efaf07701a323","x")</f>
        <v>x</v>
      </c>
      <c r="DU226" s="112"/>
      <c r="DV226" s="112" t="str">
        <f>HYPERLINK("https://www.bmbf.de/pub/Kausa_Elternbroschuere_russisch.pdf","x")</f>
        <v>x</v>
      </c>
      <c r="DW226" s="112"/>
      <c r="DX226" s="112"/>
      <c r="DY226" s="112" t="str">
        <f>HYPERLINK("http://www.bamf.de/SharedDocs/Anlagen/DE/Publikationen/Flyer/AnerkennungBerufsabschluss/berufliche_anerkennung_akademische-heilberufe_ru.pdf?__blob=publicationFile","x")</f>
        <v>x</v>
      </c>
      <c r="DZ226" s="112" t="str">
        <f>HYPERLINK("http://www.bamf.de/SharedDocs/Anlagen/RU/Publikationen/Flyer/AnerkennungBerufsabschluss/anerkennung-berufsabschluss.pdf?__blob=publicationFile","x")</f>
        <v>x</v>
      </c>
      <c r="EA226" s="112" t="str">
        <f>HYPERLINK("http://www.bamf.de/SharedDocs/Anlagen/RU/Publikationen/Flyer/AnerkennungBerufsabschluss/anerkennung-berufsabschluss_ausland.pdf?__blob=publicationFile","x")</f>
        <v>x</v>
      </c>
      <c r="EB226" s="112" t="str">
        <f>HYPERLINK("http://www.bamf.de/SharedDocs/Anlagen/DE/Publikationen/Broschueren/willkommen-in-deutschland-info-blaue-karte-eu_ru.pdf?__blob=publicationFile","x")</f>
        <v>x</v>
      </c>
      <c r="EC226" s="112" t="str">
        <f>HYPERLINK("http://www.bamf.de/SharedDocs/Anlagen/RU/Publikationen/Flyer/Berufsbezsprachf-ESF-BAMF/berufsbezsprachf-esf-bamf.pdf?__blob=publicationFile","x")</f>
        <v>x</v>
      </c>
      <c r="ED226" s="111"/>
      <c r="EE226" s="111"/>
      <c r="EF226" s="111"/>
      <c r="EG226" s="111"/>
      <c r="EH226" s="111"/>
      <c r="EI226" s="111"/>
      <c r="EJ226" s="112"/>
      <c r="EK226" s="112"/>
      <c r="EL226" s="112"/>
      <c r="EM226" s="112" t="str">
        <f>HYPERLINK("http://www.kvs-sachsen.de/fileadmin/img/Mitglieder/Asylbewerber/Allg-Informationen/Anlage_1_Russisch_LEK.pdf","x")</f>
        <v>x</v>
      </c>
      <c r="EN226" s="112" t="str">
        <f>HYPERLINK("http://www.medizin-hilft-fluechtlingen.de/images/Dokumente/gSch/gSch_ru.pdf","x")</f>
        <v>x</v>
      </c>
      <c r="EO226" s="111"/>
      <c r="EP226" s="117" t="str">
        <f>HYPERLINK("http://www.medi-bild.de/pdf/anamnese/Welche_Sprache.pdf","x")</f>
        <v>x</v>
      </c>
      <c r="EQ226" s="117" t="str">
        <f>HYPERLINK("http://www.armut-gesundheit.de/fileadmin/redakteur/dokumente/Anamnesebogen%20-%20russischnew.pdf","x")</f>
        <v>x</v>
      </c>
      <c r="ER226" s="112" t="str">
        <f>HYPERLINK("http://www.kvs-sachsen.de/fileadmin/img/Mitglieder/Asylbewerber/Allg-Informationen/Anlagen_2-1_2-2_Russisch_LEK.pdf","x")</f>
        <v>x</v>
      </c>
      <c r="ES226" s="111"/>
      <c r="ET226" s="111"/>
      <c r="EU226" s="111"/>
      <c r="EV226" s="111"/>
      <c r="EW226" s="112" t="str">
        <f t="shared" si="92"/>
        <v>x</v>
      </c>
      <c r="EX226" s="112" t="str">
        <f>HYPERLINK("http://www.rki.de/DE/Content/Infekt/IfSG/Belehrungsbogen/belehrungsbogen_eltern_russisch.pdf?__blob=publicationFile","x")</f>
        <v>x</v>
      </c>
      <c r="EY226" s="112" t="str">
        <f>HYPERLINK("http://www.bzga.de/infomaterialien/?sid=236","x")</f>
        <v>x</v>
      </c>
      <c r="EZ226" s="112" t="str">
        <f>HYPERLINK("https://www.mh-hannover.de/fileadmin/mhh/bilder/aktuelles_presse/presseinformationen_news/-Pilzvergif_RUSSISCH_2.pdf","x")</f>
        <v>x</v>
      </c>
      <c r="FA226" s="112"/>
      <c r="FB226" s="111"/>
      <c r="FC226" s="111"/>
      <c r="FD226" s="112" t="str">
        <f t="shared" si="93"/>
        <v>x</v>
      </c>
      <c r="FE226" s="112" t="str">
        <f>HYPERLINK("http://sghanstedt.elbnetz.com/ueber-uns/","x")</f>
        <v>x</v>
      </c>
      <c r="FF226" s="111"/>
      <c r="FG226" s="112" t="str">
        <f>HYPERLINK("http://www.tipdoc.de/grafik/asyl/Gesundheitsheft_Asyl.pdf","x")</f>
        <v>x</v>
      </c>
      <c r="FH226" s="111"/>
      <c r="FI226" s="111"/>
      <c r="FJ226" s="112"/>
      <c r="FK226" s="112" t="str">
        <f>HYPERLINK("http://www.rki.de/DE/Content/Infekt/Impfen/Materialien/Downloads-Impfkalender/Impfkalender_Russisch.pdf?__blob=publicationFile","x")</f>
        <v>x</v>
      </c>
      <c r="FL226" s="112" t="str">
        <f>HYPERLINK("http://www.ethno-medizinisches-zentrum.de/images/PDF-Files/impfwegweiser_russisch_2013_online.pdf","x")</f>
        <v>x</v>
      </c>
      <c r="FM226" s="112"/>
      <c r="FN226" s="112" t="str">
        <f>HYPERLINK("http://www.rki.de/DE/Content/Infekt/Impfen/Materialien/Glossar-Downloads/glossar-de-russisch.pdf?__blob=publicationFile","x")</f>
        <v>x</v>
      </c>
      <c r="FO226" s="112" t="str">
        <f>HYPERLINK("http://tvoyashkola10.ru/img/VPD-Signs,-symptoms-and-complications-RUS.pdf","x")</f>
        <v>x</v>
      </c>
      <c r="FP226" s="112" t="str">
        <f>HYPERLINK("http://www.rki.de/DE/Content/Infekt/Impfen/Materialien/Downloads-MMR/MMR-Impfinfo-russisch.pdf?__blob=publicationFile","x")</f>
        <v>x</v>
      </c>
      <c r="FQ226" s="112"/>
      <c r="FR226" s="112" t="str">
        <f>HYPERLINK("http://www.rki.de/DE/Content/Infekt/Impfen/Materialien/Downloads_HepA/Aufklaerung_HAV-Impfung_Russisch.pdf?__blob=publicationFile","x")</f>
        <v>x</v>
      </c>
      <c r="FS226" s="112" t="str">
        <f>HYPERLINK("http://www.rki.de/DE/Content/Infekt/Impfen/Materialien/Downloads_Pneumokokken/Aufklaerung_Pneumo-Impfung_Russisch.pdf?__blob=publicationFile","x")</f>
        <v>x</v>
      </c>
      <c r="FT226" s="112" t="str">
        <f>HYPERLINK("http://www.rki.de/DE/Content/Infekt/Impfen/Materialien/Downloads-DTaPIPVHibHepB/DTaPIPVHibHepB-russisch.pdf?__blob=publicationFile","x")</f>
        <v>x</v>
      </c>
      <c r="FU226" s="112" t="str">
        <f>HYPERLINK("http://www.rki.de/DE/Content/Infekt/Impfen/Materialien/Downloads-Varizellen/Varizellen-Impfinfo-russisch.pdf;jsessionid=65B697F4EE7EDA8A1ED9E2C4CD6C74EC.2_cid363?__blob=publicationFile","x")</f>
        <v>x</v>
      </c>
      <c r="FV226" s="112" t="str">
        <f>HYPERLINK("http://www.rki.de/DE/Content/Infekt/Impfen/Materialien/Downloads-Tdap-IPV/Tdap-IPV-russisch.pdf?__blob=publicationFile","x")</f>
        <v>x</v>
      </c>
      <c r="FW226" s="112" t="str">
        <f>HYPERLINK("http://www.rki.de/DE/Content/Infekt/Impfen/Materialien/Downloads-Influenza_nasal/Influenza_nasal-russisch.pdf?__blob=publicationFile","x")</f>
        <v>x</v>
      </c>
      <c r="FX226" s="112" t="str">
        <f>HYPERLINK("http://www.medical-tribune.de/fileadmin/PDF/PI_Arthrose_russ.pdf","x")</f>
        <v>x</v>
      </c>
      <c r="FY226" s="112" t="str">
        <f>HYPERLINK("http://www.medical-tribune.de/fileadmin/PDF/Astma_russisch.pdf","x")</f>
        <v>x</v>
      </c>
      <c r="FZ226" s="112" t="str">
        <f>HYPERLINK("http://www.medical-tribune.de/fileadmin/PDF/Bluthochdruck_russisch.pdf","x")</f>
        <v>x</v>
      </c>
      <c r="GA226" s="112" t="str">
        <f>HYPERLINK("http://www.medical-tribune.de/fileadmin/PDF/Cholesterin_russisch.pdf","x")</f>
        <v>x</v>
      </c>
      <c r="GB226" s="112" t="str">
        <f>HYPERLINK("http://www.medical-tribune.de/fileadmin/PDF/COPD-Bronchitis-russ.pdf","x")</f>
        <v>x</v>
      </c>
      <c r="GC226" s="112" t="str">
        <f>HYPERLINK("http://www.medical-tribune.de/fileadmin/PDF/PI_Demenz_russ.pdf","x")</f>
        <v>x</v>
      </c>
      <c r="GD226" s="112" t="str">
        <f>HYPERLINK("http://www.ethno-medizinisches-zentrum.de/images/PDF-Files/lf_diabete_russisch.pdf","x")</f>
        <v>x</v>
      </c>
      <c r="GE226" s="112" t="str">
        <f>HYPERLINK("http://www.medical-tribune.de/fileadmin/PDF/PI_Divertikel_russ.pdf","x")</f>
        <v>x</v>
      </c>
      <c r="GF226" s="112" t="str">
        <f>HYPERLINK("http://www.medical-tribune.de/fileadmin/PDF/PAVK_russ.pdf","x")</f>
        <v>x</v>
      </c>
      <c r="GG226" s="112" t="str">
        <f>HYPERLINK("http://www.medical-tribune.de/fileadmin/PDF/PI_Gallensteine_russ.pdf","x")</f>
        <v>x</v>
      </c>
      <c r="GH226" s="112" t="str">
        <f>HYPERLINK("http://www.medical-tribune.de/fileadmin/PDF/Gicht_russisch.pdf","x")</f>
        <v>x</v>
      </c>
      <c r="GI226" s="112" t="str">
        <f>HYPERLINK("http://www.tipdoc.de/bus/pdf/hepatitis/Hep_B_Webseite.pdf","x")</f>
        <v>x</v>
      </c>
      <c r="GJ226" s="112" t="str">
        <f>HYPERLINK("http://www.tipdoc.de/bus/pdf/hepatitis/Hep_C_Webseite.pdf","x")</f>
        <v>x</v>
      </c>
      <c r="GK226" s="112" t="str">
        <f>HYPERLINK("http://www.tipdoc.de/bus/pdf/hiv/HIV%20SRF_Webseite.pdf","x")</f>
        <v>x</v>
      </c>
      <c r="GL226" s="111"/>
      <c r="GM226" s="112" t="str">
        <f>HYPERLINK("http://www.rki.de/DE/Content/Infekt/Impfen/Materialien/Downloads-Influenza/Influenza-russisch.pdf?__blob=publicationFile","x")</f>
        <v>x</v>
      </c>
      <c r="GN226" s="112" t="str">
        <f>HYPERLINK("http://www.medical-tribune.de/fileadmin/PDF/PI_Erkaeltung_russ.pdf","x")</f>
        <v>x</v>
      </c>
      <c r="GO226" s="112"/>
      <c r="GP226" s="112" t="str">
        <f>HYPERLINK("http://www.tipdoc.de/grafik/pdf/kopflaeuse/Kopflaeuse_RUSS.pdf","x")</f>
        <v>x</v>
      </c>
      <c r="GQ226" s="112" t="str">
        <f>HYPERLINK("http://www.bing.com/search?q=Medical+tribune+KHK+russ&amp;qs=n&amp;form=QBRE&amp;pq=medical+tribune+khk+russ&amp;sc=0-16&amp;sp=-1&amp;sk=&amp;cvid=9C7440E0A0144B029D31F2004BF1F219","x")</f>
        <v>x</v>
      </c>
      <c r="GR226" s="112" t="str">
        <f>HYPERLINK("http://www.tipdoc.com/bus/pdf/kraetze/tipdoc_Scabies_RUSS.pdf","x")</f>
        <v>x</v>
      </c>
      <c r="GS226" s="112" t="str">
        <f>HYPERLINK("http://www.tipdoc.com/bus/pdf/MagenDarmHaende/MagenDarmHaende_RUSS.pdf","x")</f>
        <v>x</v>
      </c>
      <c r="GT226" s="112" t="str">
        <f>HYPERLINK("http://www.medical-tribune.de/fileadmin/PDF/Migraene_russ.pdf","x")</f>
        <v>x</v>
      </c>
      <c r="GU226" s="112" t="str">
        <f>HYPERLINK("http://www.medical-tribune.de/fileadmin/PDF/Rueckenschmerzen_russisch.pdf","x")</f>
        <v>x</v>
      </c>
      <c r="GV226" s="112" t="str">
        <f>HYPERLINK("http://www.medical-tribune.de/fileadmin/PDF/Schlafapnoe_russisch.pdf","x")</f>
        <v>x</v>
      </c>
      <c r="GW226" s="112" t="str">
        <f>HYPERLINK("http://www.medical-tribune.de/fileadmin/PDF/Schlafstoerungen_russisch.pdf","x")</f>
        <v>x</v>
      </c>
      <c r="GX226" s="112" t="str">
        <f>HYPERLINK("http://www.medical-tribune.de/fileadmin/PDF/Schwindel_russisch.pdf","x")</f>
        <v>x</v>
      </c>
      <c r="GY226" s="112" t="str">
        <f>HYPERLINK("http://www.medical-tribune.de/fileadmin/PDF/Sodbrennen_russisch.pdf","x")</f>
        <v>x</v>
      </c>
      <c r="GZ226" s="112" t="str">
        <f>HYPERLINK("http://www.medical-tribune.de/fileadmin/PDF/Sportverletzungen_russisch.pdf","x")</f>
        <v>x</v>
      </c>
      <c r="HA226" s="112" t="str">
        <f>HYPERLINK("http://www.medical-tribune.de/fileadmin/PDF/Thrombose_russisch.pdf","x")</f>
        <v>x</v>
      </c>
      <c r="HB226" s="112" t="str">
        <f>HYPERLINK("http://www.medical-tribune.de/fileadmin/PDF/Verstopfung_russisch.pdf","x")</f>
        <v>x</v>
      </c>
      <c r="HC226" s="112" t="str">
        <f t="shared" si="94"/>
        <v>x</v>
      </c>
      <c r="HD226" s="111"/>
      <c r="HE226" s="111"/>
      <c r="HF226" s="111"/>
      <c r="HG226" s="111"/>
      <c r="HH226" s="111"/>
      <c r="HI226" s="112" t="str">
        <f>HYPERLINK("http://www.bvkm.de/fileadmin/web_data/Behinderung_und_Migation_russisch_2014.pdf","x")</f>
        <v>x</v>
      </c>
      <c r="HJ226" s="111"/>
      <c r="HK226" s="112"/>
      <c r="HL226" s="112" t="str">
        <f>HYPERLINK("http://www.ethno-medizinisches-zentrum.de/images/PDF-Files/lf_depression_rus.pdf","x")</f>
        <v>x</v>
      </c>
      <c r="HM226" s="112"/>
      <c r="HN226" s="112"/>
      <c r="HO226" s="112"/>
      <c r="HP226" s="112"/>
      <c r="HQ226" s="112"/>
      <c r="HR226" s="112"/>
      <c r="HS226" s="112"/>
      <c r="HT226" s="112"/>
      <c r="HU226" s="112"/>
      <c r="HV226" s="112"/>
      <c r="HW226" s="112" t="str">
        <f>HYPERLINK("http://www.medical-tribune.de/fileadmin/PDF/RestlessLegs_russ.pdf","x")</f>
        <v>x</v>
      </c>
      <c r="HX226" s="112" t="str">
        <f>HYPERLINK("http://www.bkk-psychisch-gesund.de/fileadmin/user_upload/bkk-psychisch-gesund.de/PDFs/Migrantenwegweiser_Psychotherpie_russisch.pdf","x")</f>
        <v>x</v>
      </c>
      <c r="HY226" s="112" t="str">
        <f t="shared" si="95"/>
        <v>x</v>
      </c>
      <c r="HZ226" s="112" t="str">
        <f t="shared" si="96"/>
        <v>x</v>
      </c>
      <c r="IA226" s="112"/>
      <c r="IB226" s="112"/>
      <c r="IC226" s="112"/>
      <c r="ID226" s="112"/>
      <c r="IE226" s="112"/>
      <c r="IF226" s="112"/>
      <c r="IG226" s="112"/>
      <c r="IH226" s="112" t="str">
        <f>HYPERLINK("http://www.ethno-medizinisches-zentrum.de/images/PDF-Files/lf_mediensucht_ru_geschutzt.pdf","x")</f>
        <v>x</v>
      </c>
      <c r="II226" s="112" t="str">
        <f>HYPERLINK("http://www.caritas.de/hilfeundberatung/onlineberatung/suchtberatung/haeufiggestelltefragensucht/haeufiggestelltefragen-sucht","x")</f>
        <v>x</v>
      </c>
      <c r="IJ226" s="112" t="str">
        <f>HYPERLINK("http://www.bzga.de/infomaterialien/suchtvorbeugung/","x")</f>
        <v>x</v>
      </c>
      <c r="IK226" s="112" t="str">
        <f>HYPERLINK("http://www.bamf.de/SharedDocs/Anlagen/RU/Publikationen/Flyer/Lassen-Sie-Sich-Beraten/lassen-sie-sich-beraten.pdf?__blob=publicationFile","x")</f>
        <v>x</v>
      </c>
      <c r="IL226" s="112" t="str">
        <f>HYPERLINK("http://www.bamf.de/SharedDocs/Anlagen/DE/Publikationen/Flyer/flyer-erstorientierung-asylsuchende_russisch.pdf?__blob=publicationFile","x")</f>
        <v>x</v>
      </c>
      <c r="IM226" s="111"/>
      <c r="IN226" s="112" t="str">
        <f>HYPERLINK("https://www.bamf.de/SharedDocs/Anlagen/RU/Publikationen/Broschueren/willkommen-in-deutschland-ru.pdf?__blob=publicationFile","x")</f>
        <v>x</v>
      </c>
      <c r="IO226" s="112"/>
      <c r="IP226" s="111"/>
      <c r="IQ226" s="112" t="str">
        <f>HYPERLINK("http://www.bamf.de/SharedDocs/Anlagen/RU/Publikationen/Flyer/Lernen-Sie-Deutsch/lernen-sie-deutsch.pdf?__blob=publicationFile","x")</f>
        <v>x</v>
      </c>
      <c r="IR226" s="112"/>
      <c r="IS226" s="111"/>
      <c r="IT226" s="111"/>
      <c r="IU226" s="111"/>
      <c r="IV226" s="112" t="str">
        <f>HYPERLINK("http://www.asyl.net/fileadmin/user_upload/infoblatt_anhoerung/Infoblatt_2015_russ_fin.pdf","x")</f>
        <v>x</v>
      </c>
      <c r="IW226" s="112"/>
      <c r="IX226" s="112" t="str">
        <f>HYPERLINK("http://www.berlin.de/labo/willkommen-in-berlin/service/downloads/artikel.273193.php","x")</f>
        <v>x</v>
      </c>
      <c r="IY226" s="112" t="str">
        <f>HYPERLINK("http://www.bamf.de/SharedDocs/Anlagen/RU/Publikationen/Broschueren/broschuere-eat-a4.pdf?__blob=publicationFile","x")</f>
        <v>x</v>
      </c>
      <c r="IZ226" s="111"/>
      <c r="JA226" s="112" t="str">
        <f>HYPERLINK("http://fluechtlingsrat-bw.de/informationen-fuer-fluechtlinge.html","x")</f>
        <v>x</v>
      </c>
      <c r="JB226" s="111"/>
      <c r="JC226" s="112"/>
      <c r="JD226" s="111"/>
      <c r="JE226" s="112"/>
      <c r="JF226" s="112"/>
      <c r="JG226" s="112" t="str">
        <f>HYPERLINK("http://www.bamf.de/SharedDocs/Anlagen/RU/Publikationen/Flyer/Ehegattennachzug/ehegattennachzug.pdf?__blob=publicationFile","x")</f>
        <v>x</v>
      </c>
      <c r="JH226" s="112"/>
      <c r="JI226" s="111"/>
      <c r="JJ226" s="112"/>
      <c r="JK226" s="112"/>
      <c r="JL226" s="112" t="str">
        <f>HYPERLINK("http://www.kub-berlin.org/formularprojekt/de/russisch-antraege-und-anlagen/","x")</f>
        <v>x</v>
      </c>
      <c r="JM226" s="112" t="str">
        <f>HYPERLINK("https://www.arbeitsagentur.de/web/content/DE/Formulare/Detail/index.htm?dfContentId=L6019022DSTBAI485740","x")</f>
        <v>x</v>
      </c>
      <c r="JN226" s="112"/>
      <c r="JO226" s="112"/>
      <c r="JP226" s="112"/>
      <c r="JQ226" s="112"/>
      <c r="JR226" s="112" t="str">
        <f>HYPERLINK("http://www.ibla-germany.de/merkblaetter.php","x")</f>
        <v>x</v>
      </c>
      <c r="JS226" s="112"/>
      <c r="JT226" s="112" t="str">
        <f>HYPERLINK("http://www.b-umf.de/images/willkommensbroschurerussisch-web.pdf","x")</f>
        <v>x</v>
      </c>
      <c r="JU226" s="111"/>
      <c r="JV226" s="111"/>
      <c r="JW226" s="112"/>
      <c r="JX226" s="112"/>
      <c r="JY226" s="112"/>
      <c r="JZ226" s="112"/>
      <c r="KA226" s="112"/>
      <c r="KB226" s="112" t="str">
        <f>HYPERLINK("http://www.refugeeguide.de/dl/RefugeeGuide_ru_1207.pdf","x")</f>
        <v>x</v>
      </c>
      <c r="KC226" s="111"/>
      <c r="KD226" s="112" t="str">
        <f>HYPERLINK("http://www.wedel.de/fileadmin/user_upload/media/pdf/Rathaus_und_Politik/20160118_PM_Broschuere.pdf","x")</f>
        <v>x</v>
      </c>
      <c r="KE226" s="112"/>
      <c r="KF226" s="112" t="str">
        <f>HYPERLINK("http://sab.landtag.sachsen.de/dokumente/landtagskurier/Grundwerte-A5-international_web_08012016.pdf","x")</f>
        <v>x</v>
      </c>
      <c r="KG226" s="112"/>
      <c r="KH226" s="112"/>
      <c r="KI226" s="112"/>
      <c r="KJ226" s="112"/>
      <c r="KK226" s="112"/>
      <c r="KL226" s="112"/>
      <c r="KM226" s="112"/>
      <c r="KN226" s="112"/>
      <c r="KO226" s="112"/>
      <c r="KP226" s="112"/>
      <c r="KQ226" s="112"/>
      <c r="KR226" s="112"/>
      <c r="KS226" s="112"/>
      <c r="KT226" s="112"/>
      <c r="KU226" s="112"/>
      <c r="KV226" s="112"/>
      <c r="KW226" s="112"/>
      <c r="KX226" s="112"/>
      <c r="KY226" s="112"/>
      <c r="KZ226" s="112"/>
      <c r="LA226" s="112"/>
      <c r="LB226" s="112"/>
      <c r="LC226" s="111"/>
      <c r="LD226" s="111"/>
      <c r="LE226" s="111"/>
      <c r="LF226" s="111"/>
      <c r="LG226" s="111"/>
      <c r="LH226" s="111"/>
      <c r="LI226" s="111"/>
      <c r="LJ226" s="111"/>
      <c r="LK226" s="111"/>
      <c r="LL226" s="111"/>
      <c r="LM226" s="111"/>
      <c r="LN226" s="111"/>
      <c r="LO226" s="111"/>
      <c r="LP226" s="111"/>
      <c r="LQ226" s="111"/>
      <c r="LR226" s="111"/>
      <c r="LS226" s="111"/>
      <c r="LT226" s="111"/>
      <c r="LU226" s="111"/>
      <c r="LV226" s="111"/>
      <c r="LW226" s="111"/>
      <c r="LX226" s="111"/>
      <c r="LY226" s="111"/>
      <c r="LZ226" s="111"/>
      <c r="MA226" s="111"/>
      <c r="MB226" s="111"/>
      <c r="MC226" s="111"/>
      <c r="MD226" s="112" t="str">
        <f>HYPERLINK("http://www.rki.de/DE/Content/Infekt/IfSG/Belehrungsbogen/belehrungsbogen_lebensmittel_russisch.pdf?__blob=publicationFile","x")</f>
        <v>x</v>
      </c>
      <c r="ME226" s="111"/>
      <c r="MF226" s="111"/>
      <c r="MG226" s="111"/>
      <c r="MH226" s="111"/>
      <c r="MI226" s="112" t="str">
        <f>HYPERLINK("http://www.kindersicherheit.de/pdf/2012_poster_achtunggiftig_8sprachig.pdf","x")</f>
        <v>x</v>
      </c>
    </row>
    <row r="227" spans="1:347" x14ac:dyDescent="0.25">
      <c r="A227" s="102" t="s">
        <v>87</v>
      </c>
      <c r="B227" s="127" t="s">
        <v>472</v>
      </c>
      <c r="C227" s="102"/>
      <c r="D227" s="102"/>
      <c r="E227" s="102"/>
      <c r="F227" s="102"/>
      <c r="G227" s="102"/>
      <c r="H227" s="102"/>
      <c r="I227" s="102"/>
      <c r="J227" s="102"/>
      <c r="K227" s="103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2" t="str">
        <f>HYPERLINK("https://www.vrsinfo.de/fileadmin/Dateien/downloadcenter/Folder_MobilPassTicket_Refugees01012016.pdf","x")</f>
        <v>x</v>
      </c>
      <c r="AL227" s="112" t="str">
        <f>HYPERLINK("https://www.vrsinfo.de/fileadmin/Dateien/downloadcenter/Willkommen_im_VRS2016_Druck.pdf","x")</f>
        <v>x</v>
      </c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3"/>
      <c r="AW227" s="114" t="str">
        <f t="shared" si="78"/>
        <v>x</v>
      </c>
      <c r="AX227" s="114" t="str">
        <f t="shared" si="79"/>
        <v>x</v>
      </c>
      <c r="AY227" s="111"/>
      <c r="AZ227" s="111"/>
      <c r="BA227" s="112" t="str">
        <f t="shared" si="80"/>
        <v>x</v>
      </c>
      <c r="BB227" s="112" t="str">
        <f t="shared" si="81"/>
        <v>x</v>
      </c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2" t="str">
        <f t="shared" si="82"/>
        <v>x</v>
      </c>
      <c r="BT227" s="112"/>
      <c r="BU227" s="111"/>
      <c r="BV227" s="112" t="str">
        <f t="shared" si="83"/>
        <v>x</v>
      </c>
      <c r="BW227" s="112"/>
      <c r="BX227" s="112"/>
      <c r="BY227" s="112"/>
      <c r="BZ227" s="112"/>
      <c r="CA227" s="112" t="str">
        <f t="shared" si="84"/>
        <v>x</v>
      </c>
      <c r="CB227" s="112" t="str">
        <f t="shared" si="85"/>
        <v>x</v>
      </c>
      <c r="CC227" s="112" t="str">
        <f t="shared" si="86"/>
        <v>x</v>
      </c>
      <c r="CD227" s="112"/>
      <c r="CE227" s="112"/>
      <c r="CF227" s="111"/>
      <c r="CG227" s="111"/>
      <c r="CH227" s="111"/>
      <c r="CI227" s="111"/>
      <c r="CJ227" s="111"/>
      <c r="CK227" s="112" t="str">
        <f t="shared" si="87"/>
        <v>x</v>
      </c>
      <c r="CL227" s="112"/>
      <c r="CM227" s="112"/>
      <c r="CN227" s="112"/>
      <c r="CO227" s="112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2"/>
      <c r="DA227" s="112"/>
      <c r="DB227" s="112"/>
      <c r="DC227" s="115"/>
      <c r="DD227" s="112"/>
      <c r="DE227" s="112"/>
      <c r="DF227" s="112" t="str">
        <f t="shared" si="88"/>
        <v>x</v>
      </c>
      <c r="DG227" s="115" t="str">
        <f t="shared" si="89"/>
        <v>x</v>
      </c>
      <c r="DH227" s="112" t="str">
        <f t="shared" si="90"/>
        <v>x</v>
      </c>
      <c r="DI227" s="112" t="str">
        <f t="shared" si="91"/>
        <v>x</v>
      </c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8"/>
      <c r="EQ227" s="118"/>
      <c r="ER227" s="111"/>
      <c r="ES227" s="111"/>
      <c r="ET227" s="111"/>
      <c r="EU227" s="111"/>
      <c r="EV227" s="111"/>
      <c r="EW227" s="112" t="str">
        <f t="shared" si="92"/>
        <v>x</v>
      </c>
      <c r="EX227" s="111"/>
      <c r="EY227" s="111"/>
      <c r="EZ227" s="111"/>
      <c r="FA227" s="111"/>
      <c r="FB227" s="111"/>
      <c r="FC227" s="111"/>
      <c r="FD227" s="112" t="str">
        <f t="shared" si="93"/>
        <v>x</v>
      </c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1"/>
      <c r="HC227" s="112" t="str">
        <f t="shared" si="94"/>
        <v>x</v>
      </c>
      <c r="HD227" s="112"/>
      <c r="HE227" s="112"/>
      <c r="HF227" s="112"/>
      <c r="HG227" s="112"/>
      <c r="HH227" s="112"/>
      <c r="HI227" s="112"/>
      <c r="HJ227" s="112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2" t="str">
        <f t="shared" si="95"/>
        <v>x</v>
      </c>
      <c r="HZ227" s="112" t="str">
        <f t="shared" si="96"/>
        <v>x</v>
      </c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1"/>
      <c r="JF227" s="111"/>
      <c r="JG227" s="111"/>
      <c r="JH227" s="111"/>
      <c r="JI227" s="111"/>
      <c r="JJ227" s="111"/>
      <c r="JK227" s="111"/>
      <c r="JL227" s="111"/>
      <c r="JM227" s="111"/>
      <c r="JN227" s="111"/>
      <c r="JO227" s="111"/>
      <c r="JP227" s="111"/>
      <c r="JQ227" s="111"/>
      <c r="JR227" s="111"/>
      <c r="JS227" s="111"/>
      <c r="JT227" s="111"/>
      <c r="JU227" s="111"/>
      <c r="JV227" s="111"/>
      <c r="JW227" s="111"/>
      <c r="JX227" s="111"/>
      <c r="JY227" s="111"/>
      <c r="JZ227" s="111"/>
      <c r="KA227" s="111"/>
      <c r="KB227" s="111"/>
      <c r="KC227" s="111"/>
      <c r="KD227" s="111"/>
      <c r="KE227" s="111"/>
      <c r="KF227" s="111"/>
      <c r="KG227" s="111"/>
      <c r="KH227" s="111"/>
      <c r="KI227" s="111"/>
      <c r="KJ227" s="111"/>
      <c r="KK227" s="111"/>
      <c r="KL227" s="111"/>
      <c r="KM227" s="111"/>
      <c r="KN227" s="111"/>
      <c r="KO227" s="111"/>
      <c r="KP227" s="111"/>
      <c r="KQ227" s="111"/>
      <c r="KR227" s="111"/>
      <c r="KS227" s="111"/>
      <c r="KT227" s="111"/>
      <c r="KU227" s="111"/>
      <c r="KV227" s="111"/>
      <c r="KW227" s="111"/>
      <c r="KX227" s="111"/>
      <c r="KY227" s="111"/>
      <c r="KZ227" s="111"/>
      <c r="LA227" s="111"/>
      <c r="LB227" s="111"/>
      <c r="LC227" s="111"/>
      <c r="LD227" s="111"/>
      <c r="LE227" s="111"/>
      <c r="LF227" s="111"/>
      <c r="LG227" s="111"/>
      <c r="LH227" s="111"/>
      <c r="LI227" s="111"/>
      <c r="LJ227" s="111"/>
      <c r="LK227" s="111"/>
      <c r="LL227" s="111"/>
      <c r="LM227" s="111"/>
      <c r="LN227" s="111"/>
      <c r="LO227" s="111"/>
      <c r="LP227" s="111"/>
      <c r="LQ227" s="111"/>
      <c r="LR227" s="111"/>
      <c r="LS227" s="111"/>
      <c r="LT227" s="111"/>
      <c r="LU227" s="111"/>
      <c r="LV227" s="111"/>
      <c r="LW227" s="111"/>
      <c r="LX227" s="111"/>
      <c r="LY227" s="111"/>
      <c r="LZ227" s="111"/>
      <c r="MA227" s="111"/>
      <c r="MB227" s="111"/>
      <c r="MC227" s="111"/>
      <c r="MD227" s="111"/>
      <c r="ME227" s="111"/>
      <c r="MF227" s="111"/>
      <c r="MG227" s="111"/>
      <c r="MH227" s="111"/>
      <c r="MI227" s="111"/>
    </row>
    <row r="228" spans="1:347" x14ac:dyDescent="0.25">
      <c r="A228" s="102" t="s">
        <v>131</v>
      </c>
      <c r="B228" s="127" t="s">
        <v>153</v>
      </c>
      <c r="C228" s="102"/>
      <c r="D228" s="102"/>
      <c r="E228" s="102"/>
      <c r="F228" s="102"/>
      <c r="G228" s="102"/>
      <c r="H228" s="102"/>
      <c r="I228" s="102"/>
      <c r="J228" s="102"/>
      <c r="K228" s="103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3"/>
      <c r="AW228" s="114" t="str">
        <f t="shared" si="78"/>
        <v>x</v>
      </c>
      <c r="AX228" s="114" t="str">
        <f t="shared" si="79"/>
        <v>x</v>
      </c>
      <c r="AY228" s="111"/>
      <c r="AZ228" s="111"/>
      <c r="BA228" s="112" t="str">
        <f t="shared" si="80"/>
        <v>x</v>
      </c>
      <c r="BB228" s="112" t="str">
        <f t="shared" si="81"/>
        <v>x</v>
      </c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2" t="str">
        <f t="shared" si="82"/>
        <v>x</v>
      </c>
      <c r="BT228" s="112"/>
      <c r="BU228" s="111"/>
      <c r="BV228" s="112" t="str">
        <f t="shared" si="83"/>
        <v>x</v>
      </c>
      <c r="BW228" s="112"/>
      <c r="BX228" s="112"/>
      <c r="BY228" s="112"/>
      <c r="BZ228" s="112"/>
      <c r="CA228" s="112" t="str">
        <f t="shared" si="84"/>
        <v>x</v>
      </c>
      <c r="CB228" s="112" t="str">
        <f t="shared" si="85"/>
        <v>x</v>
      </c>
      <c r="CC228" s="112" t="str">
        <f t="shared" si="86"/>
        <v>x</v>
      </c>
      <c r="CD228" s="112"/>
      <c r="CE228" s="112"/>
      <c r="CF228" s="111"/>
      <c r="CG228" s="111"/>
      <c r="CH228" s="111"/>
      <c r="CI228" s="111"/>
      <c r="CJ228" s="111"/>
      <c r="CK228" s="112" t="str">
        <f t="shared" si="87"/>
        <v>x</v>
      </c>
      <c r="CL228" s="112"/>
      <c r="CM228" s="112"/>
      <c r="CN228" s="112"/>
      <c r="CO228" s="112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2"/>
      <c r="DA228" s="112"/>
      <c r="DB228" s="112"/>
      <c r="DC228" s="115"/>
      <c r="DD228" s="112"/>
      <c r="DE228" s="112"/>
      <c r="DF228" s="112" t="str">
        <f t="shared" si="88"/>
        <v>x</v>
      </c>
      <c r="DG228" s="115" t="str">
        <f t="shared" si="89"/>
        <v>x</v>
      </c>
      <c r="DH228" s="112" t="str">
        <f t="shared" si="90"/>
        <v>x</v>
      </c>
      <c r="DI228" s="112" t="str">
        <f t="shared" si="91"/>
        <v>x</v>
      </c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2" t="str">
        <f>HYPERLINK("http://bildung.koeln.de/materialbibliothek/download.php?idx=ffca9a983564046e13193e94deeff609","x")</f>
        <v>x</v>
      </c>
      <c r="DT228" s="112" t="str">
        <f>HYPERLINK("http://bildung.koeln.de/materialbibliothek/download.php?idx=1a02e789389f6b5edac5f907fb9f00d3","x")</f>
        <v>x</v>
      </c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2"/>
      <c r="EN228" s="111"/>
      <c r="EO228" s="111"/>
      <c r="EP228" s="118"/>
      <c r="EQ228" s="118"/>
      <c r="ER228" s="111"/>
      <c r="ES228" s="111"/>
      <c r="ET228" s="111"/>
      <c r="EU228" s="111"/>
      <c r="EV228" s="111"/>
      <c r="EW228" s="112" t="str">
        <f t="shared" si="92"/>
        <v>x</v>
      </c>
      <c r="EX228" s="111"/>
      <c r="EY228" s="111"/>
      <c r="EZ228" s="111"/>
      <c r="FA228" s="111"/>
      <c r="FB228" s="111"/>
      <c r="FC228" s="111"/>
      <c r="FD228" s="112" t="str">
        <f t="shared" si="93"/>
        <v>x</v>
      </c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2" t="str">
        <f t="shared" si="94"/>
        <v>x</v>
      </c>
      <c r="HD228" s="112" t="str">
        <f>HYPERLINK("https://www.zahnaerzte-wl.de/images/_PDF-suche/KZV_ZÄK/ENDSTAND_Ankreuzbogen_Ich_verstehe.pdf","x")</f>
        <v>x</v>
      </c>
      <c r="HE228" s="112" t="str">
        <f>HYPERLINK("https://www.zahnaerzte-wl.de/images/_PDF-suche/KZV_ZÄK/Anschreiben_romani.pdf","x")</f>
        <v>x</v>
      </c>
      <c r="HF228" s="112" t="str">
        <f>HYPERLINK("https://www.zahnaerzte-wl.de/images/_PDF-suche/KZV_ZÄK/Fragebogen_romani.pdf","x")</f>
        <v>x</v>
      </c>
      <c r="HG228" s="112" t="str">
        <f>HYPERLINK("https://www.zahnaerzte-wl.de/images/_PDF-suche/KZV_ZÄK/Patientenerhebungsbogen_romani.pdf","x")</f>
        <v>x</v>
      </c>
      <c r="HH228" s="112"/>
      <c r="HI228" s="112"/>
      <c r="HJ228" s="112"/>
      <c r="HK228" s="112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2" t="str">
        <f t="shared" si="95"/>
        <v>x</v>
      </c>
      <c r="HZ228" s="112" t="str">
        <f t="shared" si="96"/>
        <v>x</v>
      </c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1"/>
      <c r="JY228" s="111"/>
      <c r="JZ228" s="111"/>
      <c r="KA228" s="111"/>
      <c r="KB228" s="111"/>
      <c r="KC228" s="111"/>
      <c r="KD228" s="111"/>
      <c r="KE228" s="111"/>
      <c r="KF228" s="111"/>
      <c r="KG228" s="111"/>
      <c r="KH228" s="111"/>
      <c r="KI228" s="111"/>
      <c r="KJ228" s="111"/>
      <c r="KK228" s="111"/>
      <c r="KL228" s="111"/>
      <c r="KM228" s="111"/>
      <c r="KN228" s="111"/>
      <c r="KO228" s="111"/>
      <c r="KP228" s="111"/>
      <c r="KQ228" s="111"/>
      <c r="KR228" s="111"/>
      <c r="KS228" s="111"/>
      <c r="KT228" s="111"/>
      <c r="KU228" s="111"/>
      <c r="KV228" s="111"/>
      <c r="KW228" s="111"/>
      <c r="KX228" s="111"/>
      <c r="KY228" s="111"/>
      <c r="KZ228" s="111"/>
      <c r="LA228" s="111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  <c r="MI228" s="111"/>
    </row>
    <row r="229" spans="1:347" x14ac:dyDescent="0.25">
      <c r="A229" s="102" t="s">
        <v>131</v>
      </c>
      <c r="B229" s="127" t="s">
        <v>130</v>
      </c>
      <c r="C229" s="102"/>
      <c r="D229" s="102"/>
      <c r="E229" s="102"/>
      <c r="F229" s="102"/>
      <c r="G229" s="102"/>
      <c r="H229" s="102"/>
      <c r="I229" s="102"/>
      <c r="J229" s="102"/>
      <c r="K229" s="103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3"/>
      <c r="AW229" s="114" t="str">
        <f t="shared" si="78"/>
        <v>x</v>
      </c>
      <c r="AX229" s="114" t="str">
        <f t="shared" si="79"/>
        <v>x</v>
      </c>
      <c r="AY229" s="111"/>
      <c r="AZ229" s="111"/>
      <c r="BA229" s="112" t="str">
        <f t="shared" si="80"/>
        <v>x</v>
      </c>
      <c r="BB229" s="112" t="str">
        <f t="shared" si="81"/>
        <v>x</v>
      </c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2" t="str">
        <f t="shared" si="82"/>
        <v>x</v>
      </c>
      <c r="BT229" s="112"/>
      <c r="BU229" s="111"/>
      <c r="BV229" s="112" t="str">
        <f t="shared" si="83"/>
        <v>x</v>
      </c>
      <c r="BW229" s="112"/>
      <c r="BX229" s="112"/>
      <c r="BY229" s="112"/>
      <c r="BZ229" s="112"/>
      <c r="CA229" s="112" t="str">
        <f t="shared" si="84"/>
        <v>x</v>
      </c>
      <c r="CB229" s="112" t="str">
        <f t="shared" si="85"/>
        <v>x</v>
      </c>
      <c r="CC229" s="112" t="str">
        <f t="shared" si="86"/>
        <v>x</v>
      </c>
      <c r="CD229" s="112"/>
      <c r="CE229" s="112"/>
      <c r="CF229" s="111"/>
      <c r="CG229" s="111"/>
      <c r="CH229" s="111"/>
      <c r="CI229" s="111"/>
      <c r="CJ229" s="111"/>
      <c r="CK229" s="112" t="str">
        <f t="shared" si="87"/>
        <v>x</v>
      </c>
      <c r="CL229" s="112"/>
      <c r="CM229" s="112"/>
      <c r="CN229" s="112"/>
      <c r="CO229" s="112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2"/>
      <c r="DA229" s="112"/>
      <c r="DB229" s="112"/>
      <c r="DC229" s="115"/>
      <c r="DD229" s="112"/>
      <c r="DE229" s="112"/>
      <c r="DF229" s="112" t="str">
        <f t="shared" si="88"/>
        <v>x</v>
      </c>
      <c r="DG229" s="115" t="str">
        <f t="shared" si="89"/>
        <v>x</v>
      </c>
      <c r="DH229" s="112" t="str">
        <f t="shared" si="90"/>
        <v>x</v>
      </c>
      <c r="DI229" s="112" t="str">
        <f t="shared" si="91"/>
        <v>x</v>
      </c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7"/>
      <c r="EQ229" s="117" t="str">
        <f>HYPERLINK("http://www.armut-gesundheit.de/fileadmin/redakteur/dokumente/Anamnesebogen%20-%20ungarischnew.pdf","x")</f>
        <v>x</v>
      </c>
      <c r="ER229" s="111"/>
      <c r="ES229" s="111"/>
      <c r="ET229" s="111"/>
      <c r="EU229" s="111"/>
      <c r="EV229" s="111"/>
      <c r="EW229" s="112" t="str">
        <f t="shared" si="92"/>
        <v>x</v>
      </c>
      <c r="EX229" s="111"/>
      <c r="EY229" s="111"/>
      <c r="EZ229" s="111"/>
      <c r="FA229" s="111"/>
      <c r="FB229" s="111"/>
      <c r="FC229" s="111"/>
      <c r="FD229" s="112" t="str">
        <f t="shared" si="93"/>
        <v>x</v>
      </c>
      <c r="FE229" s="112" t="str">
        <f>HYPERLINK("http://sghanstedt.elbnetz.com/ueber-uns/","x")</f>
        <v>x</v>
      </c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1"/>
      <c r="FS229" s="111"/>
      <c r="FT229" s="111"/>
      <c r="FU229" s="111"/>
      <c r="FV229" s="111"/>
      <c r="FW229" s="111"/>
      <c r="FX229" s="111"/>
      <c r="FY229" s="111"/>
      <c r="FZ229" s="111"/>
      <c r="GA229" s="111"/>
      <c r="GB229" s="111"/>
      <c r="GC229" s="111"/>
      <c r="GD229" s="111"/>
      <c r="GE229" s="111"/>
      <c r="GF229" s="111"/>
      <c r="GG229" s="111"/>
      <c r="GH229" s="111"/>
      <c r="GI229" s="111"/>
      <c r="GJ229" s="111"/>
      <c r="GK229" s="111"/>
      <c r="GL229" s="111"/>
      <c r="GM229" s="111"/>
      <c r="GN229" s="111"/>
      <c r="GO229" s="111"/>
      <c r="GP229" s="111"/>
      <c r="GQ229" s="111"/>
      <c r="GR229" s="111"/>
      <c r="GS229" s="111"/>
      <c r="GT229" s="111"/>
      <c r="GU229" s="111"/>
      <c r="GV229" s="111"/>
      <c r="GW229" s="111"/>
      <c r="GX229" s="111"/>
      <c r="GY229" s="111"/>
      <c r="GZ229" s="111"/>
      <c r="HA229" s="111"/>
      <c r="HB229" s="111"/>
      <c r="HC229" s="112" t="str">
        <f t="shared" si="94"/>
        <v>x</v>
      </c>
      <c r="HD229" s="111"/>
      <c r="HE229" s="111"/>
      <c r="HF229" s="111"/>
      <c r="HG229" s="111"/>
      <c r="HH229" s="111"/>
      <c r="HI229" s="111"/>
      <c r="HJ229" s="111"/>
      <c r="HK229" s="111"/>
      <c r="HL229" s="111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2" t="str">
        <f t="shared" si="95"/>
        <v>x</v>
      </c>
      <c r="HZ229" s="112" t="str">
        <f t="shared" si="96"/>
        <v>x</v>
      </c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  <c r="IY229" s="111"/>
      <c r="IZ229" s="111"/>
      <c r="JA229" s="111"/>
      <c r="JB229" s="111"/>
      <c r="JC229" s="111"/>
      <c r="JD229" s="111"/>
      <c r="JE229" s="111"/>
      <c r="JF229" s="111"/>
      <c r="JG229" s="111"/>
      <c r="JH229" s="111"/>
      <c r="JI229" s="111"/>
      <c r="JJ229" s="111"/>
      <c r="JK229" s="111"/>
      <c r="JL229" s="111"/>
      <c r="JM229" s="111"/>
      <c r="JN229" s="111"/>
      <c r="JO229" s="111"/>
      <c r="JP229" s="111"/>
      <c r="JQ229" s="111"/>
      <c r="JR229" s="112" t="str">
        <f>HYPERLINK("http://www.ibla-germany.de/merkblaetter.php","x")</f>
        <v>x</v>
      </c>
      <c r="JS229" s="111"/>
      <c r="JT229" s="111"/>
      <c r="JU229" s="111"/>
      <c r="JV229" s="111"/>
      <c r="JW229" s="111"/>
      <c r="JX229" s="111"/>
      <c r="JY229" s="111"/>
      <c r="JZ229" s="111"/>
      <c r="KA229" s="111"/>
      <c r="KB229" s="111"/>
      <c r="KC229" s="111"/>
      <c r="KD229" s="111"/>
      <c r="KE229" s="111"/>
      <c r="KF229" s="111"/>
      <c r="KG229" s="111"/>
      <c r="KH229" s="111"/>
      <c r="KI229" s="111"/>
      <c r="KJ229" s="111"/>
      <c r="KK229" s="111"/>
      <c r="KL229" s="111"/>
      <c r="KM229" s="111"/>
      <c r="KN229" s="111"/>
      <c r="KO229" s="111"/>
      <c r="KP229" s="111"/>
      <c r="KQ229" s="111"/>
      <c r="KR229" s="111"/>
      <c r="KS229" s="111"/>
      <c r="KT229" s="111"/>
      <c r="KU229" s="111"/>
      <c r="KV229" s="111"/>
      <c r="KW229" s="111"/>
      <c r="KX229" s="111"/>
      <c r="KY229" s="111"/>
      <c r="KZ229" s="111"/>
      <c r="LA229" s="111"/>
      <c r="LB229" s="111"/>
      <c r="LC229" s="111"/>
      <c r="LD229" s="111"/>
      <c r="LE229" s="111"/>
      <c r="LF229" s="111"/>
      <c r="LG229" s="111"/>
      <c r="LH229" s="111"/>
      <c r="LI229" s="111"/>
      <c r="LJ229" s="111"/>
      <c r="LK229" s="111"/>
      <c r="LL229" s="111"/>
      <c r="LM229" s="111"/>
      <c r="LN229" s="111"/>
      <c r="LO229" s="111"/>
      <c r="LP229" s="111"/>
      <c r="LQ229" s="111"/>
      <c r="LR229" s="111"/>
      <c r="LS229" s="111"/>
      <c r="LT229" s="111"/>
      <c r="LU229" s="111"/>
      <c r="LV229" s="111"/>
      <c r="LW229" s="111"/>
      <c r="LX229" s="111"/>
      <c r="LY229" s="111"/>
      <c r="LZ229" s="111"/>
      <c r="MA229" s="111"/>
      <c r="MB229" s="111"/>
      <c r="MC229" s="111"/>
      <c r="MD229" s="111"/>
      <c r="ME229" s="111"/>
      <c r="MF229" s="111"/>
      <c r="MG229" s="111"/>
      <c r="MH229" s="111"/>
      <c r="MI229" s="111"/>
    </row>
    <row r="230" spans="1:347" x14ac:dyDescent="0.25">
      <c r="A230" s="102" t="s">
        <v>155</v>
      </c>
      <c r="B230" s="127" t="s">
        <v>7</v>
      </c>
      <c r="C230" s="102"/>
      <c r="D230" s="102"/>
      <c r="E230" s="102"/>
      <c r="F230" s="102"/>
      <c r="G230" s="102"/>
      <c r="H230" s="102"/>
      <c r="I230" s="102"/>
      <c r="J230" s="102"/>
      <c r="K230" s="103"/>
      <c r="L230" s="111"/>
      <c r="M230" s="111"/>
      <c r="N230" s="112" t="str">
        <f>HYPERLINK("http://www.ag-fluechtlingshilfe-wetterau.de/uploads/infos/170.pdf","x")</f>
        <v>x</v>
      </c>
      <c r="O230" s="112"/>
      <c r="P230" s="112" t="str">
        <f>HYPERLINK("https://willkommensteamelmshorn.files.wordpress.com/2015/11/sortieranleitung_pinneberg_2015_russisch.pdf","x")</f>
        <v>x</v>
      </c>
      <c r="Q230" s="112"/>
      <c r="R230" s="112"/>
      <c r="S230" s="112"/>
      <c r="T230" s="112"/>
      <c r="U230" s="112"/>
      <c r="V230" s="112"/>
      <c r="W230" s="111"/>
      <c r="X230" s="112"/>
      <c r="Y230" s="111"/>
      <c r="Z230" s="111"/>
      <c r="AA230" s="111"/>
      <c r="AB230" s="111"/>
      <c r="AC230" s="111"/>
      <c r="AD230" s="112" t="str">
        <f>HYPERLINK("http://www.rundfunkbeitrag.de/e175/e1634/Informationsflyer_Buerginnen_und_Buerger_russisch.pdf","x")</f>
        <v>x</v>
      </c>
      <c r="AE230" s="111"/>
      <c r="AF230" s="112" t="str">
        <f>HYPERLINK("http://www.kub-berlin.org/formularprojekt/de/russisch-antraege-und-anlagen/","x")</f>
        <v>x</v>
      </c>
      <c r="AG230" s="111"/>
      <c r="AH230" s="112" t="str">
        <f>HYPERLINK("http://sghanstedt.elbnetz.com/ueber-uns/","x")</f>
        <v>x</v>
      </c>
      <c r="AI230" s="111"/>
      <c r="AJ230" s="111"/>
      <c r="AK230" s="111"/>
      <c r="AL230" s="111"/>
      <c r="AM230" s="111"/>
      <c r="AN230" s="111"/>
      <c r="AO230" s="112"/>
      <c r="AP230" s="112"/>
      <c r="AQ230" s="112"/>
      <c r="AR230" s="112"/>
      <c r="AS230" s="112"/>
      <c r="AT230" s="112"/>
      <c r="AU230" s="112"/>
      <c r="AV230" s="113"/>
      <c r="AW230" s="114" t="str">
        <f t="shared" si="78"/>
        <v>x</v>
      </c>
      <c r="AX230" s="114" t="str">
        <f t="shared" si="79"/>
        <v>x</v>
      </c>
      <c r="AY230" s="111"/>
      <c r="AZ230" s="111"/>
      <c r="BA230" s="112" t="str">
        <f t="shared" si="80"/>
        <v>x</v>
      </c>
      <c r="BB230" s="112" t="str">
        <f t="shared" si="81"/>
        <v>x</v>
      </c>
      <c r="BC230" s="111"/>
      <c r="BD230" s="111"/>
      <c r="BE230" s="111"/>
      <c r="BF230" s="111"/>
      <c r="BG230" s="111"/>
      <c r="BH230" s="111"/>
      <c r="BI230" s="111"/>
      <c r="BJ230" s="111"/>
      <c r="BK230" s="112" t="str">
        <f>HYPERLINK("http://www.agf-trier.de/sites/default/files/bersetzungshilfe%20russisch%20allgemein.pdf","x")</f>
        <v>x</v>
      </c>
      <c r="BL230" s="111"/>
      <c r="BM230" s="112" t="str">
        <f>HYPERLINK("http://www.frnrw.de/images/Aus_den_Initiativen/Ehrenamtler/2015/Dictionary_x10_print-2.pdf","x")</f>
        <v>x</v>
      </c>
      <c r="BN230" s="111"/>
      <c r="BO230" s="111"/>
      <c r="BP230" s="111"/>
      <c r="BQ230" s="111"/>
      <c r="BR230" s="111"/>
      <c r="BS230" s="112" t="str">
        <f t="shared" si="82"/>
        <v>x</v>
      </c>
      <c r="BT230" s="112"/>
      <c r="BU230" s="111"/>
      <c r="BV230" s="112" t="str">
        <f t="shared" si="83"/>
        <v>x</v>
      </c>
      <c r="BW230" s="112" t="str">
        <f>HYPERLINK("http://www.welcomegrooves.de/wp-content/uploads/2015/10/welcomegrooves_DE-RUSSISCH.pdf","x")</f>
        <v>x</v>
      </c>
      <c r="BX230" s="112"/>
      <c r="BY230" s="112"/>
      <c r="BZ230" s="112"/>
      <c r="CA230" s="112" t="str">
        <f t="shared" si="84"/>
        <v>x</v>
      </c>
      <c r="CB230" s="112" t="str">
        <f t="shared" si="85"/>
        <v>x</v>
      </c>
      <c r="CC230" s="112" t="str">
        <f t="shared" si="86"/>
        <v>x</v>
      </c>
      <c r="CD230" s="112"/>
      <c r="CE230" s="112"/>
      <c r="CF230" s="112" t="str">
        <f>HYPERLINK("http://www.agf-trier.de/sites/default/files/bersetzungshilfe%20russisch%20f%C3%BCr%20Frauen.pdf","x")</f>
        <v>x</v>
      </c>
      <c r="CG230" s="112" t="str">
        <f>HYPERLINK("http://www.braunschweig.de/leben/frauen/hilfe/Ohne-Gewalt-leben.pdf","x")</f>
        <v>x</v>
      </c>
      <c r="CH230" s="112" t="str">
        <f>HYPERLINK("http://mifkjf.rlp.de/fileadmin/mifkjf/Frauen/Gewalt_gegen_Frauen/Downloads/Broschueren_Flyer/Flyer_Gewalt_russisch.pdf","x")</f>
        <v>x</v>
      </c>
      <c r="CI230" s="112" t="str">
        <f>HYPERLINK("https://www.hilfetelefon.de/fileadmin/hilfetelefon_de/Materialien/Flyer/Infoflyer_Hilfetelefon_Gewalt_gegen_Frauen141105_b2.pdf","x")</f>
        <v>x</v>
      </c>
      <c r="CJ230" s="112" t="str">
        <f>HYPERLINK("https://www.hilfetelefon.de/fileadmin/hilfetelefon_de/Materialien/weitere_werbemittel/Klappflyer_Vorder-_und_Rueckseite_opt2.pdf","x")</f>
        <v>x</v>
      </c>
      <c r="CK230" s="112" t="str">
        <f t="shared" si="87"/>
        <v>x</v>
      </c>
      <c r="CL230" s="112" t="str">
        <f>HYPERLINK("http://www.frauenberatungsstelle.de/pdf/Migrantinnen-beraten-Migrantinnen.pdf","x")</f>
        <v>x</v>
      </c>
      <c r="CM230" s="112"/>
      <c r="CN230" s="112"/>
      <c r="CO230" s="112"/>
      <c r="CP230" s="112" t="str">
        <f>HYPERLINK("http://www.schwanger-und-viele-fragen.de/ru/","x")</f>
        <v>x</v>
      </c>
      <c r="CQ230" s="112"/>
      <c r="CR230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30" s="112"/>
      <c r="CT230" s="112"/>
      <c r="CU230" s="112" t="str">
        <f>HYPERLINK("http://www.profamilia.de/fileadmin/publikationen/Erwachsene/mehrsprachig/verhuetung_russisch_2011.pdf","x")</f>
        <v>x</v>
      </c>
      <c r="CV230" s="112" t="str">
        <f>HYPERLINK("http://www.profamilia.de/fileadmin/publikationen/Erwachsene/mehrsprachig/Pille_danach_russisch_2012.pdf","x")</f>
        <v>x</v>
      </c>
      <c r="CW230" s="112" t="str">
        <f>HYPERLINK("http://www.profamilia.de/fileadmin/publikationen/Reihe_Verhuetungsmethoden/Einleger_Russisch.pdf","x")</f>
        <v>x</v>
      </c>
      <c r="CX230" s="112" t="str">
        <f>HYPERLINK("http://www.profamilia.de/fileadmin/publikationen/Erwachsene/mehrsprachig/schwangerschaftsabbruch_russisch.pdf","x")</f>
        <v>x</v>
      </c>
      <c r="CY230" s="112" t="str">
        <f>HYPERLINK("http://www.caritas-schwarzwald-alb-donau.de/68854.html","x")</f>
        <v>x</v>
      </c>
      <c r="CZ230" s="112" t="str">
        <f>HYPERLINK("http://www.dgfpi.de/tl_files/download/medien/unwissen-macht-ru.pdf","x")</f>
        <v>x</v>
      </c>
      <c r="DA230" s="112"/>
      <c r="DB230" s="112"/>
      <c r="DC230" s="115" t="str">
        <f>HYPERLINK("http://www.kindersicherheit.de/pdf/2012_Bilderbuch-Gift-Russisch.pdf","x")</f>
        <v>x</v>
      </c>
      <c r="DD230" s="112"/>
      <c r="DE230" s="112"/>
      <c r="DF230" s="112" t="str">
        <f t="shared" si="88"/>
        <v>x</v>
      </c>
      <c r="DG230" s="115" t="str">
        <f t="shared" si="89"/>
        <v>x</v>
      </c>
      <c r="DH230" s="112" t="str">
        <f t="shared" si="90"/>
        <v>x</v>
      </c>
      <c r="DI230" s="112" t="str">
        <f t="shared" si="91"/>
        <v>x</v>
      </c>
      <c r="DJ230" s="112" t="str">
        <f>HYPERLINK("http://www.bibliomedia.ch/de/angebote/dokumente/Glossar_russisch.pdf","x")</f>
        <v>x</v>
      </c>
      <c r="DK230" s="112"/>
      <c r="DL230" s="112"/>
      <c r="DM230" s="112"/>
      <c r="DN230" s="112"/>
      <c r="DO230" s="112"/>
      <c r="DP230" s="111"/>
      <c r="DQ230" s="112" t="str">
        <f>HYPERLINK("http://tipdoc.de/bus/grafik/kinder-tip/SCHULTIP_give_didacta.pdf","x")</f>
        <v>x</v>
      </c>
      <c r="DR230" s="112" t="str">
        <f>HYPERLINK("https://broschueren.nordrheinwestfalendirekt.de/broschuerenservice/msw/rus-das-schulsystem-in-nordrhein-westfalen-einfach-und-schnell-erklaert/1905","x")</f>
        <v>x</v>
      </c>
      <c r="DS230" s="112" t="str">
        <f>HYPERLINK("http://bildung.koeln.de/materialbibliothek/download.php?idx=89409237e8c48c84d1f410e2c231c942","x")</f>
        <v>x</v>
      </c>
      <c r="DT230" s="112" t="str">
        <f>HYPERLINK("http://bildung.koeln.de/materialbibliothek/download.php?idx=3e35937e1b8f8986880efaf07701a323","x")</f>
        <v>x</v>
      </c>
      <c r="DU230" s="112"/>
      <c r="DV230" s="112" t="str">
        <f>HYPERLINK("https://www.bmbf.de/pub/Kausa_Elternbroschuere_russisch.pdf","x")</f>
        <v>x</v>
      </c>
      <c r="DW230" s="112"/>
      <c r="DX230" s="112"/>
      <c r="DY230" s="112" t="str">
        <f>HYPERLINK("http://www.bamf.de/SharedDocs/Anlagen/DE/Publikationen/Flyer/AnerkennungBerufsabschluss/berufliche_anerkennung_akademische-heilberufe_ru.pdf?__blob=publicationFile","x")</f>
        <v>x</v>
      </c>
      <c r="DZ230" s="112" t="str">
        <f>HYPERLINK("http://www.bamf.de/SharedDocs/Anlagen/RU/Publikationen/Flyer/AnerkennungBerufsabschluss/anerkennung-berufsabschluss.pdf?__blob=publicationFile","x")</f>
        <v>x</v>
      </c>
      <c r="EA230" s="112" t="str">
        <f>HYPERLINK("http://www.bamf.de/SharedDocs/Anlagen/RU/Publikationen/Flyer/AnerkennungBerufsabschluss/anerkennung-berufsabschluss_ausland.pdf?__blob=publicationFile","x")</f>
        <v>x</v>
      </c>
      <c r="EB230" s="112" t="str">
        <f>HYPERLINK("http://www.bamf.de/SharedDocs/Anlagen/DE/Publikationen/Broschueren/willkommen-in-deutschland-info-blaue-karte-eu_ru.pdf?__blob=publicationFile","x")</f>
        <v>x</v>
      </c>
      <c r="EC230" s="112" t="str">
        <f>HYPERLINK("http://www.bamf.de/SharedDocs/Anlagen/RU/Publikationen/Flyer/Berufsbezsprachf-ESF-BAMF/berufsbezsprachf-esf-bamf.pdf?__blob=publicationFile","x")</f>
        <v>x</v>
      </c>
      <c r="ED230" s="111"/>
      <c r="EE230" s="111"/>
      <c r="EF230" s="111"/>
      <c r="EG230" s="111"/>
      <c r="EH230" s="111"/>
      <c r="EI230" s="111"/>
      <c r="EJ230" s="112"/>
      <c r="EK230" s="112"/>
      <c r="EL230" s="112"/>
      <c r="EM230" s="112" t="str">
        <f>HYPERLINK("http://www.kvs-sachsen.de/fileadmin/img/Mitglieder/Asylbewerber/Allg-Informationen/Anlage_1_Russisch_LEK.pdf","x")</f>
        <v>x</v>
      </c>
      <c r="EN230" s="112" t="str">
        <f>HYPERLINK("http://www.medizin-hilft-fluechtlingen.de/images/Dokumente/gSch/gSch_ru.pdf","x")</f>
        <v>x</v>
      </c>
      <c r="EO230" s="111"/>
      <c r="EP230" s="117" t="str">
        <f>HYPERLINK("http://www.medi-bild.de/pdf/anamnese/Welche_Sprache.pdf","x")</f>
        <v>x</v>
      </c>
      <c r="EQ230" s="117" t="str">
        <f>HYPERLINK("http://www.armut-gesundheit.de/fileadmin/redakteur/dokumente/Anamnesebogen%20-%20russischnew.pdf","x")</f>
        <v>x</v>
      </c>
      <c r="ER230" s="112" t="str">
        <f>HYPERLINK("http://www.kvs-sachsen.de/fileadmin/img/Mitglieder/Asylbewerber/Allg-Informationen/Anlagen_2-1_2-2_Russisch_LEK.pdf","x")</f>
        <v>x</v>
      </c>
      <c r="ES230" s="111"/>
      <c r="ET230" s="111"/>
      <c r="EU230" s="111"/>
      <c r="EV230" s="111"/>
      <c r="EW230" s="112" t="str">
        <f t="shared" si="92"/>
        <v>x</v>
      </c>
      <c r="EX230" s="112" t="str">
        <f>HYPERLINK("http://www.rki.de/DE/Content/Infekt/IfSG/Belehrungsbogen/belehrungsbogen_eltern_russisch.pdf?__blob=publicationFile","x")</f>
        <v>x</v>
      </c>
      <c r="EY230" s="112" t="str">
        <f>HYPERLINK("http://www.bzga.de/infomaterialien/?sid=236","x")</f>
        <v>x</v>
      </c>
      <c r="EZ230" s="112" t="str">
        <f>HYPERLINK("https://www.mh-hannover.de/fileadmin/mhh/bilder/aktuelles_presse/presseinformationen_news/-Pilzvergif_RUSSISCH_2.pdf","x")</f>
        <v>x</v>
      </c>
      <c r="FA230" s="112"/>
      <c r="FB230" s="111"/>
      <c r="FC230" s="111"/>
      <c r="FD230" s="112" t="str">
        <f t="shared" si="93"/>
        <v>x</v>
      </c>
      <c r="FE230" s="112" t="str">
        <f>HYPERLINK("http://sghanstedt.elbnetz.com/ueber-uns/","x")</f>
        <v>x</v>
      </c>
      <c r="FF230" s="111"/>
      <c r="FG230" s="112" t="str">
        <f>HYPERLINK("http://www.tipdoc.de/grafik/asyl/Gesundheitsheft_Asyl.pdf","x")</f>
        <v>x</v>
      </c>
      <c r="FH230" s="111"/>
      <c r="FI230" s="111"/>
      <c r="FJ230" s="112"/>
      <c r="FK230" s="112" t="str">
        <f>HYPERLINK("http://www.rki.de/DE/Content/Infekt/Impfen/Materialien/Downloads-Impfkalender/Impfkalender_Russisch.pdf?__blob=publicationFile","x")</f>
        <v>x</v>
      </c>
      <c r="FL230" s="112" t="str">
        <f>HYPERLINK("http://www.ethno-medizinisches-zentrum.de/images/PDF-Files/impfwegweiser_russisch_2013_online.pdf","x")</f>
        <v>x</v>
      </c>
      <c r="FM230" s="112"/>
      <c r="FN230" s="112" t="str">
        <f>HYPERLINK("http://www.rki.de/DE/Content/Infekt/Impfen/Materialien/Glossar-Downloads/glossar-de-russisch.pdf?__blob=publicationFile","x")</f>
        <v>x</v>
      </c>
      <c r="FO230" s="112" t="str">
        <f>HYPERLINK("http://tvoyashkola10.ru/img/VPD-Signs,-symptoms-and-complications-RUS.pdf","x")</f>
        <v>x</v>
      </c>
      <c r="FP230" s="112" t="str">
        <f>HYPERLINK("http://www.rki.de/DE/Content/Infekt/Impfen/Materialien/Downloads-MMR/MMR-Impfinfo-russisch.pdf?__blob=publicationFile","x")</f>
        <v>x</v>
      </c>
      <c r="FQ230" s="112"/>
      <c r="FR230" s="112" t="str">
        <f>HYPERLINK("http://www.rki.de/DE/Content/Infekt/Impfen/Materialien/Downloads_HepA/Aufklaerung_HAV-Impfung_Russisch.pdf?__blob=publicationFile","x")</f>
        <v>x</v>
      </c>
      <c r="FS230" s="112" t="str">
        <f>HYPERLINK("http://www.rki.de/DE/Content/Infekt/Impfen/Materialien/Downloads_Pneumokokken/Aufklaerung_Pneumo-Impfung_Russisch.pdf?__blob=publicationFile","x")</f>
        <v>x</v>
      </c>
      <c r="FT230" s="112" t="str">
        <f>HYPERLINK("http://www.rki.de/DE/Content/Infekt/Impfen/Materialien/Downloads-DTaPIPVHibHepB/DTaPIPVHibHepB-russisch.pdf?__blob=publicationFile","x")</f>
        <v>x</v>
      </c>
      <c r="FU230" s="112" t="str">
        <f>HYPERLINK("http://www.rki.de/DE/Content/Infekt/Impfen/Materialien/Downloads-Varizellen/Varizellen-Impfinfo-russisch.pdf;jsessionid=65B697F4EE7EDA8A1ED9E2C4CD6C74EC.2_cid363?__blob=publicationFile","x")</f>
        <v>x</v>
      </c>
      <c r="FV230" s="112" t="str">
        <f>HYPERLINK("http://www.rki.de/DE/Content/Infekt/Impfen/Materialien/Downloads-Tdap-IPV/Tdap-IPV-russisch.pdf?__blob=publicationFile","x")</f>
        <v>x</v>
      </c>
      <c r="FW230" s="112" t="str">
        <f>HYPERLINK("http://www.rki.de/DE/Content/Infekt/Impfen/Materialien/Downloads-Influenza_nasal/Influenza_nasal-russisch.pdf?__blob=publicationFile","x")</f>
        <v>x</v>
      </c>
      <c r="FX230" s="112" t="str">
        <f>HYPERLINK("http://www.medical-tribune.de/fileadmin/PDF/PI_Arthrose_russ.pdf","x")</f>
        <v>x</v>
      </c>
      <c r="FY230" s="112" t="str">
        <f>HYPERLINK("http://www.medical-tribune.de/fileadmin/PDF/Astma_russisch.pdf","x")</f>
        <v>x</v>
      </c>
      <c r="FZ230" s="112" t="str">
        <f>HYPERLINK("http://www.medical-tribune.de/fileadmin/PDF/Bluthochdruck_russisch.pdf","x")</f>
        <v>x</v>
      </c>
      <c r="GA230" s="112" t="str">
        <f>HYPERLINK("http://www.medical-tribune.de/fileadmin/PDF/Cholesterin_russisch.pdf","x")</f>
        <v>x</v>
      </c>
      <c r="GB230" s="112" t="str">
        <f>HYPERLINK("http://www.medical-tribune.de/fileadmin/PDF/COPD-Bronchitis-russ.pdf","x")</f>
        <v>x</v>
      </c>
      <c r="GC230" s="112" t="str">
        <f>HYPERLINK("http://www.medical-tribune.de/fileadmin/PDF/PI_Demenz_russ.pdf","x")</f>
        <v>x</v>
      </c>
      <c r="GD230" s="112" t="str">
        <f>HYPERLINK("http://www.ethno-medizinisches-zentrum.de/images/PDF-Files/lf_diabete_russisch.pdf","x")</f>
        <v>x</v>
      </c>
      <c r="GE230" s="112" t="str">
        <f>HYPERLINK("http://www.medical-tribune.de/fileadmin/PDF/PI_Divertikel_russ.pdf","x")</f>
        <v>x</v>
      </c>
      <c r="GF230" s="112" t="str">
        <f>HYPERLINK("http://www.medical-tribune.de/fileadmin/PDF/PAVK_russ.pdf","x")</f>
        <v>x</v>
      </c>
      <c r="GG230" s="112" t="str">
        <f>HYPERLINK("http://www.medical-tribune.de/fileadmin/PDF/PI_Gallensteine_russ.pdf","x")</f>
        <v>x</v>
      </c>
      <c r="GH230" s="112" t="str">
        <f>HYPERLINK("http://www.medical-tribune.de/fileadmin/PDF/Gicht_russisch.pdf","x")</f>
        <v>x</v>
      </c>
      <c r="GI230" s="112" t="str">
        <f>HYPERLINK("http://www.tipdoc.de/bus/pdf/hepatitis/Hep_B_Webseite.pdf","x")</f>
        <v>x</v>
      </c>
      <c r="GJ230" s="112" t="str">
        <f>HYPERLINK("http://www.tipdoc.de/bus/pdf/hepatitis/Hep_C_Webseite.pdf","x")</f>
        <v>x</v>
      </c>
      <c r="GK230" s="112" t="str">
        <f>HYPERLINK("http://www.tipdoc.de/bus/pdf/hiv/HIV%20SRF_Webseite.pdf","x")</f>
        <v>x</v>
      </c>
      <c r="GL230" s="111"/>
      <c r="GM230" s="112" t="str">
        <f>HYPERLINK("http://www.rki.de/DE/Content/Infekt/Impfen/Materialien/Downloads-Influenza/Influenza-russisch.pdf?__blob=publicationFile","x")</f>
        <v>x</v>
      </c>
      <c r="GN230" s="112" t="str">
        <f>HYPERLINK("http://www.medical-tribune.de/fileadmin/PDF/PI_Erkaeltung_russ.pdf","x")</f>
        <v>x</v>
      </c>
      <c r="GO230" s="112"/>
      <c r="GP230" s="112" t="str">
        <f>HYPERLINK("http://www.tipdoc.de/grafik/pdf/kopflaeuse/Kopflaeuse_RUSS.pdf","x")</f>
        <v>x</v>
      </c>
      <c r="GQ230" s="112" t="str">
        <f>HYPERLINK("http://www.bing.com/search?q=Medical+tribune+KHK+russ&amp;qs=n&amp;form=QBRE&amp;pq=medical+tribune+khk+russ&amp;sc=0-16&amp;sp=-1&amp;sk=&amp;cvid=9C7440E0A0144B029D31F2004BF1F219","x")</f>
        <v>x</v>
      </c>
      <c r="GR230" s="112" t="str">
        <f>HYPERLINK("http://www.tipdoc.com/bus/pdf/kraetze/tipdoc_Scabies_RUSS.pdf","x")</f>
        <v>x</v>
      </c>
      <c r="GS230" s="112" t="str">
        <f>HYPERLINK("http://www.tipdoc.com/bus/pdf/MagenDarmHaende/MagenDarmHaende_RUSS.pdf","x")</f>
        <v>x</v>
      </c>
      <c r="GT230" s="112" t="str">
        <f>HYPERLINK("http://www.medical-tribune.de/fileadmin/PDF/Migraene_russ.pdf","x")</f>
        <v>x</v>
      </c>
      <c r="GU230" s="112" t="str">
        <f>HYPERLINK("http://www.medical-tribune.de/fileadmin/PDF/Rueckenschmerzen_russisch.pdf","x")</f>
        <v>x</v>
      </c>
      <c r="GV230" s="112" t="str">
        <f>HYPERLINK("http://www.medical-tribune.de/fileadmin/PDF/Schlafapnoe_russisch.pdf","x")</f>
        <v>x</v>
      </c>
      <c r="GW230" s="112" t="str">
        <f>HYPERLINK("http://www.medical-tribune.de/fileadmin/PDF/Schlafstoerungen_russisch.pdf","x")</f>
        <v>x</v>
      </c>
      <c r="GX230" s="112" t="str">
        <f>HYPERLINK("http://www.medical-tribune.de/fileadmin/PDF/Schwindel_russisch.pdf","x")</f>
        <v>x</v>
      </c>
      <c r="GY230" s="112" t="str">
        <f>HYPERLINK("http://www.medical-tribune.de/fileadmin/PDF/Sodbrennen_russisch.pdf","x")</f>
        <v>x</v>
      </c>
      <c r="GZ230" s="112" t="str">
        <f>HYPERLINK("http://www.medical-tribune.de/fileadmin/PDF/Sportverletzungen_russisch.pdf","x")</f>
        <v>x</v>
      </c>
      <c r="HA230" s="112" t="str">
        <f>HYPERLINK("http://www.medical-tribune.de/fileadmin/PDF/Thrombose_russisch.pdf","x")</f>
        <v>x</v>
      </c>
      <c r="HB230" s="112" t="str">
        <f>HYPERLINK("http://www.medical-tribune.de/fileadmin/PDF/Verstopfung_russisch.pdf","x")</f>
        <v>x</v>
      </c>
      <c r="HC230" s="112" t="str">
        <f t="shared" si="94"/>
        <v>x</v>
      </c>
      <c r="HD230" s="111"/>
      <c r="HE230" s="111"/>
      <c r="HF230" s="111"/>
      <c r="HG230" s="111"/>
      <c r="HH230" s="111"/>
      <c r="HI230" s="112" t="str">
        <f>HYPERLINK("http://www.bvkm.de/fileadmin/web_data/Behinderung_und_Migation_russisch_2014.pdf","x")</f>
        <v>x</v>
      </c>
      <c r="HJ230" s="111"/>
      <c r="HK230" s="112"/>
      <c r="HL230" s="112" t="str">
        <f>HYPERLINK("http://www.ethno-medizinisches-zentrum.de/images/PDF-Files/lf_depression_rus.pdf","x")</f>
        <v>x</v>
      </c>
      <c r="HM230" s="112"/>
      <c r="HN230" s="112"/>
      <c r="HO230" s="112"/>
      <c r="HP230" s="112"/>
      <c r="HQ230" s="112"/>
      <c r="HR230" s="112"/>
      <c r="HS230" s="112"/>
      <c r="HT230" s="112"/>
      <c r="HU230" s="112"/>
      <c r="HV230" s="112"/>
      <c r="HW230" s="112" t="str">
        <f>HYPERLINK("http://www.medical-tribune.de/fileadmin/PDF/RestlessLegs_russ.pdf","x")</f>
        <v>x</v>
      </c>
      <c r="HX230" s="112" t="str">
        <f>HYPERLINK("http://www.bkk-psychisch-gesund.de/fileadmin/user_upload/bkk-psychisch-gesund.de/PDFs/Migrantenwegweiser_Psychotherpie_russisch.pdf","x")</f>
        <v>x</v>
      </c>
      <c r="HY230" s="112" t="str">
        <f t="shared" si="95"/>
        <v>x</v>
      </c>
      <c r="HZ230" s="112" t="str">
        <f t="shared" si="96"/>
        <v>x</v>
      </c>
      <c r="IA230" s="112"/>
      <c r="IB230" s="112"/>
      <c r="IC230" s="112"/>
      <c r="ID230" s="112"/>
      <c r="IE230" s="112"/>
      <c r="IF230" s="112"/>
      <c r="IG230" s="112"/>
      <c r="IH230" s="112" t="str">
        <f>HYPERLINK("http://www.ethno-medizinisches-zentrum.de/images/PDF-Files/lf_mediensucht_ru_geschutzt.pdf","x")</f>
        <v>x</v>
      </c>
      <c r="II230" s="112" t="str">
        <f>HYPERLINK("http://www.caritas.de/hilfeundberatung/onlineberatung/suchtberatung/haeufiggestelltefragensucht/haeufiggestelltefragen-sucht","x")</f>
        <v>x</v>
      </c>
      <c r="IJ230" s="112" t="str">
        <f>HYPERLINK("http://www.bzga.de/infomaterialien/suchtvorbeugung/","x")</f>
        <v>x</v>
      </c>
      <c r="IK230" s="112" t="str">
        <f>HYPERLINK("http://www.bamf.de/SharedDocs/Anlagen/RU/Publikationen/Flyer/Lassen-Sie-Sich-Beraten/lassen-sie-sich-beraten.pdf?__blob=publicationFile","x")</f>
        <v>x</v>
      </c>
      <c r="IL230" s="112" t="str">
        <f>HYPERLINK("http://www.bamf.de/SharedDocs/Anlagen/DE/Publikationen/Flyer/flyer-erstorientierung-asylsuchende_russisch.pdf?__blob=publicationFile","x")</f>
        <v>x</v>
      </c>
      <c r="IM230" s="111"/>
      <c r="IN230" s="112" t="str">
        <f>HYPERLINK("https://www.bamf.de/SharedDocs/Anlagen/RU/Publikationen/Broschueren/willkommen-in-deutschland-ru.pdf?__blob=publicationFile","x")</f>
        <v>x</v>
      </c>
      <c r="IO230" s="112"/>
      <c r="IP230" s="111"/>
      <c r="IQ230" s="112" t="str">
        <f>HYPERLINK("http://www.bamf.de/SharedDocs/Anlagen/RU/Publikationen/Flyer/Lernen-Sie-Deutsch/lernen-sie-deutsch.pdf?__blob=publicationFile","x")</f>
        <v>x</v>
      </c>
      <c r="IR230" s="112"/>
      <c r="IS230" s="111"/>
      <c r="IT230" s="111"/>
      <c r="IU230" s="111"/>
      <c r="IV230" s="112" t="str">
        <f>HYPERLINK("http://www.asyl.net/fileadmin/user_upload/infoblatt_anhoerung/Infoblatt_2015_russ_fin.pdf","x")</f>
        <v>x</v>
      </c>
      <c r="IW230" s="112"/>
      <c r="IX230" s="112" t="str">
        <f>HYPERLINK("http://www.berlin.de/labo/willkommen-in-berlin/service/downloads/artikel.273193.php","x")</f>
        <v>x</v>
      </c>
      <c r="IY230" s="112" t="str">
        <f>HYPERLINK("http://www.bamf.de/SharedDocs/Anlagen/RU/Publikationen/Broschueren/broschuere-eat-a4.pdf?__blob=publicationFile","x")</f>
        <v>x</v>
      </c>
      <c r="IZ230" s="111"/>
      <c r="JA230" s="112" t="str">
        <f>HYPERLINK("http://fluechtlingsrat-bw.de/informationen-fuer-fluechtlinge.html","x")</f>
        <v>x</v>
      </c>
      <c r="JB230" s="111"/>
      <c r="JC230" s="112"/>
      <c r="JD230" s="111"/>
      <c r="JE230" s="112"/>
      <c r="JF230" s="112"/>
      <c r="JG230" s="112" t="str">
        <f>HYPERLINK("http://www.bamf.de/SharedDocs/Anlagen/RU/Publikationen/Flyer/Ehegattennachzug/ehegattennachzug.pdf?__blob=publicationFile","x")</f>
        <v>x</v>
      </c>
      <c r="JH230" s="112"/>
      <c r="JI230" s="111"/>
      <c r="JJ230" s="112"/>
      <c r="JK230" s="112"/>
      <c r="JL230" s="112" t="str">
        <f>HYPERLINK("http://www.kub-berlin.org/formularprojekt/de/russisch-antraege-und-anlagen/","x")</f>
        <v>x</v>
      </c>
      <c r="JM230" s="112" t="str">
        <f>HYPERLINK("https://www.arbeitsagentur.de/web/content/DE/Formulare/Detail/index.htm?dfContentId=L6019022DSTBAI485740","x")</f>
        <v>x</v>
      </c>
      <c r="JN230" s="112"/>
      <c r="JO230" s="112"/>
      <c r="JP230" s="112"/>
      <c r="JQ230" s="112"/>
      <c r="JR230" s="112" t="str">
        <f>HYPERLINK("http://www.ibla-germany.de/merkblaetter.php","x")</f>
        <v>x</v>
      </c>
      <c r="JS230" s="112"/>
      <c r="JT230" s="112" t="str">
        <f>HYPERLINK("http://www.b-umf.de/images/willkommensbroschurerussisch-web.pdf","x")</f>
        <v>x</v>
      </c>
      <c r="JU230" s="111"/>
      <c r="JV230" s="111"/>
      <c r="JW230" s="112"/>
      <c r="JX230" s="112"/>
      <c r="JY230" s="112"/>
      <c r="JZ230" s="112"/>
      <c r="KA230" s="112"/>
      <c r="KB230" s="112" t="str">
        <f>HYPERLINK("http://www.refugeeguide.de/dl/RefugeeGuide_ru_1207.pdf","x")</f>
        <v>x</v>
      </c>
      <c r="KC230" s="111"/>
      <c r="KD230" s="112" t="str">
        <f>HYPERLINK("http://www.wedel.de/fileadmin/user_upload/media/pdf/Rathaus_und_Politik/20160118_PM_Broschuere.pdf","x")</f>
        <v>x</v>
      </c>
      <c r="KE230" s="112"/>
      <c r="KF230" s="112" t="str">
        <f>HYPERLINK("http://sab.landtag.sachsen.de/dokumente/landtagskurier/Grundwerte-A5-international_web_08012016.pdf","x")</f>
        <v>x</v>
      </c>
      <c r="KG230" s="112"/>
      <c r="KH230" s="112"/>
      <c r="KI230" s="112"/>
      <c r="KJ230" s="112"/>
      <c r="KK230" s="112"/>
      <c r="KL230" s="112"/>
      <c r="KM230" s="112"/>
      <c r="KN230" s="112"/>
      <c r="KO230" s="112"/>
      <c r="KP230" s="112"/>
      <c r="KQ230" s="112"/>
      <c r="KR230" s="112"/>
      <c r="KS230" s="112"/>
      <c r="KT230" s="112"/>
      <c r="KU230" s="112"/>
      <c r="KV230" s="112"/>
      <c r="KW230" s="112"/>
      <c r="KX230" s="112"/>
      <c r="KY230" s="112"/>
      <c r="KZ230" s="112"/>
      <c r="LA230" s="112"/>
      <c r="LB230" s="112"/>
      <c r="LC230" s="111"/>
      <c r="LD230" s="111"/>
      <c r="LE230" s="111"/>
      <c r="LF230" s="111"/>
      <c r="LG230" s="111"/>
      <c r="LH230" s="111"/>
      <c r="LI230" s="111"/>
      <c r="LJ230" s="111"/>
      <c r="LK230" s="111"/>
      <c r="LL230" s="111"/>
      <c r="LM230" s="111"/>
      <c r="LN230" s="111"/>
      <c r="LO230" s="111"/>
      <c r="LP230" s="111"/>
      <c r="LQ230" s="111"/>
      <c r="LR230" s="111"/>
      <c r="LS230" s="111"/>
      <c r="LT230" s="111"/>
      <c r="LU230" s="111"/>
      <c r="LV230" s="111"/>
      <c r="LW230" s="111"/>
      <c r="LX230" s="111"/>
      <c r="LY230" s="111"/>
      <c r="LZ230" s="111"/>
      <c r="MA230" s="111"/>
      <c r="MB230" s="111"/>
      <c r="MC230" s="111"/>
      <c r="MD230" s="112" t="str">
        <f>HYPERLINK("http://www.rki.de/DE/Content/Infekt/IfSG/Belehrungsbogen/belehrungsbogen_lebensmittel_russisch.pdf?__blob=publicationFile","x")</f>
        <v>x</v>
      </c>
      <c r="ME230" s="111"/>
      <c r="MF230" s="111"/>
      <c r="MG230" s="111"/>
      <c r="MH230" s="111"/>
      <c r="MI230" s="112" t="str">
        <f>HYPERLINK("http://www.kindersicherheit.de/pdf/2012_poster_achtunggiftig_8sprachig.pdf","x")</f>
        <v>x</v>
      </c>
    </row>
    <row r="231" spans="1:347" x14ac:dyDescent="0.25">
      <c r="A231" s="102" t="s">
        <v>155</v>
      </c>
      <c r="B231" s="127" t="s">
        <v>154</v>
      </c>
      <c r="C231" s="102"/>
      <c r="D231" s="102"/>
      <c r="E231" s="102"/>
      <c r="F231" s="102"/>
      <c r="G231" s="102"/>
      <c r="H231" s="102"/>
      <c r="I231" s="102"/>
      <c r="J231" s="102"/>
      <c r="K231" s="103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3"/>
      <c r="AW231" s="114" t="str">
        <f t="shared" si="78"/>
        <v>x</v>
      </c>
      <c r="AX231" s="114" t="str">
        <f t="shared" si="79"/>
        <v>x</v>
      </c>
      <c r="AY231" s="111"/>
      <c r="AZ231" s="111"/>
      <c r="BA231" s="112" t="str">
        <f t="shared" si="80"/>
        <v>x</v>
      </c>
      <c r="BB231" s="112" t="str">
        <f t="shared" si="81"/>
        <v>x</v>
      </c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2" t="str">
        <f t="shared" si="82"/>
        <v>x</v>
      </c>
      <c r="BT231" s="112"/>
      <c r="BU231" s="111"/>
      <c r="BV231" s="112" t="str">
        <f t="shared" si="83"/>
        <v>x</v>
      </c>
      <c r="BW231" s="112"/>
      <c r="BX231" s="112"/>
      <c r="BY231" s="112"/>
      <c r="BZ231" s="112"/>
      <c r="CA231" s="112" t="str">
        <f t="shared" si="84"/>
        <v>x</v>
      </c>
      <c r="CB231" s="112" t="str">
        <f t="shared" si="85"/>
        <v>x</v>
      </c>
      <c r="CC231" s="112" t="str">
        <f t="shared" si="86"/>
        <v>x</v>
      </c>
      <c r="CD231" s="112"/>
      <c r="CE231" s="112"/>
      <c r="CF231" s="111"/>
      <c r="CG231" s="111"/>
      <c r="CH231" s="111"/>
      <c r="CI231" s="111"/>
      <c r="CJ231" s="111"/>
      <c r="CK231" s="112" t="str">
        <f t="shared" si="87"/>
        <v>x</v>
      </c>
      <c r="CL231" s="112"/>
      <c r="CM231" s="112"/>
      <c r="CN231" s="112"/>
      <c r="CO231" s="112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2"/>
      <c r="DA231" s="112"/>
      <c r="DB231" s="112"/>
      <c r="DC231" s="115"/>
      <c r="DD231" s="112"/>
      <c r="DE231" s="112"/>
      <c r="DF231" s="112" t="str">
        <f t="shared" si="88"/>
        <v>x</v>
      </c>
      <c r="DG231" s="115" t="str">
        <f t="shared" si="89"/>
        <v>x</v>
      </c>
      <c r="DH231" s="112" t="str">
        <f t="shared" si="90"/>
        <v>x</v>
      </c>
      <c r="DI231" s="112" t="str">
        <f t="shared" si="91"/>
        <v>x</v>
      </c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8"/>
      <c r="EQ231" s="118"/>
      <c r="ER231" s="111"/>
      <c r="ES231" s="111"/>
      <c r="ET231" s="111"/>
      <c r="EU231" s="111"/>
      <c r="EV231" s="111"/>
      <c r="EW231" s="112" t="str">
        <f t="shared" si="92"/>
        <v>x</v>
      </c>
      <c r="EX231" s="111"/>
      <c r="EY231" s="111"/>
      <c r="EZ231" s="111"/>
      <c r="FA231" s="111"/>
      <c r="FB231" s="111"/>
      <c r="FC231" s="111"/>
      <c r="FD231" s="112" t="str">
        <f t="shared" si="93"/>
        <v>x</v>
      </c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1"/>
      <c r="HC231" s="112" t="str">
        <f t="shared" si="94"/>
        <v>x</v>
      </c>
      <c r="HD231" s="112" t="str">
        <f>HYPERLINK("https://www.zahnaerzte-wl.de/images/_PDF-suche/KZV_ZÄK/ENDSTAND_Ankreuzbogen_Ich_verstehe.pdf","x")</f>
        <v>x</v>
      </c>
      <c r="HE231" s="112" t="str">
        <f>HYPERLINK("https://www.zahnaerzte-wl.de/images/_PDF-suche/KZV_ZÄK/Anschreiben_Patienten_usbekisch.pdf","x")</f>
        <v>x</v>
      </c>
      <c r="HF231" s="112" t="str">
        <f>HYPERLINK("https://www.zahnaerzte-wl.de/images/_PDF-suche/KZV_ZÄK/Fragebogen_usbekisch.pdf","x")</f>
        <v>x</v>
      </c>
      <c r="HG231" s="112" t="str">
        <f>HYPERLINK("https://www.zahnaerzte-wl.de/images/_PDF-suche/KZV_ZÄK/Patientenerhebungsbogen_usbekisch.pdf","x")</f>
        <v>x</v>
      </c>
      <c r="HH231" s="112"/>
      <c r="HI231" s="112"/>
      <c r="HJ231" s="112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2" t="str">
        <f t="shared" si="95"/>
        <v>x</v>
      </c>
      <c r="HZ231" s="112" t="str">
        <f t="shared" si="96"/>
        <v>x</v>
      </c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1"/>
      <c r="JF231" s="111"/>
      <c r="JG231" s="111"/>
      <c r="JH231" s="111"/>
      <c r="JI231" s="111"/>
      <c r="JJ231" s="111"/>
      <c r="JK231" s="111"/>
      <c r="JL231" s="111"/>
      <c r="JM231" s="111"/>
      <c r="JN231" s="111"/>
      <c r="JO231" s="111"/>
      <c r="JP231" s="111"/>
      <c r="JQ231" s="111"/>
      <c r="JR231" s="111"/>
      <c r="JS231" s="111"/>
      <c r="JT231" s="111"/>
      <c r="JU231" s="111"/>
      <c r="JV231" s="111"/>
      <c r="JW231" s="111"/>
      <c r="JX231" s="111"/>
      <c r="JY231" s="111"/>
      <c r="JZ231" s="111"/>
      <c r="KA231" s="111"/>
      <c r="KB231" s="111"/>
      <c r="KC231" s="111"/>
      <c r="KD231" s="111"/>
      <c r="KE231" s="111"/>
      <c r="KF231" s="111"/>
      <c r="KG231" s="111"/>
      <c r="KH231" s="111"/>
      <c r="KI231" s="111"/>
      <c r="KJ231" s="111"/>
      <c r="KK231" s="111"/>
      <c r="KL231" s="111"/>
      <c r="KM231" s="111"/>
      <c r="KN231" s="111"/>
      <c r="KO231" s="111"/>
      <c r="KP231" s="111"/>
      <c r="KQ231" s="111"/>
      <c r="KR231" s="111"/>
      <c r="KS231" s="111"/>
      <c r="KT231" s="111"/>
      <c r="KU231" s="111"/>
      <c r="KV231" s="111"/>
      <c r="KW231" s="111"/>
      <c r="KX231" s="111"/>
      <c r="KY231" s="111"/>
      <c r="KZ231" s="111"/>
      <c r="LA231" s="111"/>
      <c r="LB231" s="111"/>
      <c r="LC231" s="111"/>
      <c r="LD231" s="111"/>
      <c r="LE231" s="111"/>
      <c r="LF231" s="111"/>
      <c r="LG231" s="111"/>
      <c r="LH231" s="111"/>
      <c r="LI231" s="111"/>
      <c r="LJ231" s="111"/>
      <c r="LK231" s="111"/>
      <c r="LL231" s="111"/>
      <c r="LM231" s="111"/>
      <c r="LN231" s="111"/>
      <c r="LO231" s="111"/>
      <c r="LP231" s="111"/>
      <c r="LQ231" s="111"/>
      <c r="LR231" s="111"/>
      <c r="LS231" s="111"/>
      <c r="LT231" s="111"/>
      <c r="LU231" s="111"/>
      <c r="LV231" s="111"/>
      <c r="LW231" s="111"/>
      <c r="LX231" s="111"/>
      <c r="LY231" s="111"/>
      <c r="LZ231" s="111"/>
      <c r="MA231" s="111"/>
      <c r="MB231" s="111"/>
      <c r="MC231" s="111"/>
      <c r="MD231" s="111"/>
      <c r="ME231" s="111"/>
      <c r="MF231" s="111"/>
      <c r="MG231" s="111"/>
      <c r="MH231" s="111"/>
      <c r="MI231" s="111"/>
    </row>
    <row r="232" spans="1:347" x14ac:dyDescent="0.25">
      <c r="A232" s="102" t="s">
        <v>91</v>
      </c>
      <c r="B232" s="127" t="s">
        <v>135</v>
      </c>
      <c r="C232" s="102"/>
      <c r="D232" s="102"/>
      <c r="E232" s="102"/>
      <c r="F232" s="102"/>
      <c r="G232" s="102"/>
      <c r="H232" s="102"/>
      <c r="I232" s="102"/>
      <c r="J232" s="102"/>
      <c r="K232" s="103"/>
      <c r="L232" s="111"/>
      <c r="M232" s="111"/>
      <c r="N232" s="112" t="str">
        <f>HYPERLINK("http://www.ag-fluechtlingshilfe-wetterau.de/uploads/infos/170.pdf","x")</f>
        <v>x</v>
      </c>
      <c r="O232" s="112"/>
      <c r="P232" s="112"/>
      <c r="Q232" s="112"/>
      <c r="R232" s="112"/>
      <c r="S232" s="112"/>
      <c r="T232" s="112"/>
      <c r="U232" s="112"/>
      <c r="V232" s="112"/>
      <c r="W232" s="111"/>
      <c r="X232" s="112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2"/>
      <c r="AP232" s="112"/>
      <c r="AQ232" s="112"/>
      <c r="AR232" s="112"/>
      <c r="AS232" s="112"/>
      <c r="AT232" s="112"/>
      <c r="AU232" s="112"/>
      <c r="AV232" s="113"/>
      <c r="AW232" s="114" t="str">
        <f t="shared" si="78"/>
        <v>x</v>
      </c>
      <c r="AX232" s="114" t="str">
        <f t="shared" si="79"/>
        <v>x</v>
      </c>
      <c r="AY232" s="111"/>
      <c r="AZ232" s="111"/>
      <c r="BA232" s="112" t="str">
        <f t="shared" si="80"/>
        <v>x</v>
      </c>
      <c r="BB232" s="112" t="str">
        <f t="shared" si="81"/>
        <v>x</v>
      </c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2" t="str">
        <f t="shared" si="82"/>
        <v>x</v>
      </c>
      <c r="BT232" s="112"/>
      <c r="BU232" s="111"/>
      <c r="BV232" s="112" t="str">
        <f t="shared" si="83"/>
        <v>x</v>
      </c>
      <c r="BW232" s="112"/>
      <c r="BX232" s="112"/>
      <c r="BY232" s="112"/>
      <c r="BZ232" s="112"/>
      <c r="CA232" s="112" t="str">
        <f t="shared" si="84"/>
        <v>x</v>
      </c>
      <c r="CB232" s="112" t="str">
        <f t="shared" si="85"/>
        <v>x</v>
      </c>
      <c r="CC232" s="112" t="str">
        <f t="shared" si="86"/>
        <v>x</v>
      </c>
      <c r="CD232" s="112"/>
      <c r="CE232" s="112"/>
      <c r="CF232" s="111"/>
      <c r="CG232" s="111"/>
      <c r="CH232" s="111"/>
      <c r="CI232" s="111"/>
      <c r="CJ232" s="112" t="str">
        <f>HYPERLINK("https://www.hilfetelefon.de/fileadmin/hilfetelefon_de/Materialien/weitere_werbemittel/Klappflyer_Vorder-_und_Rueckseite_opt2.pdf","x")</f>
        <v>x</v>
      </c>
      <c r="CK232" s="112" t="str">
        <f t="shared" si="87"/>
        <v>x</v>
      </c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5"/>
      <c r="DD232" s="112"/>
      <c r="DE232" s="112"/>
      <c r="DF232" s="112" t="str">
        <f t="shared" si="88"/>
        <v>x</v>
      </c>
      <c r="DG232" s="115" t="str">
        <f t="shared" si="89"/>
        <v>x</v>
      </c>
      <c r="DH232" s="112" t="str">
        <f t="shared" si="90"/>
        <v>x</v>
      </c>
      <c r="DI232" s="112" t="str">
        <f t="shared" si="91"/>
        <v>x</v>
      </c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2"/>
      <c r="DV232" s="112" t="str">
        <f>HYPERLINK("https://www.bmbf.de/pub/KAUSA_Elternratgeber_deutsch_chinesisch_bf.pdf","x")</f>
        <v>x</v>
      </c>
      <c r="DW232" s="111"/>
      <c r="DX232" s="111"/>
      <c r="DY232" s="111"/>
      <c r="DZ232" s="111"/>
      <c r="EA232" s="111"/>
      <c r="EB232" s="112"/>
      <c r="EC232" s="111"/>
      <c r="ED232" s="111"/>
      <c r="EE232" s="111"/>
      <c r="EF232" s="111"/>
      <c r="EG232" s="111"/>
      <c r="EH232" s="111"/>
      <c r="EI232" s="111"/>
      <c r="EJ232" s="112"/>
      <c r="EK232" s="112"/>
      <c r="EL232" s="111"/>
      <c r="EM232" s="112" t="str">
        <f>HYPERLINK("http://www.kvs-sachsen.de/fileadmin/img/Mitglieder/Asylbewerber/Allg-Informationen/Anlage_1_Chinesisch_LEK.pdf","x")</f>
        <v>x</v>
      </c>
      <c r="EN232" s="111"/>
      <c r="EO232" s="111"/>
      <c r="EP232" s="117" t="str">
        <f>HYPERLINK("http://www.medi-bild.de/pdf/anamnese/Welche_Sprache.pdf","x")</f>
        <v>x</v>
      </c>
      <c r="EQ232" s="117" t="str">
        <f>HYPERLINK("http://www.medknowledge.de/migration/tipdoc/anamnesebogen/tipdoc_Anamnese_chin.pdf","x")</f>
        <v>x</v>
      </c>
      <c r="ER232" s="112" t="str">
        <f>HYPERLINK("http://www.kvs-sachsen.de/fileadmin/img/Mitglieder/Asylbewerber/Allg-Informationen/Anlagen_2-1_2-2_Chinesisch_LEK.pdf","x")</f>
        <v>x</v>
      </c>
      <c r="ES232" s="112"/>
      <c r="ET232" s="112"/>
      <c r="EU232" s="111"/>
      <c r="EV232" s="111"/>
      <c r="EW232" s="112" t="str">
        <f t="shared" si="92"/>
        <v>x</v>
      </c>
      <c r="EX232" s="111"/>
      <c r="EY232" s="111"/>
      <c r="EZ232" s="111"/>
      <c r="FA232" s="111"/>
      <c r="FB232" s="111"/>
      <c r="FC232" s="111"/>
      <c r="FD232" s="112" t="str">
        <f t="shared" si="93"/>
        <v>x</v>
      </c>
      <c r="FE232" s="111"/>
      <c r="FF232" s="111"/>
      <c r="FG232" s="111"/>
      <c r="FH232" s="111"/>
      <c r="FI232" s="111"/>
      <c r="FJ232" s="111"/>
      <c r="FK232" s="111"/>
      <c r="FL232" s="111"/>
      <c r="FM232" s="111"/>
      <c r="FN232" s="111"/>
      <c r="FO232" s="111"/>
      <c r="FP232" s="111"/>
      <c r="FQ232" s="111"/>
      <c r="FR232" s="111"/>
      <c r="FS232" s="111"/>
      <c r="FT232" s="111"/>
      <c r="FU232" s="111"/>
      <c r="FV232" s="111"/>
      <c r="FW232" s="111"/>
      <c r="FX232" s="111"/>
      <c r="FY232" s="111"/>
      <c r="FZ232" s="111"/>
      <c r="GA232" s="111"/>
      <c r="GB232" s="111"/>
      <c r="GC232" s="111"/>
      <c r="GD232" s="111"/>
      <c r="GE232" s="111"/>
      <c r="GF232" s="111"/>
      <c r="GG232" s="111"/>
      <c r="GH232" s="111"/>
      <c r="GI232" s="111"/>
      <c r="GJ232" s="111"/>
      <c r="GK232" s="111"/>
      <c r="GL232" s="111"/>
      <c r="GM232" s="111"/>
      <c r="GN232" s="111"/>
      <c r="GO232" s="111"/>
      <c r="GP232" s="111"/>
      <c r="GQ232" s="111"/>
      <c r="GR232" s="111"/>
      <c r="GS232" s="111"/>
      <c r="GT232" s="111"/>
      <c r="GU232" s="111"/>
      <c r="GV232" s="111"/>
      <c r="GW232" s="111"/>
      <c r="GX232" s="111"/>
      <c r="GY232" s="111"/>
      <c r="GZ232" s="111"/>
      <c r="HA232" s="111"/>
      <c r="HB232" s="111"/>
      <c r="HC232" s="112" t="str">
        <f t="shared" si="94"/>
        <v>x</v>
      </c>
      <c r="HD232" s="111"/>
      <c r="HE232" s="111"/>
      <c r="HF232" s="111"/>
      <c r="HG232" s="111"/>
      <c r="HH232" s="111"/>
      <c r="HI232" s="111"/>
      <c r="HJ232" s="111"/>
      <c r="HK232" s="112"/>
      <c r="HL232" s="111"/>
      <c r="HM232" s="111"/>
      <c r="HN232" s="111"/>
      <c r="HO232" s="111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2" t="str">
        <f t="shared" si="95"/>
        <v>x</v>
      </c>
      <c r="HZ232" s="112" t="str">
        <f t="shared" si="96"/>
        <v>x</v>
      </c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2"/>
      <c r="IL232" s="111"/>
      <c r="IM232" s="111"/>
      <c r="IN232" s="111"/>
      <c r="IO232" s="111"/>
      <c r="IP232" s="111"/>
      <c r="IQ232" s="112"/>
      <c r="IR232" s="112"/>
      <c r="IS232" s="111"/>
      <c r="IT232" s="111"/>
      <c r="IU232" s="111"/>
      <c r="IV232" s="112" t="str">
        <f>HYPERLINK("http://www.asyl.net/fileadmin/user_upload/infoblatt_anhoerung/Chin_final.pdf","x")</f>
        <v>x</v>
      </c>
      <c r="IW232" s="112"/>
      <c r="IX232" s="112"/>
      <c r="IY232" s="112" t="str">
        <f>HYPERLINK("http://www.bamf.de/SharedDocs/Anlagen/DE/Publikationen/Broschueren/broschuere-eat-a4-zh-chinesisch.pdf?__blob=publicationFile","x")</f>
        <v>x</v>
      </c>
      <c r="IZ232" s="111"/>
      <c r="JA232" s="111"/>
      <c r="JB232" s="111"/>
      <c r="JC232" s="112"/>
      <c r="JD232" s="111"/>
      <c r="JE232" s="112"/>
      <c r="JF232" s="112"/>
      <c r="JG232" s="111"/>
      <c r="JH232" s="111"/>
      <c r="JI232" s="111"/>
      <c r="JJ232" s="112"/>
      <c r="JK232" s="112"/>
      <c r="JL232" s="112"/>
      <c r="JM232" s="112"/>
      <c r="JN232" s="112"/>
      <c r="JO232" s="112"/>
      <c r="JP232" s="112"/>
      <c r="JQ232" s="112"/>
      <c r="JR232" s="112" t="str">
        <f>HYPERLINK("http://www.ibla-germany.de/merkblaetter.php","x")</f>
        <v>x</v>
      </c>
      <c r="JS232" s="112"/>
      <c r="JT232" s="111"/>
      <c r="JU232" s="111"/>
      <c r="JV232" s="111"/>
      <c r="JW232" s="112"/>
      <c r="JX232" s="112"/>
      <c r="JY232" s="111"/>
      <c r="JZ232" s="111"/>
      <c r="KA232" s="111"/>
      <c r="KB232" s="111"/>
      <c r="KC232" s="111"/>
      <c r="KD232" s="111"/>
      <c r="KE232" s="111"/>
      <c r="KF232" s="111"/>
      <c r="KG232" s="111"/>
      <c r="KH232" s="111"/>
      <c r="KI232" s="111"/>
      <c r="KJ232" s="111"/>
      <c r="KK232" s="111"/>
      <c r="KL232" s="111"/>
      <c r="KM232" s="111"/>
      <c r="KN232" s="111"/>
      <c r="KO232" s="111"/>
      <c r="KP232" s="111"/>
      <c r="KQ232" s="111"/>
      <c r="KR232" s="111"/>
      <c r="KS232" s="111"/>
      <c r="KT232" s="111"/>
      <c r="KU232" s="111"/>
      <c r="KV232" s="111"/>
      <c r="KW232" s="111"/>
      <c r="KX232" s="111"/>
      <c r="KY232" s="111"/>
      <c r="KZ232" s="111"/>
      <c r="LA232" s="111"/>
      <c r="LB232" s="111"/>
      <c r="LC232" s="111"/>
      <c r="LD232" s="111"/>
      <c r="LE232" s="111"/>
      <c r="LF232" s="111"/>
      <c r="LG232" s="111"/>
      <c r="LH232" s="111"/>
      <c r="LI232" s="111"/>
      <c r="LJ232" s="111"/>
      <c r="LK232" s="111"/>
      <c r="LL232" s="111"/>
      <c r="LM232" s="111"/>
      <c r="LN232" s="111"/>
      <c r="LO232" s="111"/>
      <c r="LP232" s="111"/>
      <c r="LQ232" s="111"/>
      <c r="LR232" s="111"/>
      <c r="LS232" s="111"/>
      <c r="LT232" s="111"/>
      <c r="LU232" s="111"/>
      <c r="LV232" s="111"/>
      <c r="LW232" s="111"/>
      <c r="LX232" s="111"/>
      <c r="LY232" s="111"/>
      <c r="LZ232" s="111"/>
      <c r="MA232" s="111"/>
      <c r="MB232" s="111"/>
      <c r="MC232" s="111"/>
      <c r="MD232" s="111"/>
      <c r="ME232" s="111"/>
      <c r="MF232" s="111"/>
      <c r="MG232" s="111"/>
      <c r="MH232" s="111"/>
      <c r="MI232" s="111"/>
    </row>
    <row r="233" spans="1:347" x14ac:dyDescent="0.25">
      <c r="A233" s="102" t="s">
        <v>91</v>
      </c>
      <c r="B233" s="127" t="s">
        <v>41</v>
      </c>
      <c r="C233" s="102"/>
      <c r="D233" s="102"/>
      <c r="E233" s="102"/>
      <c r="F233" s="102"/>
      <c r="G233" s="102"/>
      <c r="H233" s="102"/>
      <c r="I233" s="102"/>
      <c r="J233" s="102"/>
      <c r="K233" s="103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2"/>
      <c r="AP233" s="112"/>
      <c r="AQ233" s="112"/>
      <c r="AR233" s="112"/>
      <c r="AS233" s="112"/>
      <c r="AT233" s="112"/>
      <c r="AU233" s="112"/>
      <c r="AV233" s="113"/>
      <c r="AW233" s="114" t="str">
        <f t="shared" si="78"/>
        <v>x</v>
      </c>
      <c r="AX233" s="114" t="str">
        <f t="shared" si="79"/>
        <v>x</v>
      </c>
      <c r="AY233" s="111"/>
      <c r="AZ233" s="111"/>
      <c r="BA233" s="112" t="str">
        <f t="shared" si="80"/>
        <v>x</v>
      </c>
      <c r="BB233" s="112" t="str">
        <f t="shared" si="81"/>
        <v>x</v>
      </c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2" t="str">
        <f t="shared" si="82"/>
        <v>x</v>
      </c>
      <c r="BT233" s="112"/>
      <c r="BU233" s="111"/>
      <c r="BV233" s="112" t="str">
        <f t="shared" si="83"/>
        <v>x</v>
      </c>
      <c r="BW233" s="112"/>
      <c r="BX233" s="112"/>
      <c r="BY233" s="112"/>
      <c r="BZ233" s="112"/>
      <c r="CA233" s="112" t="str">
        <f t="shared" si="84"/>
        <v>x</v>
      </c>
      <c r="CB233" s="112" t="str">
        <f t="shared" si="85"/>
        <v>x</v>
      </c>
      <c r="CC233" s="112" t="str">
        <f t="shared" si="86"/>
        <v>x</v>
      </c>
      <c r="CD233" s="112"/>
      <c r="CE233" s="112"/>
      <c r="CF233" s="111"/>
      <c r="CG233" s="111"/>
      <c r="CH233" s="111"/>
      <c r="CI233" s="111"/>
      <c r="CJ233" s="112" t="str">
        <f>HYPERLINK("https://www.hilfetelefon.de/fileadmin/hilfetelefon_de/Materialien/weitere_werbemittel/Klappflyer_Vorder-_und_Rueckseite_opt2.pdf","x")</f>
        <v>x</v>
      </c>
      <c r="CK233" s="112" t="str">
        <f t="shared" si="87"/>
        <v>x</v>
      </c>
      <c r="CL233" s="112"/>
      <c r="CM233" s="112"/>
      <c r="CN233" s="112"/>
      <c r="CO233" s="112"/>
      <c r="CP233" s="112"/>
      <c r="CQ233" s="112"/>
      <c r="CR233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5"/>
      <c r="DD233" s="112"/>
      <c r="DE233" s="112"/>
      <c r="DF233" s="112" t="str">
        <f t="shared" si="88"/>
        <v>x</v>
      </c>
      <c r="DG233" s="115" t="str">
        <f t="shared" si="89"/>
        <v>x</v>
      </c>
      <c r="DH233" s="112" t="str">
        <f t="shared" si="90"/>
        <v>x</v>
      </c>
      <c r="DI233" s="112" t="str">
        <f t="shared" si="91"/>
        <v>x</v>
      </c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2"/>
      <c r="DV233" s="111"/>
      <c r="DW233" s="111"/>
      <c r="DX233" s="111"/>
      <c r="DY233" s="111"/>
      <c r="DZ233" s="111"/>
      <c r="EA233" s="111"/>
      <c r="EB233" s="112"/>
      <c r="EC233" s="112" t="str">
        <f>HYPERLINK("http://www.bamf.de/SharedDocs/Anlagen/DE/Publikationen/Flyer/Berufsbezsprachf-ESF-BAMF/berufsbezsprachf-esf-bamf_vi.pdf?__blob=publicationFile","x")</f>
        <v>x</v>
      </c>
      <c r="ED233" s="111"/>
      <c r="EE233" s="111"/>
      <c r="EF233" s="111"/>
      <c r="EG233" s="111"/>
      <c r="EH233" s="111"/>
      <c r="EI233" s="111"/>
      <c r="EJ233" s="112"/>
      <c r="EK233" s="112"/>
      <c r="EL233" s="111"/>
      <c r="EM233" s="112" t="str">
        <f>HYPERLINK("http://www.kvs-sachsen.de/fileadmin/img/Mitglieder/Asylbewerber/Allg-Informationen/Anlage_1_Vietnamesisch_LEK.pdf","x")</f>
        <v>x</v>
      </c>
      <c r="EN233" s="112" t="str">
        <f>HYPERLINK("http://www.medizin-hilft-fluechtlingen.de/images/Dokumente/gSch/gSch_vie.pdf","x")</f>
        <v>x</v>
      </c>
      <c r="EO233" s="111"/>
      <c r="EP233" s="117" t="str">
        <f>HYPERLINK("http://www.medi-bild.de/pdf/anamnese/Welche_Sprache.pdf","x")</f>
        <v>x</v>
      </c>
      <c r="EQ233" s="118"/>
      <c r="ER233" s="112" t="str">
        <f>HYPERLINK("http://www.kvs-sachsen.de/fileadmin/img/Mitglieder/Asylbewerber/Allg-Informationen/Anlagen_2-1_2-2_Vietnamesisch_LEK.pdf","x")</f>
        <v>x</v>
      </c>
      <c r="ES233" s="111"/>
      <c r="ET233" s="111"/>
      <c r="EU233" s="111"/>
      <c r="EV233" s="111"/>
      <c r="EW233" s="112" t="str">
        <f t="shared" si="92"/>
        <v>x</v>
      </c>
      <c r="EX233" s="111"/>
      <c r="EY233" s="111"/>
      <c r="EZ233" s="111"/>
      <c r="FA233" s="111"/>
      <c r="FB233" s="111"/>
      <c r="FC233" s="111"/>
      <c r="FD233" s="112" t="str">
        <f t="shared" si="93"/>
        <v>x</v>
      </c>
      <c r="FE233" s="112" t="str">
        <f>HYPERLINK("http://sghanstedt.elbnetz.com/ueber-uns/","x")</f>
        <v>x</v>
      </c>
      <c r="FF233" s="111"/>
      <c r="FG233" s="111"/>
      <c r="FH233" s="111"/>
      <c r="FI233" s="111"/>
      <c r="FJ233" s="112"/>
      <c r="FK233" s="112" t="str">
        <f>HYPERLINK("http://www.rki.de/DE/Content/Infekt/Impfen/Materialien/Downloads-Impfkalender/Impfkalender_Vietnamesisch.pdf?__blob=publicationFile","x")</f>
        <v>x</v>
      </c>
      <c r="FL233" s="111"/>
      <c r="FM233" s="111"/>
      <c r="FN233" s="112" t="str">
        <f>HYPERLINK("http://www.rki.de/DE/Content/Infekt/Impfen/Materialien/Glossar-Downloads/glossar-de-vietnamesich.pdf?__blob=publicationFile","x")</f>
        <v>x</v>
      </c>
      <c r="FO233" s="112"/>
      <c r="FP233" s="112" t="str">
        <f>HYPERLINK("http://www.rki.de/DE/Content/Infekt/Impfen/Materialien/Downloads-MMR/MMR-Impfinfo-vietnamesisch.pdf?__blob=publicationFile","x")</f>
        <v>x</v>
      </c>
      <c r="FQ233" s="111"/>
      <c r="FR233" s="112" t="str">
        <f>HYPERLINK("http://www.rki.de/DE/Content/Infekt/Impfen/Materialien/Downloads_HepA/Aufklaerung_HAV-Impfung_Vietnamesisch.pdf?__blob=publicationFile","x")</f>
        <v>x</v>
      </c>
      <c r="FS233" s="112" t="str">
        <f>HYPERLINK("http://www.rki.de/DE/Content/Infekt/Impfen/Materialien/Downloads_Pneumokokken/Aufklaerung_Pneumo-Impfung_Vietnamesisch.pdf?__blob=publicationFile","x")</f>
        <v>x</v>
      </c>
      <c r="FT233" s="112" t="str">
        <f>HYPERLINK("http://www.rki.de/DE/Content/Infekt/Impfen/Materialien/Downloads-DTaPIPVHibHepB/DTaPIPVHibHepB-vietnamesisch.pdf?__blob=publicationFile","x")</f>
        <v>x</v>
      </c>
      <c r="FU233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V233" s="112" t="str">
        <f>HYPERLINK("http://www.rki.de/DE/Content/Infekt/Impfen/Materialien/Downloads-Tdap-IPV/Tdap-IPV-vietnamesisch.pdf?__blob=publicationFile","x")</f>
        <v>x</v>
      </c>
      <c r="FW233" s="112" t="str">
        <f>HYPERLINK("http://www.rki.de/DE/Content/Infekt/Impfen/Materialien/Downloads-Influenza_nasal/Influenza_nasal-vietnamesisch.pdf?__blob=publicationFile","x")</f>
        <v>x</v>
      </c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2"/>
      <c r="GI233" s="111"/>
      <c r="GJ233" s="111"/>
      <c r="GK233" s="111"/>
      <c r="GL233" s="111"/>
      <c r="GM233" s="112" t="str">
        <f>HYPERLINK("http://www.rki.de/DE/Content/Infekt/Impfen/Materialien/Downloads-Influenza/Influenza-vietnamesisch.pdf?__blob=publicationFile","x")</f>
        <v>x</v>
      </c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1"/>
      <c r="HC233" s="112" t="str">
        <f t="shared" si="94"/>
        <v>x</v>
      </c>
      <c r="HD233" s="111"/>
      <c r="HE233" s="111"/>
      <c r="HF233" s="111"/>
      <c r="HG233" s="111"/>
      <c r="HH233" s="111"/>
      <c r="HI233" s="111"/>
      <c r="HJ233" s="111"/>
      <c r="HK233" s="112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1"/>
      <c r="HY233" s="112" t="str">
        <f t="shared" si="95"/>
        <v>x</v>
      </c>
      <c r="HZ233" s="112" t="str">
        <f t="shared" si="96"/>
        <v>x</v>
      </c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2" t="str">
        <f>HYPERLINK("http://www.bamf.de/SharedDocs/Anlagen/DE/Publikationen/Flyer/Lassen-Sie-Sich-Beraten/lassen-sie-sich-beraten_vi.pdf?__blob=publicationFile","x")</f>
        <v>x</v>
      </c>
      <c r="IL233" s="111"/>
      <c r="IM233" s="111"/>
      <c r="IN233" s="111"/>
      <c r="IO233" s="111"/>
      <c r="IP233" s="111"/>
      <c r="IQ233" s="112" t="str">
        <f>HYPERLINK("http://www.bamf.de/SharedDocs/Anlagen/DE/Publikationen/Flyer/Lernen-Sie-Deutsch/lernen-sie-deutsch_vi.pdf?__blob=publicationFile","x")</f>
        <v>x</v>
      </c>
      <c r="IR233" s="112"/>
      <c r="IS233" s="111"/>
      <c r="IT233" s="111"/>
      <c r="IU233" s="111"/>
      <c r="IV233" s="112"/>
      <c r="IW233" s="112"/>
      <c r="IX233" s="112"/>
      <c r="IY233" s="112" t="str">
        <f>HYPERLINK("http://www.bamf.de/SharedDocs/Anlagen/DE/Publikationen/Broschueren/broschuere-eat-a4-vi-vietnamesisch.pdf?__blob=publicationFile","x")</f>
        <v>x</v>
      </c>
      <c r="IZ233" s="111"/>
      <c r="JA233" s="111"/>
      <c r="JB233" s="111"/>
      <c r="JC233" s="112"/>
      <c r="JD233" s="111"/>
      <c r="JE233" s="112"/>
      <c r="JF233" s="112"/>
      <c r="JG233" s="112"/>
      <c r="JH233" s="112"/>
      <c r="JI233" s="111"/>
      <c r="JJ233" s="112"/>
      <c r="JK233" s="112"/>
      <c r="JL233" s="112"/>
      <c r="JM233" s="112"/>
      <c r="JN233" s="112"/>
      <c r="JO233" s="112"/>
      <c r="JP233" s="112"/>
      <c r="JQ233" s="112"/>
      <c r="JR233" s="112" t="str">
        <f>HYPERLINK("http://www.ibla-germany.de/merkblaetter.php","x")</f>
        <v>x</v>
      </c>
      <c r="JS233" s="112"/>
      <c r="JT233" s="112" t="str">
        <f>HYPERLINK("http://www.b-umf.de/images/willkommen/willkommensbroschrevietnamesisch-web.pdf","x")</f>
        <v>x</v>
      </c>
      <c r="JU233" s="111"/>
      <c r="JV233" s="111"/>
      <c r="JW233" s="112"/>
      <c r="JX233" s="112"/>
      <c r="JY233" s="111"/>
      <c r="JZ233" s="111"/>
      <c r="KA233" s="111"/>
      <c r="KB233" s="111"/>
      <c r="KC233" s="111"/>
      <c r="KD233" s="111"/>
      <c r="KE233" s="111"/>
      <c r="KF233" s="112"/>
      <c r="KG233" s="111"/>
      <c r="KH233" s="111"/>
      <c r="KI233" s="111"/>
      <c r="KJ233" s="111"/>
      <c r="KK233" s="111"/>
      <c r="KL233" s="111"/>
      <c r="KM233" s="111"/>
      <c r="KN233" s="111"/>
      <c r="KO233" s="111"/>
      <c r="KP233" s="111"/>
      <c r="KQ233" s="111"/>
      <c r="KR233" s="111"/>
      <c r="KS233" s="111"/>
      <c r="KT233" s="111"/>
      <c r="KU233" s="111"/>
      <c r="KV233" s="111"/>
      <c r="KW233" s="111"/>
      <c r="KX233" s="111"/>
      <c r="KY233" s="111"/>
      <c r="KZ233" s="111"/>
      <c r="LA233" s="111"/>
      <c r="LB233" s="111"/>
      <c r="LC233" s="111"/>
      <c r="LD233" s="111"/>
      <c r="LE233" s="111"/>
      <c r="LF233" s="111"/>
      <c r="LG233" s="111"/>
      <c r="LH233" s="111"/>
      <c r="LI233" s="111"/>
      <c r="LJ233" s="111"/>
      <c r="LK233" s="111"/>
      <c r="LL233" s="111"/>
      <c r="LM233" s="111"/>
      <c r="LN233" s="111"/>
      <c r="LO233" s="111"/>
      <c r="LP233" s="111"/>
      <c r="LQ233" s="111"/>
      <c r="LR233" s="111"/>
      <c r="LS233" s="111"/>
      <c r="LT233" s="111"/>
      <c r="LU233" s="111"/>
      <c r="LV233" s="111"/>
      <c r="LW233" s="111"/>
      <c r="LX233" s="111"/>
      <c r="LY233" s="111"/>
      <c r="LZ233" s="111"/>
      <c r="MA233" s="111"/>
      <c r="MB233" s="111"/>
      <c r="MC233" s="111"/>
      <c r="MD233" s="111"/>
      <c r="ME233" s="111"/>
      <c r="MF233" s="111"/>
      <c r="MG233" s="111"/>
      <c r="MH233" s="111"/>
      <c r="MI233" s="111"/>
    </row>
    <row r="234" spans="1:347" x14ac:dyDescent="0.25">
      <c r="A234" s="102" t="s">
        <v>397</v>
      </c>
      <c r="B234" s="127" t="s">
        <v>4</v>
      </c>
      <c r="C234" s="102"/>
      <c r="D234" s="102"/>
      <c r="E234" s="102"/>
      <c r="F234" s="102"/>
      <c r="G234" s="102"/>
      <c r="H234" s="102"/>
      <c r="I234" s="102"/>
      <c r="J234" s="102"/>
      <c r="K234" s="103"/>
      <c r="L234" s="111"/>
      <c r="M234" s="111"/>
      <c r="N234" s="112" t="str">
        <f>HYPERLINK("http://www.ag-fluechtlingshilfe-wetterau.de/uploads/infos/170.pdf","x")</f>
        <v>x</v>
      </c>
      <c r="O234" s="112" t="str">
        <f>HYPERLINK("http://www.ag-fluechtlingshilfe-wetterau.de/uploads/infos/220.pdf","x")</f>
        <v>x</v>
      </c>
      <c r="P234" s="112" t="str">
        <f>HYPERLINK("http://www.awb-ahrweiler.de/admin/data/ddownload/Abfall%20Sonderhinweise-englisch_2014.pdf","x")</f>
        <v>x</v>
      </c>
      <c r="Q234" s="112" t="str">
        <f>HYPERLINK("http://www.ag-fluechtlingshilfe-wetterau.de/uploads/infos/221.pdf","x")</f>
        <v>x</v>
      </c>
      <c r="R234" s="112" t="str">
        <f>HYPERLINK("http://www.konto.org/download/merkblatt-basiskonto-asylbewerber-english.pdf","x")</f>
        <v>x</v>
      </c>
      <c r="S234" s="112"/>
      <c r="T234" s="112" t="str">
        <f>HYPERLINK("https://antworten.sparkasse.de/wp-content/uploads/2015/10/English.pdf","x")</f>
        <v>x</v>
      </c>
      <c r="U234" s="112" t="str">
        <f>HYPERLINK("http://www.ag-fluechtlingshilfe-wetterau.de/uploads/infos/191.pdf","x")</f>
        <v>x</v>
      </c>
      <c r="V234" s="112"/>
      <c r="W234" s="112"/>
      <c r="X23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3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34" s="112"/>
      <c r="AA234" s="112"/>
      <c r="AB234" s="112"/>
      <c r="AC234" s="112" t="str">
        <f>HYPERLINK("http://www.vzhh.de/vzhh/409638/vzhh_refugees_telephone_internet.pdf","x")</f>
        <v>x</v>
      </c>
      <c r="AD234" s="112" t="str">
        <f>HYPERLINK("http://www.vzhh.de/vzhh/410647/vzhh_refugees_rundfunk.pdf","x")</f>
        <v>x</v>
      </c>
      <c r="AE234" s="112" t="str">
        <f>HYPERLINK("http://www.vzhh.de/vzhh/411476/vzhh_refugees_rundfunk_befreiung.pdf","x")</f>
        <v>x</v>
      </c>
      <c r="AF234" s="112" t="str">
        <f>HYPERLINK("http://www.kub-berlin.org/formularprojekt/de/englisch-antraege-und-anlagen-uebersetzungshilfen/","x")</f>
        <v>x</v>
      </c>
      <c r="AG234" s="112" t="str">
        <f>HYPERLINK("http://asyl-in-moenchengladbach.de/wp-content/uploads/2015/11/100711-Flyer_GB.pdf","x")</f>
        <v>x</v>
      </c>
      <c r="AH234" s="112" t="str">
        <f>HYPERLINK("http://sghanstedt.elbnetz.com/ueber-uns/","x")</f>
        <v>x</v>
      </c>
      <c r="AI234" s="112" t="str">
        <f>HYPERLINK("https://www.adac.de/sp/stiftung/_mmm/pdf/SGE_FOL_Verkehrssicherheit_Fl%C3%BCchtlinge_A3_01_16_Internet_250277.pdf","x")</f>
        <v>x</v>
      </c>
      <c r="AJ234" s="112" t="str">
        <f>HYPERLINK("http://www.stadt-koeln.de/mediaasset/content/kvb_kinderleicht_und_spielend_einfach__englisch_.pdf","x")</f>
        <v>x</v>
      </c>
      <c r="AK234" s="112" t="str">
        <f>HYPERLINK("https://www.vrsinfo.de/fileadmin/Dateien/downloadcenter/Folder_MobilPassTicket_Refugees01012016.pdf","x")</f>
        <v>x</v>
      </c>
      <c r="AL234" s="112" t="str">
        <f>HYPERLINK("https://www.vrsinfo.de/fileadmin/Dateien/downloadcenter/Willkommen_im_VRS2016_Druck.pdf","x")</f>
        <v>x</v>
      </c>
      <c r="AM234" s="112"/>
      <c r="AN234" s="112" t="str">
        <f>HYPERLINK("https://www.deutschebahn.com/file/de/2191748/eYdgZpqGpp5sMJ2KMKtg2r8aE4Q/10123812/data/infos_fuer_fluechtlinge.pdf","x")</f>
        <v>x</v>
      </c>
      <c r="AO234" s="112"/>
      <c r="AP234" s="112"/>
      <c r="AQ234" s="112"/>
      <c r="AR234" s="112"/>
      <c r="AS234" s="112"/>
      <c r="AT234" s="112"/>
      <c r="AU234" s="112" t="str">
        <f>HYPERLINK("http://www.stadt-koeln.de/mediaasset/content/festkomitee_flyer_2016_d_gb.pdf","x")</f>
        <v>x</v>
      </c>
      <c r="AV234" s="113"/>
      <c r="AW234" s="114" t="str">
        <f t="shared" si="78"/>
        <v>x</v>
      </c>
      <c r="AX234" s="114" t="str">
        <f t="shared" si="79"/>
        <v>x</v>
      </c>
      <c r="AY234" s="112" t="str">
        <f>HYPERLINK("http://fi-lohmar-siegburg.de/data/documents/Findefix_arabisch-Bildwoerterbuch.pdf","x")</f>
        <v>x</v>
      </c>
      <c r="AZ234" s="111"/>
      <c r="BA234" s="112" t="str">
        <f t="shared" si="80"/>
        <v>x</v>
      </c>
      <c r="BB234" s="112" t="str">
        <f t="shared" si="81"/>
        <v>x</v>
      </c>
      <c r="BC234" s="111"/>
      <c r="BD234" s="111"/>
      <c r="BE234" s="112" t="str">
        <f>HYPERLINK("http://fi-lohmar-siegburg.de/data/documents/communicationboard-arabic-english.pdf","x")</f>
        <v>x</v>
      </c>
      <c r="BF234" s="112"/>
      <c r="BG234" s="111"/>
      <c r="BH234" s="112" t="str">
        <f>HYPERLINK("http://www.refugeephrasebook.de/pdf/germany150920.pdf","x")</f>
        <v>x</v>
      </c>
      <c r="BI234" s="112" t="str">
        <f>HYPERLINK("https://www.advanced-online.eu/downloads/RefugeePhrasebookCards_German-English.pdf","x")</f>
        <v>x</v>
      </c>
      <c r="BJ234" s="112" t="str">
        <f>HYPERLINK("http://www.klett-sprachen.de/download/8638/W100255_Refugees_Welcome_Wortschatz.pdf","x")</f>
        <v>x</v>
      </c>
      <c r="BK234" s="111"/>
      <c r="BL234" s="112" t="str">
        <f>HYPERLINK("http://www.bundessprachenamt.de/deutsch/wir_ueber_uns/nachrichten/2015/20151103/Verständigungshilfe_Englisch_26_11_2015.pdf","x")</f>
        <v>x</v>
      </c>
      <c r="BM234" s="112" t="str">
        <f>HYPERLINK("http://www.frnrw.de/images/Aus_den_Initiativen/Ehrenamtler/2015/Dictionary_x10_print-2.pdf","x")</f>
        <v>x</v>
      </c>
      <c r="BN234" s="112" t="str">
        <f>HYPERLINK("http://www.medbox.org/toolboxes/kleines-worterbuch-little-dictionary-deutsch-englisch-arabisch/preview","x")</f>
        <v>x</v>
      </c>
      <c r="BO234" s="112" t="str">
        <f>HYPERLINK("http://mylanguages.org/dari_phrases.php","x")</f>
        <v>x</v>
      </c>
      <c r="BP234" s="111"/>
      <c r="BQ234" s="111"/>
      <c r="BR234" s="111"/>
      <c r="BS234" s="112" t="str">
        <f t="shared" si="82"/>
        <v>x</v>
      </c>
      <c r="BT234" s="112"/>
      <c r="BU234" s="111"/>
      <c r="BV234" s="112" t="str">
        <f t="shared" si="83"/>
        <v>x</v>
      </c>
      <c r="BW234" s="112" t="str">
        <f>HYPERLINK("http://www.welcomegrooves.de/wp-content/uploads/2015/10/welcomegrooves_DE-ENGLISH1.pdf","x")</f>
        <v>x</v>
      </c>
      <c r="BX234" s="112"/>
      <c r="BY234" s="112"/>
      <c r="BZ234" s="112"/>
      <c r="CA234" s="112" t="str">
        <f t="shared" si="84"/>
        <v>x</v>
      </c>
      <c r="CB234" s="112" t="str">
        <f t="shared" si="85"/>
        <v>x</v>
      </c>
      <c r="CC234" s="112" t="str">
        <f t="shared" si="86"/>
        <v>x</v>
      </c>
      <c r="CD234" s="112"/>
      <c r="CE234" s="112"/>
      <c r="CF234" s="111"/>
      <c r="CG234" s="112" t="str">
        <f>HYPERLINK("http://www.braunschweig.de/leben/frauen/hilfe/Ohne-Gewalt-leben.pdf","x")</f>
        <v>x</v>
      </c>
      <c r="CH234" s="112" t="str">
        <f>HYPERLINK("http://mifkjf.rlp.de/fileadmin/mifkjf/Frauen/Gewalt_gegen_Frauen/Downloads/Broschueren_Flyer/Flyer_Gewalt_englisch.pdf","x")</f>
        <v>x</v>
      </c>
      <c r="CI234" s="112" t="str">
        <f>HYPERLINK("https://www.hilfetelefon.de/fileadmin/hilfetelefon_de/Materialien/Flyer/Infoflyer_Hilfetelefon_Gewalt_gegen_Frauen141105_b2.pdf","x")</f>
        <v>x</v>
      </c>
      <c r="CJ234" s="112" t="str">
        <f>HYPERLINK("https://www.hilfetelefon.de/fileadmin/hilfetelefon_de/Materialien/weitere_werbemittel/Klappflyer_Vorder-_und_Rueckseite_opt2.pdf","x")</f>
        <v>x</v>
      </c>
      <c r="CK234" s="112" t="str">
        <f t="shared" si="87"/>
        <v>x</v>
      </c>
      <c r="CL234" s="112" t="str">
        <f>HYPERLINK("http://www.frauenberatungsstelle.de/pdf/Migrantinnen-beraten-Migrantinnen.pdf","x")</f>
        <v>x</v>
      </c>
      <c r="CM234" s="112" t="str">
        <f>HYPERLINK("http://www.frauenleben.org/spezielle_beratungsangebote/sexualisierte_gewalt.htm","x")</f>
        <v>x</v>
      </c>
      <c r="CN234" s="112"/>
      <c r="CO234" s="112"/>
      <c r="CP234" s="112" t="str">
        <f>HYPERLINK("http://www.schwanger-und-viele-fragen.de/en/","x")</f>
        <v>x</v>
      </c>
      <c r="CQ234" s="112"/>
      <c r="CR23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34" s="112" t="str">
        <f>HYPERLINK("http://en.beststart.org/for_parents/are-you-looking-resources-languages-other-english-and-french","x")</f>
        <v>x</v>
      </c>
      <c r="CT234" s="112"/>
      <c r="CU234" s="112" t="str">
        <f>HYPERLINK("http://www.profamilia.de/fileadmin/publikationen/Erwachsene/mehrsprachig/Bro_Verhuetung_engl_2013.pdf","x")</f>
        <v>x</v>
      </c>
      <c r="CV234" s="112" t="str">
        <f>HYPERLINK("http://www.profamilia.de/fileadmin/publikationen/Erwachsene/mehrsprachig/Bro_Pille_danach_Faltblatt_140122_RZ.pdf","x")</f>
        <v>x</v>
      </c>
      <c r="CW234" s="112" t="str">
        <f>HYPERLINK("http://www.profamilia.de/fileadmin/publikationen/Reihe_Verhuetungsmethoden/Einleger_englisch.pdf","x")</f>
        <v>x</v>
      </c>
      <c r="CX234" s="112" t="str">
        <f>HYPERLINK("http://www.profamilia.de/fileadmin/publikationen/Reihe_Koerper_und_Sexualtitaet/Schwangerschaftsabbruch_englisch_2010.pdf","x")</f>
        <v>x</v>
      </c>
      <c r="CY234" s="112" t="str">
        <f>HYPERLINK("http://www.caritas-schwarzwald-alb-donau.de/68854.html","x")</f>
        <v>x</v>
      </c>
      <c r="CZ234" s="112" t="str">
        <f>HYPERLINK("http://www.dgfpi.de/tl_files/download/medien/unwissen-macht-en.pdf","x")</f>
        <v>x</v>
      </c>
      <c r="DA234" s="112"/>
      <c r="DB234" s="112"/>
      <c r="DC234" s="115" t="str">
        <f>HYPERLINK("http://www.kindersicherheit.de/pdf/2013_BAG_Tomi_and_Mila_Deutsch_English.pdf","x")</f>
        <v>x</v>
      </c>
      <c r="DD234" s="112"/>
      <c r="DE234" s="112"/>
      <c r="DF234" s="112" t="str">
        <f t="shared" si="88"/>
        <v>x</v>
      </c>
      <c r="DG234" s="115" t="str">
        <f t="shared" si="89"/>
        <v>x</v>
      </c>
      <c r="DH234" s="112" t="str">
        <f t="shared" si="90"/>
        <v>x</v>
      </c>
      <c r="DI234" s="112" t="str">
        <f t="shared" si="91"/>
        <v>x</v>
      </c>
      <c r="DJ234" s="112"/>
      <c r="DK234" s="112"/>
      <c r="DL234" s="112"/>
      <c r="DM234" s="112"/>
      <c r="DN234" s="112"/>
      <c r="DO234" s="112" t="str">
        <f>HYPERLINK("http://www.wdrmaus.de/sachgeschichten/maus-international/","x")</f>
        <v>x</v>
      </c>
      <c r="DP234" s="111"/>
      <c r="DQ234" s="111"/>
      <c r="DR234" s="112" t="str">
        <f>HYPERLINK("https://broschueren.nordrheinwestfalendirekt.de/broschuerenservice/msw/eng-das-schulsystem-in-nordrhein-westfalen-einfach-und-schnell-erklaert/1902","x")</f>
        <v>x</v>
      </c>
      <c r="DS234" s="112" t="str">
        <f>HYPERLINK("http://bildung.koeln.de/materialbibliothek/download.php?idx=8e2a9f658e9fa830ce17dc18f0fb0268","x")</f>
        <v>x</v>
      </c>
      <c r="DT234" s="112" t="str">
        <f>HYPERLINK("http://bildung.koeln.de/materialbibliothek/download.php?idx=90aff7e7259385cadb46c517317f1446","x")</f>
        <v>x</v>
      </c>
      <c r="DU234" s="112"/>
      <c r="DV234" s="112" t="str">
        <f>HYPERLINK("https://www.bmbf.de/pub/Kausa_Elternbroschuere_englisch.pdf","x")</f>
        <v>x</v>
      </c>
      <c r="DW234" s="112"/>
      <c r="DX234" s="112" t="str">
        <f>HYPERLINK("http://www.wissenschaft.nrw.de/studium/informieren/informationen-fuer-fluechtlinge-die-in-nrw-studieren-moechten/","x")</f>
        <v>x</v>
      </c>
      <c r="DY234" s="112" t="str">
        <f>HYPERLINK("http://www.bamf.de/SharedDocs/Anlagen/DE/Publikationen/Flyer/AnerkennungBerufsabschluss/berufliche_anerkennung_akademische-heilberufe_en.pdf?__blob=publicationFile","x")</f>
        <v>x</v>
      </c>
      <c r="DZ234" s="112" t="str">
        <f>HYPERLINK("http://www.bamf.de/SharedDocs/Anlagen/EN/Publikationen/Flyer/AnerkennungBerufsabschluss/anerkennung-berufsabschluss.pdf?__blob=publicationFile","x")</f>
        <v>x</v>
      </c>
      <c r="EA234" s="112" t="str">
        <f>HYPERLINK("http://www.bamf.de/SharedDocs/Anlagen/EN/Publikationen/Flyer/AnerkennungBerufsabschluss/anerkennung-berufsabschluss_ausland.pdf?__blob=publicationFile","x")</f>
        <v>x</v>
      </c>
      <c r="EB234" s="112" t="str">
        <f>HYPERLINK("http://www.bamf.de/SharedDocs/Anlagen/EN/Publikationen/Broschueren/willkommen-in-deutschland-info-blaue-karte-eu_en.pdf?__blob=publicationFile","x")</f>
        <v>x</v>
      </c>
      <c r="EC234" s="112" t="str">
        <f>HYPERLINK("http://www.bamf.de/SharedDocs/Anlagen/EN/Publikationen/Flyer/Berufsbezsprachf-ESF-BAMF/berufsbezsprachf-esf-bamf.pdf?__blob=publicationFile","x")</f>
        <v>x</v>
      </c>
      <c r="ED234" s="111"/>
      <c r="EE234" s="111"/>
      <c r="EF234" s="111"/>
      <c r="EG234" s="111"/>
      <c r="EH234" s="111"/>
      <c r="EI234" s="111"/>
      <c r="EJ234" s="112"/>
      <c r="EK234" s="112" t="str">
        <f>HYPERLINK("http://fluechtlingsrat-bw.de/files/Dateien/Dokumente/Materialbestellung/2014-12-flyer%20arbeitserlaubnis%20EN%20WEB.pdf","x")</f>
        <v>x</v>
      </c>
      <c r="EL234" s="112" t="str">
        <f>HYPERLINK("http://www.aponet.de/englisch/20151019-fuer-den-notfall-wichtige-rufnummern-im-ueberblick.html","x")</f>
        <v>x</v>
      </c>
      <c r="EM234" s="112" t="str">
        <f>HYPERLINK("http://www.kvs-sachsen.de/fileadmin/img/Mitglieder/Asylbewerber/Allg-Informationen/Anlage_1_Englisch_LEK.pdf","x")</f>
        <v>x</v>
      </c>
      <c r="EN234" s="112" t="str">
        <f>HYPERLINK("http://www.medizin-hilft-fluechtlingen.de/images/Dokumente/gSch/gSch_eng.pdf","x")</f>
        <v>x</v>
      </c>
      <c r="EO234" s="112" t="str">
        <f>HYPERLINK("http://www.aponet.de/englisch/medical-care-for-asylum-seekers.html","x")</f>
        <v>x</v>
      </c>
      <c r="EP234" s="117" t="str">
        <f>HYPERLINK("http://www.medi-bild.de/pdf/anamnese/Welche_Sprache.pdf","x")</f>
        <v>x</v>
      </c>
      <c r="EQ234" s="117" t="str">
        <f>HYPERLINK("http://www.armut-gesundheit.de/fileadmin/redakteur/dokumente/Anamnesebogen%20-%20englischnew.pdf","x")</f>
        <v>x</v>
      </c>
      <c r="ER234" s="112" t="str">
        <f>HYPERLINK("http://www.kvs-sachsen.de/fileadmin/img/Mitglieder/Asylbewerber/Allg-Informationen/Anlagen_2-1_2-2_Englisch_LEK.pdf","x")</f>
        <v>x</v>
      </c>
      <c r="ES234" s="111"/>
      <c r="ET234" s="111"/>
      <c r="EU234" s="112" t="str">
        <f>HYPERLINK("http://www.medizin-hilft-fluechtlingen.de/images/Dokumente/ein/ein_engl.pdf","x")</f>
        <v>x</v>
      </c>
      <c r="EV234" s="112" t="str">
        <f>HYPERLINK("http://www.adler-apotheke-hh.de/fileadmin/user_upload/PDF-Dateien/Dosierzettel_mehrsprachig_AUF_0_.pdf","x")</f>
        <v>x</v>
      </c>
      <c r="EW234" s="112" t="str">
        <f t="shared" si="92"/>
        <v>x</v>
      </c>
      <c r="EX234" s="112" t="str">
        <f>HYPERLINK("http://www.rki.de/DE/Content/Infekt/IfSG/Belehrungsbogen/belehrungsbogen_eltern_englisch.pdf?__blob=publicationFile","x")</f>
        <v>x</v>
      </c>
      <c r="EY234" s="112" t="str">
        <f>HYPERLINK("http://www.bzga.de/infomaterialien/?sid=236","x")</f>
        <v>x</v>
      </c>
      <c r="EZ234" s="112" t="str">
        <f>HYPERLINK("https://www.mh-hannover.de/fileadmin/mhh/bilder/aktuelles_presse/pressestelle/bilder/Pilzvergif_English.pdf","x")</f>
        <v>x</v>
      </c>
      <c r="FA234" s="112"/>
      <c r="FB234" s="112" t="str">
        <f>HYPERLINK("http://static.apotheken-umschau.de/media/gp/article_506373/bildwoerterbuch.pdf","x")</f>
        <v>x</v>
      </c>
      <c r="FC234" s="112" t="str">
        <f>HYPERLINK("https://www.studentenwerke.de/sites/default/files/gesundheitswoerterbuch.pdf","x")</f>
        <v>x</v>
      </c>
      <c r="FD234" s="112" t="str">
        <f t="shared" si="93"/>
        <v>x</v>
      </c>
      <c r="FE234" s="112" t="str">
        <f>HYPERLINK("http://sghanstedt.elbnetz.com/ueber-uns/","x")</f>
        <v>x</v>
      </c>
      <c r="FF234" s="112" t="str">
        <f>HYPERLINK("http://www.fuhlenhagen.com/pdf_dateien/uebertzungshilfe_aerzte_mehrsprachig.pdf","x")</f>
        <v>x</v>
      </c>
      <c r="FG234" s="112" t="str">
        <f>HYPERLINK("http://www.tipdoc.de/grafik/asyl/Gesundheitsheft_Asyl.pdf","x")</f>
        <v>x</v>
      </c>
      <c r="FH234" s="111"/>
      <c r="FI234" s="111"/>
      <c r="FJ234" s="112" t="str">
        <f>HYPERLINK("http://www.bundesgesundheitsministerium.de/fileadmin/dateien/Publikationen/Gesundheit/Broschueren/Ratgeber_Asylsuchende/Ratgeber_Asylsuchende_engl.pdf","x")</f>
        <v>x</v>
      </c>
      <c r="FK234" s="112" t="str">
        <f>HYPERLINK("http://www.rki.de/DE/Content/Infekt/Impfen/Materialien/Downloads-Impfkalender/Impfkalender_Englisch.pdf?__blob=publicationFile","x")</f>
        <v>x</v>
      </c>
      <c r="FL234" s="112" t="str">
        <f>HYPERLINK("http://www.ethno-medizinisches-zentrum.de/images/PDF-Files/impfwegweiser_englisch_2013_online.pdf","x")</f>
        <v>x</v>
      </c>
      <c r="FM234" s="112"/>
      <c r="FN234" s="112" t="str">
        <f>HYPERLINK("http://www.rki.de/DE/Content/Infekt/Impfen/Materialien/Glossar-Downloads/glossar-de-englisch.pdf?__blob=publicationFile","x")</f>
        <v>x</v>
      </c>
      <c r="FO234" s="112" t="str">
        <f>HYPERLINK("http://www.euro.who.int/__data/assets/pdf_file/0005/160754/VPDs_Signs-symptoms-complications.pdf?ua=1","x")</f>
        <v>x</v>
      </c>
      <c r="FP234" s="112" t="str">
        <f>HYPERLINK("http://www.rki.de/DE/Content/Infekt/Impfen/Materialien/Downloads-MMR/MMR-Impfinfo-englisch.pdf?__blob=publicationFile","x")</f>
        <v>x</v>
      </c>
      <c r="FQ234" s="112" t="str">
        <f>HYPERLINK("http://www.rki.de/DE/Content/InfAZ/P/Polio/Ausbruch_Syrien/Informationsblatt_Polio_Englisch.pdf?__blob=publicationFile","x")</f>
        <v>x</v>
      </c>
      <c r="FR234" s="112" t="str">
        <f>HYPERLINK("http://www.rki.de/DE/Content/Infekt/Impfen/Materialien/Downloads_HepA/Aufklaerung_HAV-Impfung_Englisch.pdf?__blob=publicationFile","x")</f>
        <v>x</v>
      </c>
      <c r="FS234" s="112" t="str">
        <f>HYPERLINK("http://www.rki.de/DE/Content/Infekt/Impfen/Materialien/Downloads_Pneumokokken/Aufklaerung_Pneumo-Impfung_Englisch.pdf?__blob=publicationFile","x")</f>
        <v>x</v>
      </c>
      <c r="FT234" s="112" t="str">
        <f>HYPERLINK("http://www.rki.de/DE/Content/Infekt/Impfen/Materialien/Downloads-DTaPIPVHibHepB/DTaPIPVHibHepB-englisch.pdf?__blob=publicationFile","x")</f>
        <v>x</v>
      </c>
      <c r="FU234" s="112" t="str">
        <f>HYPERLINK("http://www.rki.de/DE/Content/Infekt/Impfen/Materialien/Downloads-Varizellen/Varizellen-Impfinfo-englisch.pdf;jsessionid=65B697F4EE7EDA8A1ED9E2C4CD6C74EC.2_cid363?__blob=publicationFile","x")</f>
        <v>x</v>
      </c>
      <c r="FV234" s="112" t="str">
        <f>HYPERLINK("http://www.rki.de/DE/Content/Infekt/Impfen/Materialien/Downloads-Tdap-IPV/Tdap-IPV-englisch.pdf?__blob=publicationFile","x")</f>
        <v>x</v>
      </c>
      <c r="FW234" s="112" t="str">
        <f>HYPERLINK("http://www.rki.de/DE/Content/Infekt/Impfen/Materialien/Downloads-Influenza_nasal/Influenza_nasal-englisch.pdf?__blob=publicationFile","x")</f>
        <v>x</v>
      </c>
      <c r="FX234" s="111"/>
      <c r="FY234" s="112"/>
      <c r="FZ234" s="112"/>
      <c r="GA234" s="111"/>
      <c r="GB234" s="111"/>
      <c r="GC234" s="111"/>
      <c r="GD234" s="112" t="str">
        <f>HYPERLINK("http://www.ethno-medizinisches-zentrum.de/images/PDF-Files/lf_diabete_englisch.pdf","x")</f>
        <v>x</v>
      </c>
      <c r="GE234" s="111"/>
      <c r="GF234" s="111"/>
      <c r="GG234" s="111"/>
      <c r="GH234" s="112"/>
      <c r="GI234" s="111"/>
      <c r="GJ234" s="111"/>
      <c r="GK234" s="112" t="str">
        <f>HYPERLINK("http://www.tipdoc.de/bus/pdf/hiv/HIV%20ESP_Webseite.pdf","x")</f>
        <v>x</v>
      </c>
      <c r="GL234" s="111"/>
      <c r="GM234" s="112" t="str">
        <f>HYPERLINK("http://www.rki.de/DE/Content/Infekt/Impfen/Materialien/Downloads-Influenza/Influenza-englisch.pdf?__blob=publicationFile","x")</f>
        <v>x</v>
      </c>
      <c r="GN234" s="111"/>
      <c r="GO234" s="112" t="str">
        <f>HYPERLINK("http://www.aponet.de/englisch/20151111-so-unterscheiden-sich-grippe-und-erkaeltung.html","x")</f>
        <v>x</v>
      </c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2" t="str">
        <f t="shared" si="94"/>
        <v>x</v>
      </c>
      <c r="HD234" s="112" t="str">
        <f>HYPERLINK("https://www.zahnaerzte-wl.de/images/_PDF-suche/KZV_ZÄK/ENDSTAND_Ankreuzbogen_Ich_verstehe.pdf","x")</f>
        <v>x</v>
      </c>
      <c r="HE234" s="112" t="str">
        <f>HYPERLINK("https://www.zahnaerzte-wl.de/images/_PDF-suche/KZV_ZÄK/Anschreiben_Patienten_englisch.pdf","x")</f>
        <v>x</v>
      </c>
      <c r="HF234" s="112" t="str">
        <f>HYPERLINK("https://www.zahnaerzte-wl.de/images/_PDF-suche/KZV_ZÄK/Fragebogen_englisch.pdf","x")</f>
        <v>x</v>
      </c>
      <c r="HG234" s="112" t="str">
        <f>HYPERLINK("https://www.zahnaerzte-wl.de/images/_PDF-suche/KZV_ZÄK/Patientenerhebungsbogen_englisch.pdf","x")</f>
        <v>x</v>
      </c>
      <c r="HH234" s="112"/>
      <c r="HI234" s="112" t="str">
        <f>HYPERLINK("http://www.bvkm.de/fileadmin/web_data/Behinderung_und_Migration_englisch_2014.pdf","x")</f>
        <v>x</v>
      </c>
      <c r="HJ234" s="112"/>
      <c r="HK234" s="112" t="str">
        <f>HYPERLINK("http://www.psychenet.de/en/mental-health/knowledge/depression.html","x")</f>
        <v>x</v>
      </c>
      <c r="HL234" s="111"/>
      <c r="HM234" s="112" t="str">
        <f>HYPERLINK("http://www.psychenet.de/en/mental-health/knowledge/psychoses.html","x")</f>
        <v>x</v>
      </c>
      <c r="HN234" s="112" t="str">
        <f>HYPERLINK("http://www.psychenet.de/en/mental-health/knowledge/somatoform-disorders.html","x")</f>
        <v>x</v>
      </c>
      <c r="HO234" s="112" t="str">
        <f>HYPERLINK("http://www.psychenet.de/en/mental-health/knowledge/anorexia.html","x")</f>
        <v>x</v>
      </c>
      <c r="HP234" s="112" t="str">
        <f>HYPERLINK("http://www.psychenet.de/en/mental-health/knowledge/bulimia.html","x")</f>
        <v>x</v>
      </c>
      <c r="HQ234" s="112" t="str">
        <f>HYPERLINK("http://www.psychenet.de/en/mental-health/knowledge/bipolar-disorder.html","x")</f>
        <v>x</v>
      </c>
      <c r="HR234" s="112" t="str">
        <f>HYPERLINK("http://www.psychenet.de/en/mental-health/knowledge/panic-and-agoraphobia.html","x")</f>
        <v>x</v>
      </c>
      <c r="HS234" s="112" t="str">
        <f>HYPERLINK("http://www.psychenet.de/en/mental-health/knowledge/social-phobia.html","x")</f>
        <v>x</v>
      </c>
      <c r="HT234" s="112" t="str">
        <f>HYPERLINK("http://www.psychenet.de/en/mental-health/knowledge/generalized-anxiety-disorder.html","x")</f>
        <v>x</v>
      </c>
      <c r="HU234" s="112"/>
      <c r="HV234" s="112" t="str">
        <f>HYPERLINK("http://www.psychenet.de/en/mental-health/knowledge/information-and-support.html","x")</f>
        <v>x</v>
      </c>
      <c r="HW234" s="112"/>
      <c r="HX234" s="112" t="str">
        <f>HYPERLINK("http://www.bkk-psychisch-gesund.de/fileadmin/user_upload/Dokumente/Versicherte/Broschueren/Wegweiser_Psychotherapie_englisch.pdf","x")</f>
        <v>x</v>
      </c>
      <c r="HY234" s="112" t="str">
        <f t="shared" si="95"/>
        <v>x</v>
      </c>
      <c r="HZ234" s="112" t="str">
        <f t="shared" si="96"/>
        <v>x</v>
      </c>
      <c r="IA234" s="112" t="str">
        <f>HYPERLINK("http://peacefulheart.se/wp-content/uploads/2012/02/TTT_English_2013.pdf","x")</f>
        <v>x</v>
      </c>
      <c r="IB234" s="112"/>
      <c r="IC234" s="112"/>
      <c r="ID234" s="112" t="str">
        <f>HYPERLINK("http://www.susannestein.de/VIA-online/trauma-picture-book.pdf","x")</f>
        <v>x</v>
      </c>
      <c r="IE234" s="112" t="str">
        <f>HYPERLINK("http://www.psychenet.de/en/mental-health/knowledge/alcohol-in-adolescence.html","x")</f>
        <v>x</v>
      </c>
      <c r="IF234" s="112"/>
      <c r="IG234" s="112"/>
      <c r="IH234" s="111"/>
      <c r="II234" s="112" t="str">
        <f>HYPERLINK("http://www.caritas.de/hilfeundberatung/onlineberatung/suchtberatung/haeufiggestelltefragensucht/haeufiggestelltefragen-sucht","x")</f>
        <v>x</v>
      </c>
      <c r="IJ234" s="112" t="str">
        <f>HYPERLINK("http://www.dhs.de/fileadmin/user_upload/pdf/Broschueren/Ein_Angebot_an_alle-Englisch.pdf","x")</f>
        <v>x</v>
      </c>
      <c r="IK234" s="112" t="str">
        <f>HYPERLINK("http://www.bamf.de/SharedDocs/Anlagen/EN/Publikationen/Flyer/Lassen-Sie-Sich-Beraten/lassen-sie-sich-beraten.pdf?__blob=publicationFile","x")</f>
        <v>x</v>
      </c>
      <c r="IL234" s="115" t="str">
        <f>HYPERLINK("http://www.bamf.de/SharedDocs/Anlagen/EN/Publikationen/Flyer/flyer-erstorientierung-asylsuchende.pdf?__blob=publicationFile","x")</f>
        <v>x</v>
      </c>
      <c r="IM234" s="112" t="str">
        <f>HYPERLINK("http://www.frnrw.de/index.php/inhaltliche-themen/arbeitshilfen/item/3710-erstinfos-fuer-asylsuchende","x")</f>
        <v>x</v>
      </c>
      <c r="IN234" s="112" t="str">
        <f>HYPERLINK("http://www.bamf.de/SharedDocs/Anlagen/EN/Publikationen/Broschueren/willkommen-in-deutschland.pdf;jsessionid=2D72CB108E4AC02BBB9659E7D9A589B2.1_cid368?__blob=publicationFile","x")</f>
        <v>x</v>
      </c>
      <c r="IO234" s="112"/>
      <c r="IP234" s="112"/>
      <c r="IQ234" s="112" t="str">
        <f>HYPERLINK("http://www.bamf.de/SharedDocs/Anlagen/EN/Publikationen/Flyer/Lernen-Sie-Deutsch/lernen-sie-deutsch.pdf?__blob=publicationFile","x")</f>
        <v>x</v>
      </c>
      <c r="IR234" s="112" t="str">
        <f>HYPERLINK("http://www.asyl.net/fileadmin/user_upload/redaktion/Dokumente/Arbeitshilfen/150910_Wie_l%C3%A4uft_ein_Asylverfahren_ab_%C3%9Cberblickstext_Englisch.pdf","x")</f>
        <v>x</v>
      </c>
      <c r="IS234" s="111"/>
      <c r="IT234" s="112" t="str">
        <f>HYPERLINK("http://www.bamf.de/SharedDocs/Anlagen/EN/Publikationen/Flyer/ablauf-asylverfahren.pdf;jsessionid=DBD4307960D761935FCC3E0325D459A1.1_cid294?__blob=publicationFile","x")</f>
        <v>x</v>
      </c>
      <c r="IU234" s="111"/>
      <c r="IV234" s="112" t="str">
        <f>HYPERLINK("http://www.asyl.net/fileadmin/user_upload/infoblatt_anhoerung/Infoblatt_2015_en_fin.pdf","x")</f>
        <v>x</v>
      </c>
      <c r="IW234" s="112"/>
      <c r="IX234" s="112" t="str">
        <f>HYPERLINK("http://www.berlin.de/labo/willkommen-in-berlin/service/downloads/artikel.273193.php","x")</f>
        <v>x</v>
      </c>
      <c r="IY234" s="112" t="str">
        <f>HYPERLINK("http://www.bamf.de/SharedDocs/Anlagen/EN/Publikationen/Broschueren/broschuere-eat-a4.pdf?__blob=publicationFile","x")</f>
        <v>x</v>
      </c>
      <c r="IZ234" s="111"/>
      <c r="JA234" s="112" t="str">
        <f>HYPERLINK("http://fluechtlingsrat-bw.de/informationen-fuer-fluechtlinge.html","x")</f>
        <v>x</v>
      </c>
      <c r="JB234" s="111"/>
      <c r="JC234" s="112" t="str">
        <f>HYPERLINK("http://www.bamf.de/SharedDocs/Anlagen/EN/Publikationen/Flyer/20150223_ura2_en.pdf?__blob=publicationFile","x")</f>
        <v>x</v>
      </c>
      <c r="JD234" s="111"/>
      <c r="JE234" s="112"/>
      <c r="JF234" s="112"/>
      <c r="JG234" s="112" t="str">
        <f>HYPERLINK("http://www.bamf.de/SharedDocs/Anlagen/EN/Publikationen/Flyer/Ehegattennachzug/ehegattennachzug.pdf?__blob=publicationFile","x")</f>
        <v>x</v>
      </c>
      <c r="JH234" s="112" t="str">
        <f>HYPERLINK("https://familyreunion-syria.diplo.de/webportal/index.html#start","x")</f>
        <v>x</v>
      </c>
      <c r="JI234" s="112" t="str">
        <f>HYPERLINK("http://ec.europa.eu/dgs/home-affairs/what-we-do/networks/european_migration_network/docs/emn-glossary-en-version.pdf","x")</f>
        <v>x</v>
      </c>
      <c r="JJ234" s="112"/>
      <c r="JK234" s="112" t="str">
        <f>HYPERLINK("https://www.arbeitsagentur.de/web/wcm/idc/groups/public/documents/webdatei/mdaw/mjgz/~edisp/l6019022dstbai784628.pdf?_ba.sid=L6019022DSTBAI784625","x")</f>
        <v>x</v>
      </c>
      <c r="JL234" s="112" t="str">
        <f>HYPERLINK("http://www.kub-berlin.org/formularprojekt/de/englisch-antraege-und-anlagen-uebersetzungshilfen/","x")</f>
        <v>x</v>
      </c>
      <c r="JM234" s="112" t="str">
        <f>HYPERLINK("https://www.arbeitsagentur.de/web/content/DE/Formulare/Detail/index.htm?dfContentId=L6019022DSTBAI485740","x")</f>
        <v>x</v>
      </c>
      <c r="JN234" s="112"/>
      <c r="JO234" s="112"/>
      <c r="JP234" s="112"/>
      <c r="JQ234" s="112"/>
      <c r="JR234" s="112" t="str">
        <f>HYPERLINK("http://www.ibla-germany.de/merkblaetter.php","x")</f>
        <v>x</v>
      </c>
      <c r="JS234" s="112"/>
      <c r="JT234" s="112" t="str">
        <f>HYPERLINK("http://www.b-umf.de/images/willkommen/willkommensbroschureenglisch-web.pdf","x")</f>
        <v>x</v>
      </c>
      <c r="JU234" s="111"/>
      <c r="JV234" s="111"/>
      <c r="JW234" s="112"/>
      <c r="JX234" s="112" t="str">
        <f>HYPERLINK("https://www.arbeitsagentur.de/web/wcm/idc/groups/public/documents/webdatei/mdaw/mjgz/~edisp/l6019022dstbai784636.pdf?_ba.sid=L6019022DSTBAI784633","x")</f>
        <v>x</v>
      </c>
      <c r="JY234" s="112"/>
      <c r="JZ234" s="112"/>
      <c r="KA234" s="112"/>
      <c r="KB234" s="112" t="str">
        <f>HYPERLINK("http://www.refugeeguide.de/dl/RefugeeGuide_en_925.pdf","x")</f>
        <v>x</v>
      </c>
      <c r="KC234" s="112" t="str">
        <f>HYPERLINK("http://www.gesetze-im-internet.de/englisch_gg/basic_law_for_the_federal_republic_of_germany.pdf","x")</f>
        <v>x</v>
      </c>
      <c r="KD234" s="112" t="str">
        <f>HYPERLINK("http://www.wedel.de/fileadmin/user_upload/media/pdf/Rathaus_und_Politik/20160118_PM_Broschuere.pdf","x")</f>
        <v>x</v>
      </c>
      <c r="KE234" s="112" t="str">
        <f>HYPERLINK("http://www.frauenrechte.de/online/images/downloads/allgemein/TDF_Flyer_Women_Men.pdf","x")</f>
        <v>x</v>
      </c>
      <c r="KF234" s="112" t="str">
        <f>HYPERLINK("http://sab.landtag.sachsen.de/dokumente/landtagskurier/Grundwerte-A5-international_web_08012016.pdf","x")</f>
        <v>x</v>
      </c>
      <c r="KG234" s="112"/>
      <c r="KH234" s="112"/>
      <c r="KI234" s="112"/>
      <c r="KJ234" s="112"/>
      <c r="KK234" s="112"/>
      <c r="KL234" s="112"/>
      <c r="KM234" s="112"/>
      <c r="KN234" s="112"/>
      <c r="KO234" s="112"/>
      <c r="KP234" s="112"/>
      <c r="KQ234" s="112"/>
      <c r="KR234" s="112"/>
      <c r="KS234" s="112"/>
      <c r="KT234" s="112"/>
      <c r="KU234" s="112"/>
      <c r="KV234" s="112"/>
      <c r="KW234" s="112"/>
      <c r="KX234" s="112"/>
      <c r="KY234" s="112"/>
      <c r="KZ234" s="112"/>
      <c r="LA234" s="112"/>
      <c r="LB234" s="112"/>
      <c r="LC234" s="111"/>
      <c r="LD234" s="112"/>
      <c r="LE234" s="112"/>
      <c r="LF234" s="112"/>
      <c r="LG234" s="112"/>
      <c r="LH234" s="112"/>
      <c r="LI234" s="112"/>
      <c r="LJ234" s="112"/>
      <c r="LK234" s="112"/>
      <c r="LL234" s="112"/>
      <c r="LM234" s="112"/>
      <c r="LN234" s="112"/>
      <c r="LO234" s="112"/>
      <c r="LP234" s="112"/>
      <c r="LQ234" s="112"/>
      <c r="LR234" s="112"/>
      <c r="LS234" s="112"/>
      <c r="LT234" s="112"/>
      <c r="LU234" s="112"/>
      <c r="LV234" s="112"/>
      <c r="LW234" s="112"/>
      <c r="LX234" s="112"/>
      <c r="LY234" s="112"/>
      <c r="LZ234" s="112"/>
      <c r="MA234" s="112"/>
      <c r="MB234" s="112"/>
      <c r="MC234" s="111"/>
      <c r="MD234" s="112" t="str">
        <f>HYPERLINK("http://www.rki.de/DE/Content/Infekt/IfSG/Belehrungsbogen/belehrungsbogen_lebensmittel_englisch.pdf?__blob=publicationFile","x")</f>
        <v>x</v>
      </c>
      <c r="ME234" s="112"/>
      <c r="MF234" s="112" t="str">
        <f>HYPERLINK("http://www.gdv.de/wp-content/uploads/2016/01/Information_Brandschutz_Fluechtlingsheim_-Sicherheit_mehrsprachig.pdf","x")</f>
        <v>x</v>
      </c>
      <c r="MG234" s="112" t="str">
        <f>HYPERLINK("http://www.gdv.de/wp-content/uploads/2016/01/Information_Verhalten-im-Brandfall_mehrsprachig.pdf","x")</f>
        <v>x</v>
      </c>
      <c r="MH234" s="112" t="str">
        <f>HYPERLINK("http://www.aha-region.de/fileadmin/Download/pdf/aha_Plakat_Muelltrennung_en.pdf","x")</f>
        <v>x</v>
      </c>
      <c r="MI234" s="112" t="str">
        <f>HYPERLINK("http://www.kindersicherheit.de/pdf/2012_poster_achtunggiftig_8sprachig.pdf","x")</f>
        <v>x</v>
      </c>
    </row>
    <row r="235" spans="1:347" x14ac:dyDescent="0.25">
      <c r="A235" s="102" t="s">
        <v>397</v>
      </c>
      <c r="B235" s="127" t="s">
        <v>106</v>
      </c>
      <c r="C235" s="102"/>
      <c r="D235" s="102"/>
      <c r="E235" s="102"/>
      <c r="F235" s="102"/>
      <c r="G235" s="102"/>
      <c r="H235" s="102"/>
      <c r="I235" s="102"/>
      <c r="J235" s="102"/>
      <c r="K235" s="103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2"/>
      <c r="AP235" s="112"/>
      <c r="AQ235" s="112"/>
      <c r="AR235" s="112"/>
      <c r="AS235" s="112"/>
      <c r="AT235" s="112"/>
      <c r="AU235" s="112"/>
      <c r="AV235" s="113"/>
      <c r="AW235" s="114" t="str">
        <f t="shared" si="78"/>
        <v>x</v>
      </c>
      <c r="AX235" s="114" t="str">
        <f t="shared" si="79"/>
        <v>x</v>
      </c>
      <c r="AY235" s="111"/>
      <c r="AZ235" s="111"/>
      <c r="BA235" s="112" t="str">
        <f t="shared" si="80"/>
        <v>x</v>
      </c>
      <c r="BB235" s="112" t="str">
        <f t="shared" si="81"/>
        <v>x</v>
      </c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2" t="str">
        <f t="shared" si="82"/>
        <v>x</v>
      </c>
      <c r="BT235" s="112"/>
      <c r="BU235" s="111"/>
      <c r="BV235" s="112" t="str">
        <f t="shared" si="83"/>
        <v>x</v>
      </c>
      <c r="BW235" s="112" t="str">
        <f>HYPERLINK("http://www.welcomegrooves.de/wp-content/uploads/2015/11/welcomegrooves_DE-GRIECHISCH.pdf","x")</f>
        <v>x</v>
      </c>
      <c r="BX235" s="112"/>
      <c r="BY235" s="112"/>
      <c r="BZ235" s="112"/>
      <c r="CA235" s="112" t="str">
        <f t="shared" si="84"/>
        <v>x</v>
      </c>
      <c r="CB235" s="112" t="str">
        <f t="shared" si="85"/>
        <v>x</v>
      </c>
      <c r="CC235" s="112" t="str">
        <f t="shared" si="86"/>
        <v>x</v>
      </c>
      <c r="CD235" s="112"/>
      <c r="CE235" s="112"/>
      <c r="CF235" s="111"/>
      <c r="CG235" s="111"/>
      <c r="CH235" s="111"/>
      <c r="CI235" s="111"/>
      <c r="CJ235" s="111"/>
      <c r="CK235" s="112" t="str">
        <f t="shared" si="87"/>
        <v>x</v>
      </c>
      <c r="CL235" s="112"/>
      <c r="CM235" s="112"/>
      <c r="CN235" s="112"/>
      <c r="CO235" s="112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2"/>
      <c r="DA235" s="112"/>
      <c r="DB235" s="112"/>
      <c r="DC235" s="115"/>
      <c r="DD235" s="112"/>
      <c r="DE235" s="112"/>
      <c r="DF235" s="112" t="str">
        <f t="shared" si="88"/>
        <v>x</v>
      </c>
      <c r="DG235" s="115" t="str">
        <f t="shared" si="89"/>
        <v>x</v>
      </c>
      <c r="DH235" s="112" t="str">
        <f t="shared" si="90"/>
        <v>x</v>
      </c>
      <c r="DI235" s="112" t="str">
        <f t="shared" si="91"/>
        <v>x</v>
      </c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2" t="str">
        <f>HYPERLINK("http://bildung.koeln.de/materialbibliothek/download.php?idx=d35570d7126defc916713321f0977622","x")</f>
        <v>x</v>
      </c>
      <c r="DT235" s="112" t="str">
        <f>HYPERLINK("http://bildung.koeln.de/materialbibliothek/download.php?idx=bde72be3f1bc4c51a4b0bcfe4a4187c4","x")</f>
        <v>x</v>
      </c>
      <c r="DU235" s="112"/>
      <c r="DV235" s="112" t="str">
        <f>HYPERLINK("https://www.bmbf.de/pub/BMBF_Kausa_Elternbroschuere_griechisch.pdf","x")</f>
        <v>x</v>
      </c>
      <c r="DW235" s="111"/>
      <c r="DX235" s="111"/>
      <c r="DY235" s="111"/>
      <c r="DZ235" s="111"/>
      <c r="EA235" s="112" t="str">
        <f>HYPERLINK("http://www.bamf.de/SharedDocs/Anlagen/DE/Publikationen/Flyer/AnerkennungBerufsabschluss/anerkennung-berufsabschluss_ausland_el.pdf?__blob=publicationFile","x")</f>
        <v>x</v>
      </c>
      <c r="EB235" s="112"/>
      <c r="EC235" s="112" t="str">
        <f>HYPERLINK("http://www.bamf.de/SharedDocs/Anlagen/DE/Publikationen/Flyer/Berufsbezsprachf-ESF-BAMF/berufsbezsprachf-esf-bamf_gr.pdf?__blob=publicationFile","x")</f>
        <v>x</v>
      </c>
      <c r="ED235" s="111"/>
      <c r="EE235" s="111"/>
      <c r="EF235" s="111"/>
      <c r="EG235" s="111"/>
      <c r="EH235" s="111"/>
      <c r="EI235" s="111"/>
      <c r="EJ235" s="112"/>
      <c r="EK235" s="112"/>
      <c r="EL235" s="111"/>
      <c r="EM235" s="111"/>
      <c r="EN235" s="111"/>
      <c r="EO235" s="111"/>
      <c r="EP235" s="117" t="str">
        <f>HYPERLINK("http://www.medi-bild.de/pdf/anamnese/Welche_Sprache.pdf","x")</f>
        <v>x</v>
      </c>
      <c r="EQ235" s="117" t="str">
        <f>HYPERLINK("http://www.medknowledge.de/migration/tipdoc/anamnesebogen/tipdoc_Anamnese_greek.pdf","x")</f>
        <v>x</v>
      </c>
      <c r="ER235" s="111"/>
      <c r="ES235" s="111"/>
      <c r="ET235" s="111"/>
      <c r="EU235" s="111"/>
      <c r="EV235" s="111"/>
      <c r="EW235" s="112" t="str">
        <f t="shared" si="92"/>
        <v>x</v>
      </c>
      <c r="EX235" s="111"/>
      <c r="EY235" s="111"/>
      <c r="EZ235" s="111"/>
      <c r="FA235" s="111"/>
      <c r="FB235" s="111"/>
      <c r="FC235" s="111"/>
      <c r="FD235" s="112" t="str">
        <f t="shared" si="93"/>
        <v>x</v>
      </c>
      <c r="FE235" s="112" t="str">
        <f>HYPERLINK("http://sghanstedt.elbnetz.com/ueber-uns/","x")</f>
        <v>x</v>
      </c>
      <c r="FF235" s="111"/>
      <c r="FG235" s="111"/>
      <c r="FH235" s="111"/>
      <c r="FI235" s="111"/>
      <c r="FJ235" s="111"/>
      <c r="FK235" s="111"/>
      <c r="FL235" s="112" t="str">
        <f>HYPERLINK("http://www.ethno-medizinisches-zentrum.de/images/PDF-Files/impfwegweiser_griechisch_2013_online.pdf","x")</f>
        <v>x</v>
      </c>
      <c r="FM235" s="112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2" t="str">
        <f t="shared" si="94"/>
        <v>x</v>
      </c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2" t="str">
        <f t="shared" si="95"/>
        <v>x</v>
      </c>
      <c r="HZ235" s="112" t="str">
        <f t="shared" si="96"/>
        <v>x</v>
      </c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2" t="str">
        <f>HYPERLINK("http://www.bamf.de/SharedDocs/Anlagen/DE/Publikationen/Flyer/Lassen-Sie-Sich-Beraten/lassen-sie-sich-beraten_el.pdf?__blob=publicationFile","x")</f>
        <v>x</v>
      </c>
      <c r="IL235" s="111"/>
      <c r="IM235" s="111"/>
      <c r="IN235" s="112" t="str">
        <f>HYPERLINK("https://www.bamf.de/SharedDocs/Anlagen/DE/Publikationen/Broschueren/willkommen-in-deutschland_gr.pdf?__blob=publicationFile","x")</f>
        <v>x</v>
      </c>
      <c r="IO235" s="112"/>
      <c r="IP235" s="111"/>
      <c r="IQ235" s="112" t="str">
        <f>HYPERLINK("http://www.bamf.de/SharedDocs/Anlagen/DE/Publikationen/Flyer/Lernen-Sie-Deutsch/lernen-sie-deutsch_gr.pdf?__blob=publicationFile","x")</f>
        <v>x</v>
      </c>
      <c r="IR235" s="112"/>
      <c r="IS235" s="111"/>
      <c r="IT235" s="111"/>
      <c r="IU235" s="111"/>
      <c r="IV235" s="112"/>
      <c r="IW235" s="112"/>
      <c r="IX235" s="112" t="str">
        <f>HYPERLINK("http://www.berlin.de/labo/willkommen-in-berlin/service/downloads/artikel.273193.php","x")</f>
        <v>x</v>
      </c>
      <c r="IY235" s="112"/>
      <c r="IZ235" s="111"/>
      <c r="JA235" s="111"/>
      <c r="JB235" s="111"/>
      <c r="JC235" s="112"/>
      <c r="JD235" s="111"/>
      <c r="JE235" s="112"/>
      <c r="JF235" s="112"/>
      <c r="JG235" s="112"/>
      <c r="JH235" s="112"/>
      <c r="JI235" s="111"/>
      <c r="JJ235" s="112"/>
      <c r="JK235" s="112"/>
      <c r="JL235" s="112"/>
      <c r="JM235" s="112" t="str">
        <f>HYPERLINK("https://www.arbeitsagentur.de/web/content/DE/Formulare/Detail/index.htm?dfContentId=L6019022DSTBAI485740","x")</f>
        <v>x</v>
      </c>
      <c r="JN235" s="112"/>
      <c r="JO235" s="112"/>
      <c r="JP235" s="112"/>
      <c r="JQ235" s="112"/>
      <c r="JR235" s="112" t="str">
        <f>HYPERLINK("http://www.ibla-germany.de/merkblaetter.php","x")</f>
        <v>x</v>
      </c>
      <c r="JS235" s="112"/>
      <c r="JT235" s="111"/>
      <c r="JU235" s="111"/>
      <c r="JV235" s="111"/>
      <c r="JW235" s="112"/>
      <c r="JX235" s="112"/>
      <c r="JY235" s="111"/>
      <c r="JZ235" s="111"/>
      <c r="KA235" s="111"/>
      <c r="KB235" s="111"/>
      <c r="KC235" s="111"/>
      <c r="KD235" s="111"/>
      <c r="KE235" s="111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  <c r="MI235" s="111"/>
    </row>
    <row r="236" spans="1:347" x14ac:dyDescent="0.25">
      <c r="A236" s="102" t="s">
        <v>397</v>
      </c>
      <c r="B236" s="127" t="s">
        <v>11</v>
      </c>
      <c r="C236" s="102"/>
      <c r="D236" s="102"/>
      <c r="E236" s="102"/>
      <c r="F236" s="102"/>
      <c r="G236" s="102"/>
      <c r="H236" s="102"/>
      <c r="I236" s="102"/>
      <c r="J236" s="102"/>
      <c r="K236" s="103"/>
      <c r="L236" s="111"/>
      <c r="M236" s="111"/>
      <c r="N236" s="112" t="str">
        <f>HYPERLINK("http://www.ag-fluechtlingshilfe-wetterau.de/uploads/infos/170.pdf","x")</f>
        <v>x</v>
      </c>
      <c r="O236" s="112"/>
      <c r="P236" s="112" t="str">
        <f>HYPERLINK("http://www.awb-ahrweiler.de/admin/data/ddownload/Abfall%20Sonderhinweise-tuerkisch%202014.pdf","x")</f>
        <v>x</v>
      </c>
      <c r="Q236" s="112"/>
      <c r="R236" s="112"/>
      <c r="S236" s="112"/>
      <c r="T236" s="112"/>
      <c r="U236" s="112"/>
      <c r="V236" s="112"/>
      <c r="W236" s="111"/>
      <c r="X236" s="112"/>
      <c r="Y236" s="111"/>
      <c r="Z236" s="111"/>
      <c r="AA236" s="111"/>
      <c r="AB236" s="111"/>
      <c r="AC236" s="111"/>
      <c r="AD236" s="112" t="str">
        <f>HYPERLINK("http://www.rundfunkbeitrag.de/e175/e199/Informationsflyer_Buergerinnen_und_Buerger_tuerkisch.pdf","x")</f>
        <v>x</v>
      </c>
      <c r="AE236" s="111"/>
      <c r="AF236" s="112" t="str">
        <f>HYPERLINK("http://www.kub-berlin.org/formularprojekt/de/tuerkisch-antraege-und-anlagen/","x")</f>
        <v>x</v>
      </c>
      <c r="AG236" s="111"/>
      <c r="AH236" s="111"/>
      <c r="AI236" s="111"/>
      <c r="AJ236" s="111"/>
      <c r="AK236" s="111"/>
      <c r="AL236" s="111"/>
      <c r="AM236" s="111"/>
      <c r="AN236" s="111"/>
      <c r="AO236" s="112"/>
      <c r="AP236" s="112"/>
      <c r="AQ236" s="112"/>
      <c r="AR236" s="112"/>
      <c r="AS236" s="112"/>
      <c r="AT236" s="112"/>
      <c r="AU236" s="112"/>
      <c r="AV236" s="113"/>
      <c r="AW236" s="114" t="str">
        <f t="shared" si="78"/>
        <v>x</v>
      </c>
      <c r="AX236" s="114" t="str">
        <f t="shared" si="79"/>
        <v>x</v>
      </c>
      <c r="AY236" s="111"/>
      <c r="AZ236" s="111"/>
      <c r="BA236" s="112" t="str">
        <f t="shared" si="80"/>
        <v>x</v>
      </c>
      <c r="BB236" s="112" t="str">
        <f t="shared" si="81"/>
        <v>x</v>
      </c>
      <c r="BC236" s="111"/>
      <c r="BD236" s="111"/>
      <c r="BE236" s="111"/>
      <c r="BF236" s="111"/>
      <c r="BG236" s="111"/>
      <c r="BH236" s="112" t="str">
        <f>HYPERLINK("http://www.refugeephrasebook.de/pdf/germany150920.pdf","x")</f>
        <v>x</v>
      </c>
      <c r="BI236" s="112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2" t="str">
        <f t="shared" si="82"/>
        <v>x</v>
      </c>
      <c r="BT236" s="112"/>
      <c r="BU236" s="111"/>
      <c r="BV236" s="112" t="str">
        <f t="shared" si="83"/>
        <v>x</v>
      </c>
      <c r="BW236" s="112" t="str">
        <f>HYPERLINK("http://www.welcomegrooves.de/wp-content/uploads/2015/10/welcomegrooves_DE-TUERKISCH1.pdf","x")</f>
        <v>x</v>
      </c>
      <c r="BX236" s="112"/>
      <c r="BY236" s="112"/>
      <c r="BZ236" s="112"/>
      <c r="CA236" s="112" t="str">
        <f t="shared" si="84"/>
        <v>x</v>
      </c>
      <c r="CB236" s="112" t="str">
        <f t="shared" si="85"/>
        <v>x</v>
      </c>
      <c r="CC236" s="112" t="str">
        <f t="shared" si="86"/>
        <v>x</v>
      </c>
      <c r="CD236" s="112"/>
      <c r="CE236" s="112"/>
      <c r="CF236" s="111"/>
      <c r="CG236" s="112" t="str">
        <f>HYPERLINK("http://www.braunschweig.de/leben/frauen/hilfe/Ohne-Gewalt-leben.pdf","x")</f>
        <v>x</v>
      </c>
      <c r="CH236" s="112" t="str">
        <f>HYPERLINK("http://mifkjf.rlp.de/fileadmin/mifkjf/Frauen/Gewalt_gegen_Frauen/Downloads/Broschueren_Flyer/Flyer_Gewalt_tuerkisch.pdf","x")</f>
        <v>x</v>
      </c>
      <c r="CI236" s="112" t="str">
        <f>HYPERLINK("https://www.hilfetelefon.de/fileadmin/hilfetelefon_de/Materialien/Flyer/Infoflyer_Hilfetelefon_Gewalt_gegen_Frauen141105_b2.pdf","x")</f>
        <v>x</v>
      </c>
      <c r="CJ236" s="112" t="str">
        <f>HYPERLINK("https://www.hilfetelefon.de/fileadmin/hilfetelefon_de/Materialien/weitere_werbemittel/Klappflyer_Vorder-_und_Rueckseite_opt2.pdf","x")</f>
        <v>x</v>
      </c>
      <c r="CK236" s="112" t="str">
        <f t="shared" si="87"/>
        <v>x</v>
      </c>
      <c r="CL236" s="112" t="str">
        <f>HYPERLINK("http://www.frauenberatungsstelle.de/pdf/Migrantinnen-beraten-Migrantinnen.pdf","x")</f>
        <v>x</v>
      </c>
      <c r="CM236" s="112"/>
      <c r="CN236" s="112"/>
      <c r="CO236" s="112"/>
      <c r="CP236" s="112" t="str">
        <f>HYPERLINK("http://www.schwanger-und-viele-fragen.de/tr/","x")</f>
        <v>x</v>
      </c>
      <c r="CQ236" s="112"/>
      <c r="CR236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236" s="112"/>
      <c r="CT236" s="112"/>
      <c r="CU236" s="112" t="str">
        <f>HYPERLINK("http://www.profamilia.de/fileadmin/publikationen/Erwachsene/mehrsprachig/verhuetung_tuerkisch.pdf","x")</f>
        <v>x</v>
      </c>
      <c r="CV236" s="112" t="str">
        <f>HYPERLINK("http://www.profamilia.de/fileadmin/publikationen/Reihe_Verhuetungsmethoden/Pille_Spirale_danach_tuerkisch_2011.pdf","x")</f>
        <v>x</v>
      </c>
      <c r="CW236" s="112" t="str">
        <f>HYPERLINK("http://www.profamilia.de/fileadmin/publikationen/Reihe_Verhuetungsmethoden/Einleger_tuerkisch.pdf","x")</f>
        <v>x</v>
      </c>
      <c r="CX236" s="112" t="str">
        <f>HYPERLINK("http://www.profamilia.de/fileadmin/publikationen/Reihe_Koerper_und_Sexualtitaet/Bro_Schwangerschaftsabbruch_TR_ANSICHT.pdf","x")</f>
        <v>x</v>
      </c>
      <c r="CY236" s="112" t="str">
        <f>HYPERLINK("http://www.caritas-schwarzwald-alb-donau.de/68854.html","x")</f>
        <v>x</v>
      </c>
      <c r="CZ236" s="112" t="str">
        <f>HYPERLINK("http://www.dgfpi.de/tl_files/download/medien/unwissen-macht-tk.pdf","x")</f>
        <v>x</v>
      </c>
      <c r="DA236" s="112"/>
      <c r="DB236" s="112"/>
      <c r="DC236" s="115" t="str">
        <f>HYPERLINK("http://www.kindersicherheit.de/pdf/2012_Bilderbuch-Gift-Tuerkisch.pdf","x")</f>
        <v>x</v>
      </c>
      <c r="DD236" s="112"/>
      <c r="DE236" s="112"/>
      <c r="DF236" s="112" t="str">
        <f t="shared" si="88"/>
        <v>x</v>
      </c>
      <c r="DG236" s="115" t="str">
        <f t="shared" si="89"/>
        <v>x</v>
      </c>
      <c r="DH236" s="112" t="str">
        <f t="shared" si="90"/>
        <v>x</v>
      </c>
      <c r="DI236" s="112" t="str">
        <f t="shared" si="91"/>
        <v>x</v>
      </c>
      <c r="DJ236" s="112" t="str">
        <f>HYPERLINK("http://www.bibliomedia.ch/de/angebote/dokumente/Glossar_tuerkisch.pdf","x")</f>
        <v>x</v>
      </c>
      <c r="DK236" s="112"/>
      <c r="DL236" s="112"/>
      <c r="DM236" s="112"/>
      <c r="DN236" s="112"/>
      <c r="DO236" s="112"/>
      <c r="DP236" s="111"/>
      <c r="DQ236" s="112" t="str">
        <f>HYPERLINK("http://tipdoc.de/bus/grafik/kinder-tip/SCHULTIP_give_didacta.pdf","x")</f>
        <v>x</v>
      </c>
      <c r="DR236" s="112" t="str">
        <f>HYPERLINK("https://broschueren.nordrheinwestfalendirekt.de/broschuerenservice/msw/tue-das-schulsystem-in-nordrhein-westfalen-einfach-und-schnell-erklaert/1906","x")</f>
        <v>x</v>
      </c>
      <c r="DS236" s="112" t="str">
        <f>HYPERLINK("http://bildung.koeln.de/materialbibliothek/download.php?idx=46d99ecd1cd085058204a036d1394fed","x")</f>
        <v>x</v>
      </c>
      <c r="DT236" s="112" t="str">
        <f>HYPERLINK("http://bildung.koeln.de/materialbibliothek/download.php?idx=5fa16c0085d80ec9f9262f25c773ed7f","x")</f>
        <v>x</v>
      </c>
      <c r="DU236" s="112"/>
      <c r="DV236" s="112" t="str">
        <f>HYPERLINK("https://www.bmbf.de/pub/Kausa_Elternbroschuere_tuerkisch.pdf","x")</f>
        <v>x</v>
      </c>
      <c r="DW236" s="111"/>
      <c r="DX236" s="111"/>
      <c r="DY236" s="111"/>
      <c r="DZ236" s="112" t="str">
        <f>HYPERLINK("http://www.bamf.de/SharedDocs/Anlagen/TR/Publikationen/Flyer/AnerkennungBerufsabschluss/anerkennung-berufsabschluss.pdf?__blob=publicationFile","x")</f>
        <v>x</v>
      </c>
      <c r="EA236" s="112" t="str">
        <f>HYPERLINK("http://www.bamf.de/SharedDocs/Anlagen/TR/Publikationen/Flyer/AnerkennungBerufsabschluss/anerkennung-berufsabschluss_ausland.pdf?__blob=publicationFile","x")</f>
        <v>x</v>
      </c>
      <c r="EB236" s="112" t="str">
        <f>HYPERLINK("http://www.bamf.de/SharedDocs/Anlagen/DE/Publikationen/Broschueren/willkommen-in-deutschland-info-blaue-karte-eu_tr.pdf?__blob=publicationFile","x")</f>
        <v>x</v>
      </c>
      <c r="EC236" s="112" t="str">
        <f>HYPERLINK("http://www.bamf.de/SharedDocs/Anlagen/TR/Publikationen/Flyer/Berufsbezsprachf-ESF-BAMF/berufsbezsprachf-esf-bamf.pdf?__blob=publicationFile","x")</f>
        <v>x</v>
      </c>
      <c r="ED236" s="111"/>
      <c r="EE236" s="111"/>
      <c r="EF236" s="111"/>
      <c r="EG236" s="111"/>
      <c r="EH236" s="111"/>
      <c r="EI236" s="111"/>
      <c r="EJ236" s="112"/>
      <c r="EK236" s="112"/>
      <c r="EL236" s="115"/>
      <c r="EM236" s="112" t="str">
        <f>HYPERLINK("http://www.kvs-sachsen.de/fileadmin/img/Mitglieder/Asylbewerber/Allg-Informationen/Anlage_1_Tuerkisch_LEK.pdf","x")</f>
        <v>x</v>
      </c>
      <c r="EN236" s="112" t="str">
        <f>HYPERLINK("http://www.medizin-hilft-fluechtlingen.de/images/Dokumente/gSch/gSch_tur.pdf","x")</f>
        <v>x</v>
      </c>
      <c r="EO236" s="111"/>
      <c r="EP236" s="117" t="str">
        <f>HYPERLINK("http://www.medi-bild.de/pdf/anamnese/Welche_Sprache.pdf","x")</f>
        <v>x</v>
      </c>
      <c r="EQ236" s="117" t="str">
        <f>HYPERLINK("http://www.armut-gesundheit.de/fileadmin/redakteur/dokumente/Anamnesebogen%20-%20t%C3%BCrkischnew.pdf","x")</f>
        <v>x</v>
      </c>
      <c r="ER236" s="112" t="str">
        <f>HYPERLINK("http://www.kvs-sachsen.de/fileadmin/img/Mitglieder/Asylbewerber/Allg-Informationen/Anlagen_2-1_2-2_Tuerkisch_LEK.pdf","x")</f>
        <v>x</v>
      </c>
      <c r="ES236" s="111"/>
      <c r="ET236" s="111"/>
      <c r="EU236" s="111"/>
      <c r="EV236" s="112" t="str">
        <f>HYPERLINK("http://www.adler-apotheke-hh.de/fileadmin/user_upload/PDF-Dateien/Dosierzettel_mehrsprachig_AUF_0_.pdf","x")</f>
        <v>x</v>
      </c>
      <c r="EW236" s="112" t="str">
        <f t="shared" si="92"/>
        <v>x</v>
      </c>
      <c r="EX236" s="112" t="str">
        <f>HYPERLINK("http://www.rki.de/DE/Content/Infekt/IfSG/Belehrungsbogen/belehrungsbogen_eltern_tuerkisch.pdf?__blob=publicationFile","x")</f>
        <v>x</v>
      </c>
      <c r="EY236" s="112" t="str">
        <f>HYPERLINK("http://www.bzga.de/infomaterialien/?sid=236","x")</f>
        <v>x</v>
      </c>
      <c r="EZ236" s="112" t="str">
        <f>HYPERLINK("https://www.mh-hannover.de/fileadmin/mhh/bilder/aktuelles_presse/pressestelle/bilder/Pilzverg_tuerkisch.pdf","x")</f>
        <v>x</v>
      </c>
      <c r="FA236" s="112"/>
      <c r="FB236" s="116"/>
      <c r="FC236" s="111"/>
      <c r="FD236" s="112" t="str">
        <f t="shared" si="93"/>
        <v>x</v>
      </c>
      <c r="FE236" s="112" t="str">
        <f>HYPERLINK("http://sghanstedt.elbnetz.com/ueber-uns/","x")</f>
        <v>x</v>
      </c>
      <c r="FF236" s="112" t="str">
        <f>HYPERLINK("http://www.fuhlenhagen.com/pdf_dateien/uebertzungshilfe_aerzte_mehrsprachig.pdf","x")</f>
        <v>x</v>
      </c>
      <c r="FG236" s="111"/>
      <c r="FH236" s="111"/>
      <c r="FI236" s="111"/>
      <c r="FJ236" s="112"/>
      <c r="FK236" s="112" t="str">
        <f>HYPERLINK("http://www.rki.de/DE/Content/Infekt/Impfen/Materialien/Downloads-Impfkalender/Impfkalender_Tuerkisch.pdf?__blob=publicationFile","x")</f>
        <v>x</v>
      </c>
      <c r="FL236" s="112" t="str">
        <f>HYPERLINK("http://www.ethno-medizinisches-zentrum.de/images/PDF-Files/impfwegweiser_turkisch_2013_online.pdf","x")</f>
        <v>x</v>
      </c>
      <c r="FM236" s="112"/>
      <c r="FN236" s="112" t="str">
        <f>HYPERLINK("http://www.rki.de/DE/Content/Infekt/Impfen/Materialien/Glossar-Downloads/glossar-de-tuerkisch.pdf?__blob=publicationFile","x")</f>
        <v>x</v>
      </c>
      <c r="FO236" s="112"/>
      <c r="FP236" s="112" t="str">
        <f>HYPERLINK("http://www.rki.de/DE/Content/Infekt/Impfen/Materialien/Downloads-MMR/MMR-Impfinfo-tuerkisch.pdf?__blob=publicationFile","x")</f>
        <v>x</v>
      </c>
      <c r="FQ236" s="112"/>
      <c r="FR236" s="112" t="str">
        <f>HYPERLINK("http://www.rki.de/DE/Content/Infekt/Impfen/Materialien/Downloads_HepA/Aufklaerung_HAV-Impfung_Tuerkisch.pdf?__blob=publicationFile","x")</f>
        <v>x</v>
      </c>
      <c r="FS236" s="112" t="str">
        <f>HYPERLINK("http://www.rki.de/DE/Content/Infekt/Impfen/Materialien/Downloads_Pneumokokken/Aufklaerung_Pneumo-Impfung_Tuerkisch.pdf?__blob=publicationFile","x")</f>
        <v>x</v>
      </c>
      <c r="FT236" s="112" t="str">
        <f>HYPERLINK("http://www.rki.de/DE/Content/Infekt/Impfen/Materialien/Downloads-DTaPIPVHibHepB/DTaPIPVHibHepB-tuerkisch.pdf?__blob=publicationFile","x")</f>
        <v>x</v>
      </c>
      <c r="FU236" s="112" t="str">
        <f>HYPERLINK("http://www.rki.de/DE/Content/Infekt/Impfen/Materialien/Downloads-Varizellen/Varizellen-Impfinfo-tuerkisch.pdf;jsessionid=65B697F4EE7EDA8A1ED9E2C4CD6C74EC.2_cid363?__blob=publicationFile","x")</f>
        <v>x</v>
      </c>
      <c r="FV236" s="112" t="str">
        <f>HYPERLINK("http://www.rki.de/DE/Content/Infekt/Impfen/Materialien/Downloads-Tdap-IPV/Tdap-IPV-tuerkisch.pdf?__blob=publicationFile","x")</f>
        <v>x</v>
      </c>
      <c r="FW236" s="112" t="str">
        <f>HYPERLINK("http://www.rki.de/DE/Content/Infekt/Impfen/Materialien/Downloads-Influenza_nasal/Influenza_nasal-tuerkisch.pdf?__blob=publicationFile","x")</f>
        <v>x</v>
      </c>
      <c r="FX236" s="112" t="str">
        <f>HYPERLINK("http://www.medical-tribune.de/fileadmin/PDF/Arthrose_tuerkisch.pdf","x")</f>
        <v>x</v>
      </c>
      <c r="FY236" s="112"/>
      <c r="FZ236" s="112" t="str">
        <f>HYPERLINK("http://www.medical-tribune.de/fileadmin/PDF/Bluthochdruck_tuerkisch.pdf","x")</f>
        <v>x</v>
      </c>
      <c r="GA236" s="112"/>
      <c r="GB236" s="112"/>
      <c r="GC236" s="112" t="str">
        <f>HYPERLINK("http://www.medical-tribune.de/fileadmin/PDF/Demenz_tuerkisch.pdf","x")</f>
        <v>x</v>
      </c>
      <c r="GD236" s="115" t="str">
        <f>HYPERLINK("http://www.ethno-medizinisches-zentrum.de/images/PDF-Files/lf_diabetes_turkisch.pdf","x")</f>
        <v>x</v>
      </c>
      <c r="GE236" s="112" t="str">
        <f>HYPERLINK("http://www.medical-tribune.de/fileadmin/PDF/Divertikel_tuerkisch.pdf","x")</f>
        <v>x</v>
      </c>
      <c r="GF236" s="112"/>
      <c r="GG236" s="112" t="str">
        <f>HYPERLINK("http://www.medical-tribune.de/fileadmin/PDF/Gallenstein_tuerkisch.pdf","x")</f>
        <v>x</v>
      </c>
      <c r="GH236" s="112"/>
      <c r="GI236" s="112" t="str">
        <f>HYPERLINK("http://www.tipdoc.de/bus/pdf/hepatitis/Hep_B_Webseite.pdf","x")</f>
        <v>x</v>
      </c>
      <c r="GJ236" s="112" t="str">
        <f>HYPERLINK("http://www.tipdoc.de/bus/pdf/hepatitis/Hep_C_Webseite.pdf","x")</f>
        <v>x</v>
      </c>
      <c r="GK236" s="111"/>
      <c r="GL236" s="111"/>
      <c r="GM236" s="112" t="str">
        <f>HYPERLINK("http://www.rki.de/DE/Content/Infekt/Impfen/Materialien/Downloads-Influenza/Influenza-tuerkisch.pdf?__blob=publicationFile","x")</f>
        <v>x</v>
      </c>
      <c r="GN236" s="112" t="str">
        <f>HYPERLINK("http://www.medical-tribune.de/fileadmin/PDF/Erkaeltung_tuerkisch.pdf","x")</f>
        <v>x</v>
      </c>
      <c r="GO236" s="112"/>
      <c r="GP236" s="112" t="str">
        <f>HYPERLINK("http://www.medi-bild.de/pdf/kopflaeuse2/Kopflaeuse_TURK.pdf","x")</f>
        <v>x</v>
      </c>
      <c r="GQ236" s="112"/>
      <c r="GR236" s="111"/>
      <c r="GS236" s="111"/>
      <c r="GT236" s="115" t="str">
        <f>HYPERLINK("http://www.medical-tribune.de/fileadmin/PDF/Migraene_tuerkisch.pdf","x")</f>
        <v>x</v>
      </c>
      <c r="GU236" s="112" t="str">
        <f>HYPERLINK("http://www.medical-tribune.de/fileadmin/PDF/Rueckenschmerzen_tuerkisch.pdf","x")</f>
        <v>x</v>
      </c>
      <c r="GV236" s="112"/>
      <c r="GW236" s="112" t="str">
        <f>HYPERLINK("http://www.medical-tribune.de/fileadmin/PDF/Schlafstoerungen_tuerkisch.pdf","x")</f>
        <v>x</v>
      </c>
      <c r="GX236" s="112" t="str">
        <f>HYPERLINK("http://www.medical-tribune.de/fileadmin/PDF/Schwindel_tuerkisch.pdf","x")</f>
        <v>x</v>
      </c>
      <c r="GY236" s="112" t="str">
        <f>HYPERLINK("http://www.medical-tribune.de/fileadmin/PDF/Sodbrennen_tuerkisch.pdf","x")</f>
        <v>x</v>
      </c>
      <c r="GZ236" s="112" t="str">
        <f>HYPERLINK("http://www.medical-tribune.de/fileadmin/PDF/Sportverletzungen_tuerkisch.pdf","x")</f>
        <v>x</v>
      </c>
      <c r="HA236" s="112" t="str">
        <f>HYPERLINK("http://www.medical-tribune.de/fileadmin/PDF/Thrombose_tuerkisch.pdf","x")</f>
        <v>x</v>
      </c>
      <c r="HB236" s="112"/>
      <c r="HC236" s="112" t="str">
        <f t="shared" si="94"/>
        <v>x</v>
      </c>
      <c r="HD236" s="112" t="str">
        <f>HYPERLINK("https://www.zahnaerzte-wl.de/images/_PDF-suche/KZV_ZÄK/ENDSTAND_Ankreuzbogen_Ich_verstehe.pdf","x")</f>
        <v>x</v>
      </c>
      <c r="HE236" s="112" t="str">
        <f>HYPERLINK("https://www.zahnaerzte-wl.de/images/_PDF-suche/KZV_ZÄK/Anschreiben_Patienten_tuerkisch.pdf","x")</f>
        <v>x</v>
      </c>
      <c r="HF236" s="112" t="str">
        <f>HYPERLINK("https://www.zahnaerzte-wl.de/images/_PDF-suche/KZV_ZÄK/Fragebogen_tuerkisch.pdf","x")</f>
        <v>x</v>
      </c>
      <c r="HG236" s="112" t="str">
        <f>HYPERLINK("https://www.zahnaerzte-wl.de/images/_PDF-suche/KZV_ZÄK/Patientenerhebungsbogen_tuerkisch.pdf","x")</f>
        <v>x</v>
      </c>
      <c r="HH236" s="112"/>
      <c r="HI236" s="112" t="str">
        <f>HYPERLINK("http://www.bvkm.de/fileadmin/web_data/Behinderung_und_Migration_tuerkisch_2014.pdf","x")</f>
        <v>x</v>
      </c>
      <c r="HJ236" s="112" t="str">
        <f>HYPERLINK("http://www.ibbc-berlin.de/media/bvkm_Bro_de-tuerk_Berlin_web%20Endversion.pdf","x")</f>
        <v>x</v>
      </c>
      <c r="HK236" s="112" t="str">
        <f>HYPERLINK("http://www.psychenet.de/tr/ruhsal-saglik/bilgiler/depresyon.html","x")</f>
        <v>x</v>
      </c>
      <c r="HL236" s="115" t="str">
        <f>HYPERLINK("http://www.ethno-medizinisches-zentrum.de/images/PDF-Files/lf_depression_tr.pdf","x")</f>
        <v>x</v>
      </c>
      <c r="HM236" s="115" t="str">
        <f>HYPERLINK("http://www.psychenet.de/tr/ruhsal-saglik/bilgiler/psikoz.html","x")</f>
        <v>x</v>
      </c>
      <c r="HN236" s="115" t="str">
        <f>HYPERLINK("http://www.psychenet.de/tr/ruhsal-saglik/bilgiler/somatoform-bozukluklar.html","x")</f>
        <v>x</v>
      </c>
      <c r="HO236" s="115" t="str">
        <f>HYPERLINK("http://www.psychenet.de/tr/ruhsal-saglik/bilgiler/asiri-zayiflik.html","x")</f>
        <v>x</v>
      </c>
      <c r="HP236" s="115" t="str">
        <f>HYPERLINK("http://www.psychenet.de/tr/ruhsal-saglik/bilgiler/bulimia.html","x")</f>
        <v>x</v>
      </c>
      <c r="HQ236" s="115" t="str">
        <f>HYPERLINK("http://www.psychenet.de/tr/ruhsal-saglik/bilgiler/bipolar-bozukluk.html","x")</f>
        <v>x</v>
      </c>
      <c r="HR236" s="115" t="str">
        <f>HYPERLINK("http://www.psychenet.de/tr/ruhsal-saglik/bilgiler/agorafobili-panik-bozukluk.html","x")</f>
        <v>x</v>
      </c>
      <c r="HS236" s="115" t="str">
        <f>HYPERLINK("http://www.psychenet.de/tr/ruhsal-saglik/bilgiler/sosyal-fobi.html","x")</f>
        <v>x</v>
      </c>
      <c r="HT236" s="115"/>
      <c r="HU236" s="115" t="str">
        <f>HYPERLINK("http://www.psychenet.de/tr/ruhsal-saglik/bilgiler/burnout.html","x")</f>
        <v>x</v>
      </c>
      <c r="HV236" s="115" t="str">
        <f>HYPERLINK("http://www.psychenet.de/tr/ruhsal-saglik/bilgiler/bilgiler-ve-destek.html","x")</f>
        <v>x</v>
      </c>
      <c r="HW236" s="115" t="str">
        <f>HYPERLINK("http://www.medical-tribune.de/fileadmin/PDF/Restless_Legs_tuerkisch.pdf","x")</f>
        <v>x</v>
      </c>
      <c r="HX236" s="115" t="str">
        <f>HYPERLINK("http://www.bkk-psychisch-gesund.de/fileadmin/user_upload/Dokumente/Versicherte/Broschueren/Wegweiser_Psychotherapie_tuerkisch.pdf","x")</f>
        <v>x</v>
      </c>
      <c r="HY236" s="112" t="str">
        <f t="shared" si="95"/>
        <v>x</v>
      </c>
      <c r="HZ236" s="112" t="str">
        <f t="shared" si="96"/>
        <v>x</v>
      </c>
      <c r="IA236" s="115"/>
      <c r="IB236" s="115"/>
      <c r="IC236" s="115"/>
      <c r="ID236" s="115"/>
      <c r="IE236" s="115" t="str">
        <f>HYPERLINK("http://www.psychenet.de/tr/ruhsal-saglik/bilgiler/genclerde-alkol-tueketimi.html","x")</f>
        <v>x</v>
      </c>
      <c r="IF236" s="115"/>
      <c r="IG236" s="115"/>
      <c r="IH236" s="112" t="str">
        <f>HYPERLINK("http://www.ethno-medizinisches-zentrum.de/images/PDF-Files/lf_mediensucht_tr_geschutzt.pdf","x")</f>
        <v>x</v>
      </c>
      <c r="II236" s="115" t="str">
        <f>HYPERLINK("http://www.caritas.de/hilfeundberatung/onlineberatung/suchtberatung/haeufiggestelltefragensucht/haeufiggestelltefragen-sucht","x")</f>
        <v>x</v>
      </c>
      <c r="IJ236" s="115" t="str">
        <f>HYPERLINK("http://www.bzga.de/infomaterialien/suchtvorbeugung/","x")</f>
        <v>x</v>
      </c>
      <c r="IK236" s="112" t="str">
        <f>HYPERLINK("http://www.bamf.de/SharedDocs/Anlagen/TR/Publikationen/Flyer/Lassen-Sie-Sich-Beraten/lassen-sie-sich-beraten.pdf?__blob=publicationFile","x")</f>
        <v>x</v>
      </c>
      <c r="IL236" s="111"/>
      <c r="IM236" s="111"/>
      <c r="IN236" s="112" t="str">
        <f>HYPERLINK("https://www.bamf.de/SharedDocs/Anlagen/TR/Publikationen/Broschueren/willkommen-in-deutschland-tr.pdf?__blob=publicationFile","x")</f>
        <v>x</v>
      </c>
      <c r="IO236" s="112"/>
      <c r="IP236" s="111"/>
      <c r="IQ236" s="112" t="str">
        <f>HYPERLINK("http://www.bamf.de/SharedDocs/Anlagen/TR/Publikationen/Flyer/Lernen-Sie-Deutsch/lernen-sie-deutsch.pdf?__blob=publicationFile","x")</f>
        <v>x</v>
      </c>
      <c r="IR236" s="112"/>
      <c r="IS236" s="111"/>
      <c r="IT236" s="111"/>
      <c r="IU236" s="111"/>
      <c r="IV236" s="112" t="str">
        <f>HYPERLINK("http://www.asyl.net/fileadmin/user_upload/infoblatt_anhoerung/Tuerk_final.pdf","x")</f>
        <v>x</v>
      </c>
      <c r="IW236" s="112"/>
      <c r="IX236" s="112" t="str">
        <f>HYPERLINK("http://www.berlin.de/labo/willkommen-in-berlin/service/downloads/artikel.273193.php","x")</f>
        <v>x</v>
      </c>
      <c r="IY236" s="112" t="str">
        <f>HYPERLINK("http://www.bamf.de/SharedDocs/Anlagen/TR/Publikationen/Broschueren/broschuere-eat-a4-tr.pdf?__blob=publicationFile","x")</f>
        <v>x</v>
      </c>
      <c r="IZ236" s="111"/>
      <c r="JA236" s="111"/>
      <c r="JB236" s="111"/>
      <c r="JC236" s="112"/>
      <c r="JD236" s="111"/>
      <c r="JE236" s="112"/>
      <c r="JF236" s="112"/>
      <c r="JG236" s="112" t="str">
        <f>HYPERLINK("http://www.bamf.de/SharedDocs/Anlagen/TR/Publikationen/Flyer/Ehegattennachzug/ehegattennachzug.pdf?__blob=publicationFile","x")</f>
        <v>x</v>
      </c>
      <c r="JH236" s="112"/>
      <c r="JI236" s="111"/>
      <c r="JJ236" s="112"/>
      <c r="JK236" s="112"/>
      <c r="JL236" s="112"/>
      <c r="JM236" s="112" t="str">
        <f>HYPERLINK("https://www.arbeitsagentur.de/web/content/DE/Formulare/Detail/index.htm?dfContentId=L6019022DSTBAI485740","x")</f>
        <v>x</v>
      </c>
      <c r="JN236" s="112"/>
      <c r="JO236" s="112"/>
      <c r="JP236" s="112"/>
      <c r="JQ236" s="112"/>
      <c r="JR236" s="112" t="str">
        <f>HYPERLINK("http://www.ibla-germany.de/merkblaetter.php","x")</f>
        <v>x</v>
      </c>
      <c r="JS236" s="112"/>
      <c r="JT236" s="111"/>
      <c r="JU236" s="111"/>
      <c r="JV236" s="111"/>
      <c r="JW236" s="112"/>
      <c r="JX236" s="112"/>
      <c r="JY236" s="112"/>
      <c r="JZ236" s="112"/>
      <c r="KA236" s="112"/>
      <c r="KB236" s="112" t="str">
        <f>HYPERLINK("http://www.refugeeguide.de/dl/RefugeeGuide_tu_1208.pdf","x")</f>
        <v>x</v>
      </c>
      <c r="KC236" s="112" t="str">
        <f>HYPERLINK("http://www.bpb.de/shop/buecher/grundgesetz/34367/grundgesetz-fuer-die-bundesrepublik-deutschland","x")</f>
        <v>x</v>
      </c>
      <c r="KD236" s="112" t="str">
        <f>HYPERLINK("http://www.wedel.de/fileadmin/user_upload/media/pdf/Rathaus_und_Politik/20160118_PM_Broschuere.pdf","x")</f>
        <v>x</v>
      </c>
      <c r="KE236" s="112"/>
      <c r="KF236" s="111"/>
      <c r="KG236" s="112"/>
      <c r="KH236" s="112"/>
      <c r="KI236" s="112"/>
      <c r="KJ236" s="112"/>
      <c r="KK236" s="112"/>
      <c r="KL236" s="112"/>
      <c r="KM236" s="112"/>
      <c r="KN236" s="112"/>
      <c r="KO236" s="112"/>
      <c r="KP236" s="112"/>
      <c r="KQ236" s="112"/>
      <c r="KR236" s="112"/>
      <c r="KS236" s="112"/>
      <c r="KT236" s="112"/>
      <c r="KU236" s="112"/>
      <c r="KV236" s="112"/>
      <c r="KW236" s="112"/>
      <c r="KX236" s="112"/>
      <c r="KY236" s="112"/>
      <c r="KZ236" s="112"/>
      <c r="LA236" s="112"/>
      <c r="LB236" s="112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2" t="str">
        <f>HYPERLINK("http://www.rki.de/DE/Content/Infekt/IfSG/Belehrungsbogen/belehrungsbogen_lebensmittel_tuerkisch.pdf?__blob=publicationFile","x")</f>
        <v>x</v>
      </c>
      <c r="ME236" s="111"/>
      <c r="MF236" s="111"/>
      <c r="MG236" s="111"/>
      <c r="MH236" s="111"/>
      <c r="MI236" s="112" t="str">
        <f>HYPERLINK("http://www.kindersicherheit.de/pdf/2012_poster_achtunggiftig_8sprachig.pdf","x")</f>
        <v>x</v>
      </c>
    </row>
    <row r="237" spans="1:347" ht="15.75" customHeight="1" x14ac:dyDescent="0.25">
      <c r="L237" s="204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5"/>
    </row>
    <row r="238" spans="1:347" x14ac:dyDescent="0.25">
      <c r="L238" s="157" t="s">
        <v>532</v>
      </c>
      <c r="M238" s="173"/>
      <c r="N238" s="173"/>
      <c r="O238" s="173"/>
      <c r="P238" s="173"/>
      <c r="Q238" s="173"/>
      <c r="R238" s="157" t="s">
        <v>533</v>
      </c>
      <c r="S238" s="173"/>
      <c r="T238" s="173"/>
      <c r="U238" s="173"/>
      <c r="V238" s="173"/>
      <c r="W238" s="173"/>
      <c r="X238" s="157" t="s">
        <v>534</v>
      </c>
      <c r="Y238" s="173"/>
      <c r="Z238" s="175" t="s">
        <v>535</v>
      </c>
      <c r="AA238" s="158"/>
      <c r="AB238" s="158"/>
      <c r="AC238" s="158"/>
      <c r="AD238" s="158"/>
      <c r="AE238" s="158"/>
      <c r="AF238" s="158"/>
    </row>
    <row r="239" spans="1:347" x14ac:dyDescent="0.25">
      <c r="L239" s="156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</row>
    <row r="240" spans="1:347" x14ac:dyDescent="0.25">
      <c r="L240" s="157" t="s">
        <v>536</v>
      </c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  <c r="AD240" s="158"/>
      <c r="AE240" s="158"/>
      <c r="AF240" s="158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12:32" x14ac:dyDescent="0.25">
      <c r="L241" s="157" t="s">
        <v>537</v>
      </c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</row>
    <row r="242" spans="12:32" x14ac:dyDescent="0.25"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</row>
    <row r="243" spans="12:32" x14ac:dyDescent="0.25">
      <c r="L243" s="157" t="s">
        <v>541</v>
      </c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</row>
    <row r="244" spans="12:32" x14ac:dyDescent="0.25">
      <c r="L244" s="157" t="s">
        <v>542</v>
      </c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</row>
    <row r="245" spans="12:32" x14ac:dyDescent="0.25">
      <c r="L245" s="157" t="s">
        <v>543</v>
      </c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</row>
    <row r="246" spans="12:32" x14ac:dyDescent="0.25"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</row>
    <row r="247" spans="12:32" x14ac:dyDescent="0.25">
      <c r="L247" s="157" t="s">
        <v>540</v>
      </c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</row>
    <row r="248" spans="12:32" x14ac:dyDescent="0.25">
      <c r="L248" s="157" t="s">
        <v>538</v>
      </c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  <c r="Z248" s="158"/>
      <c r="AA248" s="158"/>
      <c r="AB248" s="158"/>
      <c r="AC248" s="158"/>
      <c r="AD248" s="158"/>
      <c r="AE248" s="158"/>
      <c r="AF248" s="158"/>
    </row>
    <row r="249" spans="12:32" x14ac:dyDescent="0.25">
      <c r="L249" s="157" t="s">
        <v>539</v>
      </c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  <c r="Z249" s="158"/>
      <c r="AA249" s="158"/>
      <c r="AB249" s="158"/>
      <c r="AC249" s="158"/>
      <c r="AD249" s="158"/>
      <c r="AE249" s="158"/>
      <c r="AF249" s="158"/>
    </row>
    <row r="250" spans="12:32" x14ac:dyDescent="0.25">
      <c r="L250" s="157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</row>
  </sheetData>
  <sheetProtection algorithmName="SHA-512" hashValue="YBJmeL4DhNtACPox4QH+u6noSLh21rncEznVU+YcRrpaWMKCFsK5l4NQA9ITuRmqKXrrl1qkFlw0b1UChOoZTQ==" saltValue="RUDi1FVrx2xC3DEaSi5wdw==" spinCount="100000" sheet="1" objects="1" scenarios="1" sort="0"/>
  <sortState ref="A14:ON289">
    <sortCondition ref="A14:A289"/>
  </sortState>
  <dataConsolidate/>
  <mergeCells count="353">
    <mergeCell ref="L246:AF246"/>
    <mergeCell ref="L247:AF247"/>
    <mergeCell ref="L248:AF248"/>
    <mergeCell ref="L249:AF249"/>
    <mergeCell ref="L250:AF250"/>
    <mergeCell ref="L240:AF240"/>
    <mergeCell ref="L241:AF241"/>
    <mergeCell ref="L242:AF242"/>
    <mergeCell ref="L243:AF243"/>
    <mergeCell ref="L244:AF244"/>
    <mergeCell ref="L245:AF245"/>
    <mergeCell ref="L237:AF237"/>
    <mergeCell ref="L238:Q238"/>
    <mergeCell ref="R238:W238"/>
    <mergeCell ref="X238:Y238"/>
    <mergeCell ref="Z238:AF238"/>
    <mergeCell ref="L239:AF239"/>
    <mergeCell ref="MD3:MD13"/>
    <mergeCell ref="ME3:ME13"/>
    <mergeCell ref="MF3:MF13"/>
    <mergeCell ref="LR3:LR13"/>
    <mergeCell ref="LS3:LS13"/>
    <mergeCell ref="LT3:LT13"/>
    <mergeCell ref="LU3:LU13"/>
    <mergeCell ref="LV3:LV13"/>
    <mergeCell ref="LW3:LW13"/>
    <mergeCell ref="LL3:LL13"/>
    <mergeCell ref="LM3:LM13"/>
    <mergeCell ref="LN3:LN13"/>
    <mergeCell ref="LO3:LO13"/>
    <mergeCell ref="LP3:LP13"/>
    <mergeCell ref="LQ3:LQ13"/>
    <mergeCell ref="LF3:LF13"/>
    <mergeCell ref="LG3:LG13"/>
    <mergeCell ref="LH3:LH13"/>
    <mergeCell ref="MG3:MG13"/>
    <mergeCell ref="MH3:MH13"/>
    <mergeCell ref="MI3:MI13"/>
    <mergeCell ref="LX3:LX13"/>
    <mergeCell ref="LY3:LY13"/>
    <mergeCell ref="LZ3:LZ13"/>
    <mergeCell ref="MA3:MA13"/>
    <mergeCell ref="MB3:MB13"/>
    <mergeCell ref="MC3:MC13"/>
    <mergeCell ref="LI3:LI13"/>
    <mergeCell ref="LJ3:LJ13"/>
    <mergeCell ref="LK3:LK13"/>
    <mergeCell ref="KZ3:KZ13"/>
    <mergeCell ref="LA3:LA13"/>
    <mergeCell ref="LB3:LB13"/>
    <mergeCell ref="LC3:LC13"/>
    <mergeCell ref="LD3:LD13"/>
    <mergeCell ref="LE3:LE13"/>
    <mergeCell ref="KT3:KT13"/>
    <mergeCell ref="KU3:KU13"/>
    <mergeCell ref="KV3:KV13"/>
    <mergeCell ref="KW3:KW13"/>
    <mergeCell ref="KX3:KX13"/>
    <mergeCell ref="KY3:KY13"/>
    <mergeCell ref="KN3:KN13"/>
    <mergeCell ref="KO3:KO13"/>
    <mergeCell ref="KP3:KP13"/>
    <mergeCell ref="KQ3:KQ13"/>
    <mergeCell ref="KR3:KR13"/>
    <mergeCell ref="KS3:KS13"/>
    <mergeCell ref="KH3:KH13"/>
    <mergeCell ref="KI3:KI13"/>
    <mergeCell ref="KJ3:KJ13"/>
    <mergeCell ref="KK3:KK13"/>
    <mergeCell ref="KL3:KL13"/>
    <mergeCell ref="KM3:KM13"/>
    <mergeCell ref="KB3:KB13"/>
    <mergeCell ref="KC3:KC13"/>
    <mergeCell ref="KD3:KD13"/>
    <mergeCell ref="KE3:KE13"/>
    <mergeCell ref="KF3:KF13"/>
    <mergeCell ref="KG3:KG13"/>
    <mergeCell ref="JV3:JV13"/>
    <mergeCell ref="JW3:JW13"/>
    <mergeCell ref="JX3:JX13"/>
    <mergeCell ref="JY3:JY13"/>
    <mergeCell ref="JZ3:JZ13"/>
    <mergeCell ref="KA3:KA13"/>
    <mergeCell ref="JP3:JP13"/>
    <mergeCell ref="JQ3:JQ13"/>
    <mergeCell ref="JR3:JR13"/>
    <mergeCell ref="JS3:JS13"/>
    <mergeCell ref="JT3:JT13"/>
    <mergeCell ref="JU3:JU13"/>
    <mergeCell ref="JJ3:JJ13"/>
    <mergeCell ref="JK3:JK13"/>
    <mergeCell ref="JL3:JL13"/>
    <mergeCell ref="JM3:JM13"/>
    <mergeCell ref="JN3:JN13"/>
    <mergeCell ref="JO3:JO13"/>
    <mergeCell ref="JD3:JD13"/>
    <mergeCell ref="JE3:JE13"/>
    <mergeCell ref="JF3:JF13"/>
    <mergeCell ref="JG3:JG13"/>
    <mergeCell ref="JH3:JH13"/>
    <mergeCell ref="JI3:JI13"/>
    <mergeCell ref="IX3:IX13"/>
    <mergeCell ref="IY3:IY13"/>
    <mergeCell ref="IZ3:IZ13"/>
    <mergeCell ref="JA3:JA13"/>
    <mergeCell ref="JB3:JB13"/>
    <mergeCell ref="JC3:JC13"/>
    <mergeCell ref="IR3:IR13"/>
    <mergeCell ref="IS3:IS13"/>
    <mergeCell ref="IT3:IT13"/>
    <mergeCell ref="IU3:IU13"/>
    <mergeCell ref="IV3:IV13"/>
    <mergeCell ref="IW3:IW13"/>
    <mergeCell ref="IL3:IL13"/>
    <mergeCell ref="IM3:IM13"/>
    <mergeCell ref="IN3:IN13"/>
    <mergeCell ref="IO3:IO13"/>
    <mergeCell ref="IP3:IP13"/>
    <mergeCell ref="IQ3:IQ13"/>
    <mergeCell ref="IF3:IF13"/>
    <mergeCell ref="IG3:IG13"/>
    <mergeCell ref="IH3:IH13"/>
    <mergeCell ref="II3:II13"/>
    <mergeCell ref="IJ3:IJ13"/>
    <mergeCell ref="IK3:IK13"/>
    <mergeCell ref="HZ3:HZ13"/>
    <mergeCell ref="IA3:IA13"/>
    <mergeCell ref="IB3:IB13"/>
    <mergeCell ref="IC3:IC13"/>
    <mergeCell ref="ID3:ID13"/>
    <mergeCell ref="IE3:IE13"/>
    <mergeCell ref="HT3:HT13"/>
    <mergeCell ref="HU3:HU13"/>
    <mergeCell ref="HV3:HV13"/>
    <mergeCell ref="HW3:HW13"/>
    <mergeCell ref="HX3:HX13"/>
    <mergeCell ref="HY3:HY13"/>
    <mergeCell ref="HN3:HN13"/>
    <mergeCell ref="HO3:HO13"/>
    <mergeCell ref="HP3:HP13"/>
    <mergeCell ref="HQ3:HQ13"/>
    <mergeCell ref="HR3:HR13"/>
    <mergeCell ref="HS3:HS13"/>
    <mergeCell ref="HH3:HH13"/>
    <mergeCell ref="HI3:HI13"/>
    <mergeCell ref="HJ3:HJ13"/>
    <mergeCell ref="HK3:HK13"/>
    <mergeCell ref="HL3:HL13"/>
    <mergeCell ref="HM3:HM13"/>
    <mergeCell ref="HB3:HB13"/>
    <mergeCell ref="HC3:HC13"/>
    <mergeCell ref="HD3:HD13"/>
    <mergeCell ref="HE3:HE13"/>
    <mergeCell ref="HF3:HF13"/>
    <mergeCell ref="HG3:HG13"/>
    <mergeCell ref="GV3:GV13"/>
    <mergeCell ref="GW3:GW13"/>
    <mergeCell ref="GX3:GX13"/>
    <mergeCell ref="GY3:GY13"/>
    <mergeCell ref="GZ3:GZ13"/>
    <mergeCell ref="HA3:HA13"/>
    <mergeCell ref="GP3:GP13"/>
    <mergeCell ref="GQ3:GQ13"/>
    <mergeCell ref="GR3:GR13"/>
    <mergeCell ref="GS3:GS13"/>
    <mergeCell ref="GT3:GT13"/>
    <mergeCell ref="GU3:GU13"/>
    <mergeCell ref="GJ3:GJ13"/>
    <mergeCell ref="GK3:GK13"/>
    <mergeCell ref="GL3:GL13"/>
    <mergeCell ref="GM3:GM13"/>
    <mergeCell ref="GN3:GN13"/>
    <mergeCell ref="GO3:GO13"/>
    <mergeCell ref="GD3:GD13"/>
    <mergeCell ref="GE3:GE13"/>
    <mergeCell ref="GF3:GF13"/>
    <mergeCell ref="GG3:GG13"/>
    <mergeCell ref="GH3:GH13"/>
    <mergeCell ref="GI3:GI13"/>
    <mergeCell ref="FX3:FX13"/>
    <mergeCell ref="FY3:FY13"/>
    <mergeCell ref="FZ3:FZ13"/>
    <mergeCell ref="GA3:GA13"/>
    <mergeCell ref="GB3:GB13"/>
    <mergeCell ref="GC3:GC13"/>
    <mergeCell ref="FR3:FR13"/>
    <mergeCell ref="FS3:FS13"/>
    <mergeCell ref="FT3:FT13"/>
    <mergeCell ref="FU3:FU13"/>
    <mergeCell ref="FV3:FV13"/>
    <mergeCell ref="FW3:FW13"/>
    <mergeCell ref="FL3:FL13"/>
    <mergeCell ref="FM3:FM13"/>
    <mergeCell ref="FN3:FN13"/>
    <mergeCell ref="FO3:FO13"/>
    <mergeCell ref="FP3:FP13"/>
    <mergeCell ref="FQ3:FQ13"/>
    <mergeCell ref="FF3:FF13"/>
    <mergeCell ref="FG3:FG13"/>
    <mergeCell ref="FH3:FH13"/>
    <mergeCell ref="FI3:FI13"/>
    <mergeCell ref="FJ3:FJ13"/>
    <mergeCell ref="FK3:FK13"/>
    <mergeCell ref="EZ3:EZ13"/>
    <mergeCell ref="FA3:FA13"/>
    <mergeCell ref="FB3:FB13"/>
    <mergeCell ref="FC3:FC13"/>
    <mergeCell ref="FD3:FD13"/>
    <mergeCell ref="FE3:FE13"/>
    <mergeCell ref="ET3:ET13"/>
    <mergeCell ref="EU3:EU13"/>
    <mergeCell ref="EV3:EV13"/>
    <mergeCell ref="EW3:EW13"/>
    <mergeCell ref="EX3:EX13"/>
    <mergeCell ref="EY3:EY13"/>
    <mergeCell ref="EN3:EN13"/>
    <mergeCell ref="EO3:EO13"/>
    <mergeCell ref="EP3:EP13"/>
    <mergeCell ref="EQ3:EQ13"/>
    <mergeCell ref="ER3:ER13"/>
    <mergeCell ref="ES3:ES13"/>
    <mergeCell ref="EH3:EH13"/>
    <mergeCell ref="EI3:EI13"/>
    <mergeCell ref="EJ3:EJ13"/>
    <mergeCell ref="EK3:EK13"/>
    <mergeCell ref="EL3:EL13"/>
    <mergeCell ref="EM3:EM13"/>
    <mergeCell ref="EB3:EB13"/>
    <mergeCell ref="EC3:EC13"/>
    <mergeCell ref="ED3:ED13"/>
    <mergeCell ref="EE3:EE13"/>
    <mergeCell ref="EF3:EF13"/>
    <mergeCell ref="EG3:EG13"/>
    <mergeCell ref="DV3:DV13"/>
    <mergeCell ref="DW3:DW13"/>
    <mergeCell ref="DX3:DX13"/>
    <mergeCell ref="DY3:DY13"/>
    <mergeCell ref="DZ3:DZ13"/>
    <mergeCell ref="EA3:EA13"/>
    <mergeCell ref="DP3:DP13"/>
    <mergeCell ref="DQ3:DQ13"/>
    <mergeCell ref="DR3:DR13"/>
    <mergeCell ref="DS3:DS13"/>
    <mergeCell ref="DT3:DT13"/>
    <mergeCell ref="DU3:DU13"/>
    <mergeCell ref="DJ3:DJ13"/>
    <mergeCell ref="DK3:DK13"/>
    <mergeCell ref="DL3:DL13"/>
    <mergeCell ref="DM3:DM13"/>
    <mergeCell ref="DN3:DN13"/>
    <mergeCell ref="DO3:DO13"/>
    <mergeCell ref="DD3:DD13"/>
    <mergeCell ref="DE3:DE13"/>
    <mergeCell ref="DF3:DF13"/>
    <mergeCell ref="DG3:DG13"/>
    <mergeCell ref="DH3:DH13"/>
    <mergeCell ref="DI3:DI13"/>
    <mergeCell ref="CX3:CX13"/>
    <mergeCell ref="CY3:CY13"/>
    <mergeCell ref="CZ3:CZ13"/>
    <mergeCell ref="DA3:DA13"/>
    <mergeCell ref="DB3:DB13"/>
    <mergeCell ref="DC3:DC13"/>
    <mergeCell ref="CR3:CR13"/>
    <mergeCell ref="CS3:CS13"/>
    <mergeCell ref="CT3:CT13"/>
    <mergeCell ref="CU3:CU13"/>
    <mergeCell ref="CV3:CV13"/>
    <mergeCell ref="CW3:CW13"/>
    <mergeCell ref="CL3:CL13"/>
    <mergeCell ref="CM3:CM13"/>
    <mergeCell ref="CN3:CN13"/>
    <mergeCell ref="CO3:CO13"/>
    <mergeCell ref="CP3:CP13"/>
    <mergeCell ref="CQ3:CQ13"/>
    <mergeCell ref="CF3:CF13"/>
    <mergeCell ref="CG3:CG13"/>
    <mergeCell ref="CH3:CH13"/>
    <mergeCell ref="CI3:CI13"/>
    <mergeCell ref="CJ3:CJ13"/>
    <mergeCell ref="CK3:CK13"/>
    <mergeCell ref="BZ3:BZ13"/>
    <mergeCell ref="CA3:CA13"/>
    <mergeCell ref="CB3:CB13"/>
    <mergeCell ref="CC3:CC13"/>
    <mergeCell ref="CD3:CD13"/>
    <mergeCell ref="CE3:CE13"/>
    <mergeCell ref="BT3:BT13"/>
    <mergeCell ref="BU3:BU13"/>
    <mergeCell ref="BV3:BV13"/>
    <mergeCell ref="BW3:BW13"/>
    <mergeCell ref="BX3:BX13"/>
    <mergeCell ref="BY3:BY13"/>
    <mergeCell ref="BN3:BN13"/>
    <mergeCell ref="BO3:BO13"/>
    <mergeCell ref="BP3:BP13"/>
    <mergeCell ref="BQ3:BQ13"/>
    <mergeCell ref="BR3:BR13"/>
    <mergeCell ref="BS3:BS13"/>
    <mergeCell ref="BH3:BH13"/>
    <mergeCell ref="BI3:BI13"/>
    <mergeCell ref="BJ3:BJ13"/>
    <mergeCell ref="BK3:BK13"/>
    <mergeCell ref="BL3:BL13"/>
    <mergeCell ref="BM3:BM13"/>
    <mergeCell ref="BB3:BB13"/>
    <mergeCell ref="BC3:BC13"/>
    <mergeCell ref="BD3:BD13"/>
    <mergeCell ref="BE3:BE13"/>
    <mergeCell ref="BF3:BF13"/>
    <mergeCell ref="BG3:BG13"/>
    <mergeCell ref="AV3:AV13"/>
    <mergeCell ref="AW3:AW13"/>
    <mergeCell ref="AX3:AX13"/>
    <mergeCell ref="AY3:AY13"/>
    <mergeCell ref="AZ3:AZ13"/>
    <mergeCell ref="BA3:BA13"/>
    <mergeCell ref="AP3:AP13"/>
    <mergeCell ref="AQ3:AQ13"/>
    <mergeCell ref="AR3:AR13"/>
    <mergeCell ref="AS3:AS13"/>
    <mergeCell ref="AT3:AT13"/>
    <mergeCell ref="AU3:AU13"/>
    <mergeCell ref="AJ3:AJ13"/>
    <mergeCell ref="AK3:AK13"/>
    <mergeCell ref="AL3:AL13"/>
    <mergeCell ref="AM3:AM13"/>
    <mergeCell ref="AN3:AN13"/>
    <mergeCell ref="AO3:AO13"/>
    <mergeCell ref="AD3:AD13"/>
    <mergeCell ref="AE3:AE13"/>
    <mergeCell ref="AF3:AF13"/>
    <mergeCell ref="AG3:AG13"/>
    <mergeCell ref="AH3:AH13"/>
    <mergeCell ref="AI3:AI13"/>
    <mergeCell ref="X3:X13"/>
    <mergeCell ref="Y3:Y13"/>
    <mergeCell ref="Z3:Z13"/>
    <mergeCell ref="AA3:AA13"/>
    <mergeCell ref="AB3:AB13"/>
    <mergeCell ref="AC3:AC13"/>
    <mergeCell ref="R3:R13"/>
    <mergeCell ref="S3:S13"/>
    <mergeCell ref="T3:T13"/>
    <mergeCell ref="U3:U13"/>
    <mergeCell ref="V3:V13"/>
    <mergeCell ref="W3:W13"/>
    <mergeCell ref="L3:L13"/>
    <mergeCell ref="M3:M13"/>
    <mergeCell ref="N3:N13"/>
    <mergeCell ref="O3:O13"/>
    <mergeCell ref="P3:P13"/>
    <mergeCell ref="Q3:Q13"/>
  </mergeCells>
  <hyperlinks>
    <hyperlink ref="Z238" r:id="rId1"/>
  </hyperlinks>
  <pageMargins left="0.70866141732283472" right="0.70866141732283472" top="0.78740157480314965" bottom="0.78740157480314965" header="0.31496062992125984" footer="0.31496062992125984"/>
  <pageSetup paperSize="9" fitToHeight="3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Sprachen</vt:lpstr>
      <vt:lpstr>Herkunftsländer</vt:lpstr>
      <vt:lpstr>Herkunftsländer!Drucktitel</vt:lpstr>
      <vt:lpstr>Sprachen!Drucktitel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</dc:creator>
  <cp:lastModifiedBy>Isabella</cp:lastModifiedBy>
  <cp:lastPrinted>2016-01-18T08:58:40Z</cp:lastPrinted>
  <dcterms:created xsi:type="dcterms:W3CDTF">2016-01-10T13:57:17Z</dcterms:created>
  <dcterms:modified xsi:type="dcterms:W3CDTF">2016-03-08T10:54:48Z</dcterms:modified>
</cp:coreProperties>
</file>